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bookViews>
    <workbookView xWindow="0" yWindow="0" windowWidth="19200" windowHeight="10860" tabRatio="880"/>
  </bookViews>
  <sheets>
    <sheet name="HMHDB Supplementary Tables" sheetId="2" r:id="rId1"/>
    <sheet name="Notes to readers" sheetId="19" r:id="rId2"/>
    <sheet name="Table of contents" sheetId="22" r:id="rId3"/>
    <sheet name="1 General hosp" sheetId="40" r:id="rId4"/>
    <sheet name="2 Psych hosp" sheetId="41" r:id="rId5"/>
    <sheet name="3 Combined stats prov terr" sheetId="47" r:id="rId6"/>
    <sheet name="4 Combined LOS prov terr" sheetId="46" r:id="rId7"/>
    <sheet name="5 Combined stats by sex" sheetId="42" r:id="rId8"/>
    <sheet name="6 Eating disorders, rate LOS" sheetId="48" r:id="rId9"/>
    <sheet name="7 Eating disorders hosp trend" sheetId="49" r:id="rId10"/>
    <sheet name="8 30-day readmission" sheetId="50" r:id="rId11"/>
    <sheet name="Data" sheetId="39" state="hidden" r:id="rId12"/>
  </sheets>
  <definedNames>
    <definedName name="_xlnm._FilterDatabase" localSheetId="5" hidden="1">'3 Combined stats prov terr'!$A$5:$A$19</definedName>
    <definedName name="_xlnm._FilterDatabase" localSheetId="6" hidden="1">'4 Combined LOS prov terr'!$A$5:$B$47</definedName>
    <definedName name="_xlnm._FilterDatabase" localSheetId="7" hidden="1">'5 Combined stats by sex'!$B$5:$B$14</definedName>
    <definedName name="_xlnm._FilterDatabase" localSheetId="10" hidden="1">'8 30-day readmission'!$D$1:$D$126</definedName>
    <definedName name="_Toc325097148" localSheetId="4">'2 Psych hosp'!#REF!</definedName>
    <definedName name="_Toc325097148" localSheetId="7">'5 Combined stats by sex'!#REF!</definedName>
    <definedName name="_Toc332699836" localSheetId="4">'2 Psych hosp'!$A$4</definedName>
    <definedName name="_Toc332699836" localSheetId="7">'5 Combined stats by sex'!$A$4</definedName>
    <definedName name="_Toc332699841" localSheetId="5">'3 Combined stats prov terr'!$A$4</definedName>
    <definedName name="_Toc332699842" localSheetId="6">'4 Combined LOS prov terr'!$A$4</definedName>
    <definedName name="new" localSheetId="4">#REF!</definedName>
    <definedName name="new" localSheetId="5">#REF!</definedName>
    <definedName name="new" localSheetId="6">#REF!</definedName>
    <definedName name="new" localSheetId="7">#REF!</definedName>
    <definedName name="new" localSheetId="8">#REF!</definedName>
    <definedName name="new" localSheetId="9">#REF!</definedName>
    <definedName name="new" localSheetId="10">#REF!</definedName>
    <definedName name="new">#REF!</definedName>
    <definedName name="_xlnm.Print_Area" localSheetId="3">'1 General hosp'!$A$4:$G$22</definedName>
    <definedName name="_xlnm.Print_Area" localSheetId="4">'2 Psych hosp'!$A$4:$G$23</definedName>
    <definedName name="_xlnm.Print_Area" localSheetId="5">'3 Combined stats prov terr'!$A$4:$C$26</definedName>
    <definedName name="_xlnm.Print_Area" localSheetId="6">'4 Combined LOS prov terr'!$A$4:$F$53</definedName>
    <definedName name="_xlnm.Print_Area" localSheetId="7">'5 Combined stats by sex'!$A$4:$F$31</definedName>
    <definedName name="_xlnm.Print_Area" localSheetId="8">'6 Eating disorders, rate LOS'!$A$3:$F$22</definedName>
    <definedName name="_xlnm.Print_Area" localSheetId="9">'7 Eating disorders hosp trend'!$A$3:$G$21</definedName>
    <definedName name="_xlnm.Print_Area" localSheetId="10">'8 30-day readmission'!$A$3:$B$120</definedName>
    <definedName name="_xlnm.Print_Area" localSheetId="11">Data!$A$1:$G$192</definedName>
    <definedName name="_xlnm.Print_Area" localSheetId="0">'HMHDB Supplementary Tables'!$A$2:$A$26</definedName>
    <definedName name="_xlnm.Print_Area" localSheetId="2">'Table of contents'!$A$1:$A$9</definedName>
    <definedName name="_xlnm.Print_Titles" localSheetId="6">'4 Combined LOS prov terr'!$5:$5</definedName>
    <definedName name="QS3_1" localSheetId="4">#REF!</definedName>
    <definedName name="QS3_1" localSheetId="5">#REF!</definedName>
    <definedName name="QS3_1" localSheetId="6">#REF!</definedName>
    <definedName name="QS3_1" localSheetId="7">#REF!</definedName>
    <definedName name="QS3_1" localSheetId="8">#REF!</definedName>
    <definedName name="QS3_1" localSheetId="9">#REF!</definedName>
    <definedName name="QS3_1" localSheetId="10">'8 30-day readmission'!$B$3:$B$106</definedName>
    <definedName name="QS3_1">#REF!</definedName>
    <definedName name="Title..C19">'3 Combined stats prov terr'!$A$5</definedName>
    <definedName name="Title..D108">'8 30-day readmission'!$A$4</definedName>
    <definedName name="Title..F17">'6 Eating disorders, rate LOS'!$A$4</definedName>
    <definedName name="Title..F23">'5 Combined stats by sex'!$A$5</definedName>
    <definedName name="Title..F47">'4 Combined LOS prov terr'!$A$5</definedName>
    <definedName name="Title..G13">'1 General hosp'!$A$5</definedName>
    <definedName name="Title..G14">'2 Psych hosp'!$A$5</definedName>
    <definedName name="Title..G17">'7 Eating disorders hosp trend'!$A$4</definedName>
  </definedNames>
  <calcPr calcId="162913" fullPrecision="0"/>
</workbook>
</file>

<file path=xl/calcChain.xml><?xml version="1.0" encoding="utf-8"?>
<calcChain xmlns="http://schemas.openxmlformats.org/spreadsheetml/2006/main">
  <c r="F13" i="42" l="1"/>
  <c r="E13" i="42"/>
  <c r="C13" i="42"/>
  <c r="D13" i="42"/>
  <c r="B19" i="46" l="1"/>
  <c r="F47" i="46" l="1"/>
  <c r="F46" i="46"/>
  <c r="F45" i="46"/>
  <c r="F44" i="46"/>
  <c r="F43" i="46"/>
  <c r="F42" i="46"/>
  <c r="F41" i="46"/>
  <c r="F40" i="46"/>
  <c r="F39" i="46"/>
  <c r="F38" i="46"/>
  <c r="F37" i="46"/>
  <c r="F36" i="46"/>
  <c r="F35" i="46"/>
  <c r="F34" i="46"/>
  <c r="F33" i="46"/>
  <c r="F32" i="46"/>
  <c r="F31" i="46"/>
  <c r="F30" i="46"/>
  <c r="F29" i="46"/>
  <c r="F28" i="46"/>
  <c r="F27" i="46"/>
  <c r="F26" i="46"/>
  <c r="F25" i="46"/>
  <c r="F24" i="46"/>
  <c r="F23" i="46"/>
  <c r="F22" i="46"/>
  <c r="F21" i="46"/>
  <c r="F20" i="46"/>
  <c r="F19" i="46"/>
  <c r="F18" i="46"/>
  <c r="F17" i="46"/>
  <c r="F16" i="46"/>
  <c r="F15" i="46"/>
  <c r="F14" i="46"/>
  <c r="F13" i="46"/>
  <c r="F12" i="46"/>
  <c r="F11" i="46"/>
  <c r="F10" i="46"/>
  <c r="F9" i="46"/>
  <c r="F8" i="46"/>
  <c r="F7" i="46"/>
  <c r="F6" i="46"/>
  <c r="E47" i="46"/>
  <c r="E46" i="46"/>
  <c r="E45" i="46"/>
  <c r="E44" i="46"/>
  <c r="E43" i="46"/>
  <c r="E42" i="46"/>
  <c r="E41" i="46"/>
  <c r="E40" i="46"/>
  <c r="E39" i="46"/>
  <c r="E38" i="46"/>
  <c r="E37" i="46"/>
  <c r="E36" i="46"/>
  <c r="E35" i="46"/>
  <c r="E34" i="46"/>
  <c r="E33" i="46"/>
  <c r="E32" i="46"/>
  <c r="E31" i="46"/>
  <c r="E30" i="46"/>
  <c r="E29" i="46"/>
  <c r="E28" i="46"/>
  <c r="E27" i="46"/>
  <c r="E26" i="46"/>
  <c r="E25" i="46"/>
  <c r="E24" i="46"/>
  <c r="E23" i="46"/>
  <c r="E22" i="46"/>
  <c r="E21" i="46"/>
  <c r="E20" i="46"/>
  <c r="E19" i="46"/>
  <c r="E18" i="46"/>
  <c r="E17" i="46"/>
  <c r="E16" i="46"/>
  <c r="E15" i="46"/>
  <c r="E14" i="46"/>
  <c r="E13" i="46"/>
  <c r="E12" i="46"/>
  <c r="E11" i="46"/>
  <c r="E10" i="46"/>
  <c r="E9" i="46"/>
  <c r="E8" i="46"/>
  <c r="E7" i="46"/>
  <c r="E6" i="46"/>
  <c r="D47" i="46"/>
  <c r="D46" i="46"/>
  <c r="D45" i="46"/>
  <c r="D44" i="46"/>
  <c r="D43" i="46"/>
  <c r="D42" i="46"/>
  <c r="D41" i="46"/>
  <c r="D40" i="46"/>
  <c r="D39" i="46"/>
  <c r="D38" i="46"/>
  <c r="D37" i="46"/>
  <c r="D36" i="46"/>
  <c r="D35" i="46"/>
  <c r="D34" i="46"/>
  <c r="D33" i="46"/>
  <c r="D32" i="46"/>
  <c r="D31" i="46"/>
  <c r="D30" i="46"/>
  <c r="D29" i="46"/>
  <c r="D28" i="46"/>
  <c r="D27" i="46"/>
  <c r="D26" i="46"/>
  <c r="D25" i="46"/>
  <c r="D24" i="46"/>
  <c r="D23" i="46"/>
  <c r="D22" i="46"/>
  <c r="D21" i="46"/>
  <c r="D20" i="46"/>
  <c r="D19" i="46"/>
  <c r="D18" i="46"/>
  <c r="D17" i="46"/>
  <c r="D16" i="46"/>
  <c r="D15" i="46"/>
  <c r="D14" i="46"/>
  <c r="D13" i="46"/>
  <c r="D12" i="46"/>
  <c r="D11" i="46"/>
  <c r="D10" i="46"/>
  <c r="D9" i="46"/>
  <c r="D8" i="46"/>
  <c r="D7" i="46"/>
  <c r="D6" i="46"/>
  <c r="C26" i="46"/>
  <c r="C25" i="46"/>
  <c r="C24" i="46"/>
  <c r="C23" i="46"/>
  <c r="C22" i="46"/>
  <c r="C21" i="46"/>
  <c r="C20" i="46"/>
  <c r="C19" i="46"/>
  <c r="C18" i="46"/>
  <c r="C17" i="46"/>
  <c r="C16" i="46"/>
  <c r="C15" i="46"/>
  <c r="C14" i="46"/>
  <c r="C13" i="46"/>
  <c r="C12" i="46"/>
  <c r="C11" i="46"/>
  <c r="C10" i="46"/>
  <c r="C9" i="46"/>
  <c r="C8" i="46"/>
  <c r="C7" i="46"/>
  <c r="C6" i="46"/>
  <c r="C47" i="46"/>
  <c r="C46" i="46"/>
  <c r="C45" i="46"/>
  <c r="C44" i="46"/>
  <c r="C43" i="46"/>
  <c r="C42" i="46"/>
  <c r="C41" i="46"/>
  <c r="C40" i="46"/>
  <c r="C39" i="46"/>
  <c r="C38" i="46"/>
  <c r="C37" i="46"/>
  <c r="C36" i="46"/>
  <c r="C35" i="46"/>
  <c r="C34" i="46"/>
  <c r="C33" i="46"/>
  <c r="C32" i="46"/>
  <c r="C31" i="46"/>
  <c r="C30" i="46"/>
  <c r="C29" i="46"/>
  <c r="C28" i="46"/>
  <c r="C27" i="46"/>
  <c r="B47" i="46"/>
  <c r="B46" i="46"/>
  <c r="B45" i="46"/>
  <c r="B44" i="46"/>
  <c r="B43" i="46"/>
  <c r="B42" i="46"/>
  <c r="B41" i="46"/>
  <c r="B40" i="46"/>
  <c r="B39" i="46"/>
  <c r="B38" i="46"/>
  <c r="B37" i="46"/>
  <c r="B36" i="46"/>
  <c r="B35" i="46"/>
  <c r="B34" i="46"/>
  <c r="B33" i="46"/>
  <c r="B32" i="46"/>
  <c r="B31" i="46"/>
  <c r="B30" i="46"/>
  <c r="B29" i="46"/>
  <c r="B28" i="46"/>
  <c r="B27" i="46"/>
  <c r="B26" i="46"/>
  <c r="B25" i="46"/>
  <c r="B24" i="46"/>
  <c r="B23" i="46"/>
  <c r="B22" i="46"/>
  <c r="B21" i="46"/>
  <c r="B20" i="46"/>
  <c r="B18" i="46"/>
  <c r="B17" i="46"/>
  <c r="B16" i="46"/>
  <c r="B15" i="46"/>
  <c r="B14" i="46"/>
  <c r="B13" i="46"/>
  <c r="B12" i="46"/>
  <c r="B11" i="46"/>
  <c r="B10" i="46"/>
  <c r="B9" i="46"/>
  <c r="B8" i="46"/>
  <c r="B7" i="46"/>
  <c r="B6" i="46"/>
  <c r="C19" i="47"/>
  <c r="C18" i="47"/>
  <c r="C17" i="47"/>
  <c r="C16" i="47"/>
  <c r="C15" i="47"/>
  <c r="C14" i="47"/>
  <c r="C13" i="47"/>
  <c r="C12" i="47"/>
  <c r="C11" i="47"/>
  <c r="C10" i="47"/>
  <c r="C9" i="47"/>
  <c r="C8" i="47"/>
  <c r="C7" i="47"/>
  <c r="B19" i="47"/>
  <c r="B18" i="47"/>
  <c r="B17" i="47"/>
  <c r="B16" i="47"/>
  <c r="B15" i="47"/>
  <c r="B14" i="47"/>
  <c r="B13" i="47"/>
  <c r="B12" i="47"/>
  <c r="B11" i="47"/>
  <c r="B10" i="47"/>
  <c r="B9" i="47"/>
  <c r="B8" i="47"/>
  <c r="B7" i="47"/>
  <c r="C6" i="47"/>
  <c r="B6" i="47"/>
  <c r="A6" i="47"/>
  <c r="A19" i="47"/>
  <c r="A18" i="47"/>
  <c r="A17" i="47"/>
  <c r="A16" i="47"/>
  <c r="A15" i="47"/>
  <c r="A14" i="47"/>
  <c r="A13" i="47"/>
  <c r="A12" i="47"/>
  <c r="A11" i="47"/>
  <c r="A10" i="47"/>
  <c r="A9" i="47"/>
  <c r="A8" i="47"/>
  <c r="A7" i="47"/>
  <c r="C6" i="42" l="1"/>
  <c r="F23" i="42" l="1"/>
  <c r="E23" i="42"/>
  <c r="D23" i="42"/>
  <c r="C23" i="42"/>
  <c r="B23" i="42"/>
  <c r="F22" i="42"/>
  <c r="E22" i="42"/>
  <c r="D22" i="42"/>
  <c r="C22" i="42"/>
  <c r="F21" i="42"/>
  <c r="E21" i="42"/>
  <c r="D21" i="42"/>
  <c r="C21" i="42"/>
  <c r="F20" i="42"/>
  <c r="E20" i="42"/>
  <c r="D20" i="42"/>
  <c r="C20" i="42"/>
  <c r="F19" i="42"/>
  <c r="E19" i="42"/>
  <c r="D19" i="42"/>
  <c r="C19" i="42"/>
  <c r="F18" i="42"/>
  <c r="E18" i="42"/>
  <c r="D18" i="42"/>
  <c r="C18" i="42"/>
  <c r="F17" i="42"/>
  <c r="E17" i="42"/>
  <c r="D17" i="42"/>
  <c r="C17" i="42"/>
  <c r="F16" i="42"/>
  <c r="E16" i="42"/>
  <c r="D16" i="42"/>
  <c r="C16" i="42"/>
  <c r="F15" i="42"/>
  <c r="E15" i="42"/>
  <c r="D15" i="42"/>
  <c r="C15" i="42"/>
  <c r="F14" i="42"/>
  <c r="E14" i="42"/>
  <c r="D14" i="42"/>
  <c r="C14" i="42"/>
  <c r="B14" i="42"/>
  <c r="F12" i="42"/>
  <c r="E12" i="42"/>
  <c r="D12" i="42"/>
  <c r="C12" i="42"/>
  <c r="F11" i="42"/>
  <c r="E11" i="42"/>
  <c r="D11" i="42"/>
  <c r="C11" i="42"/>
  <c r="F10" i="42"/>
  <c r="E10" i="42"/>
  <c r="D10" i="42"/>
  <c r="C10" i="42"/>
  <c r="F9" i="42"/>
  <c r="E9" i="42"/>
  <c r="D9" i="42"/>
  <c r="C9" i="42"/>
  <c r="F8" i="42"/>
  <c r="E8" i="42"/>
  <c r="D8" i="42"/>
  <c r="C8" i="42"/>
  <c r="F7" i="42"/>
  <c r="E7" i="42"/>
  <c r="D7" i="42"/>
  <c r="C7" i="42"/>
  <c r="F6" i="42"/>
  <c r="E6" i="42"/>
  <c r="D6" i="42"/>
  <c r="G14" i="41"/>
  <c r="G13" i="41"/>
  <c r="G12" i="41"/>
  <c r="G11" i="41"/>
  <c r="G10" i="41"/>
  <c r="G9" i="41"/>
  <c r="G8" i="41"/>
  <c r="G7" i="41"/>
  <c r="G6" i="41"/>
  <c r="F14" i="41"/>
  <c r="F13" i="41"/>
  <c r="F12" i="41"/>
  <c r="F11" i="41"/>
  <c r="F10" i="41"/>
  <c r="F9" i="41"/>
  <c r="F8" i="41"/>
  <c r="F7" i="41"/>
  <c r="F6" i="41"/>
  <c r="E14" i="41"/>
  <c r="E13" i="41"/>
  <c r="E12" i="41"/>
  <c r="E11" i="41"/>
  <c r="E10" i="41"/>
  <c r="E9" i="41"/>
  <c r="E8" i="41"/>
  <c r="E7" i="41"/>
  <c r="E6" i="41"/>
  <c r="D14" i="41"/>
  <c r="D13" i="41"/>
  <c r="D12" i="41"/>
  <c r="D11" i="41"/>
  <c r="D10" i="41"/>
  <c r="D9" i="41"/>
  <c r="D8" i="41"/>
  <c r="D7" i="41"/>
  <c r="D6" i="41"/>
  <c r="C14" i="41"/>
  <c r="C13" i="41"/>
  <c r="C12" i="41"/>
  <c r="C11" i="41"/>
  <c r="C10" i="41"/>
  <c r="C9" i="41"/>
  <c r="C8" i="41"/>
  <c r="C7" i="41"/>
  <c r="C6" i="41"/>
  <c r="B14" i="41"/>
  <c r="B13" i="41"/>
  <c r="B12" i="41"/>
  <c r="B11" i="41"/>
  <c r="B10" i="41"/>
  <c r="B9" i="41"/>
  <c r="B8" i="41"/>
  <c r="B7" i="41"/>
  <c r="B6" i="41"/>
  <c r="A14" i="41"/>
  <c r="G13" i="40"/>
  <c r="G12" i="40"/>
  <c r="G11" i="40"/>
  <c r="G10" i="40"/>
  <c r="G9" i="40"/>
  <c r="G8" i="40"/>
  <c r="G7" i="40"/>
  <c r="G6" i="40"/>
  <c r="F13" i="40"/>
  <c r="F12" i="40"/>
  <c r="F11" i="40"/>
  <c r="F10" i="40"/>
  <c r="F9" i="40"/>
  <c r="F8" i="40"/>
  <c r="F7" i="40"/>
  <c r="F6" i="40"/>
  <c r="E13" i="40"/>
  <c r="E12" i="40"/>
  <c r="E11" i="40"/>
  <c r="E10" i="40"/>
  <c r="E9" i="40"/>
  <c r="E8" i="40"/>
  <c r="E7" i="40"/>
  <c r="E6" i="40"/>
  <c r="D13" i="40"/>
  <c r="D12" i="40"/>
  <c r="D11" i="40"/>
  <c r="D10" i="40"/>
  <c r="D9" i="40"/>
  <c r="D8" i="40"/>
  <c r="D7" i="40"/>
  <c r="D6" i="40"/>
  <c r="C13" i="40"/>
  <c r="C12" i="40"/>
  <c r="C11" i="40"/>
  <c r="C10" i="40"/>
  <c r="C9" i="40"/>
  <c r="C8" i="40"/>
  <c r="C7" i="40"/>
  <c r="C6" i="40"/>
  <c r="B13" i="40"/>
  <c r="B12" i="40"/>
  <c r="B11" i="40"/>
  <c r="B10" i="40"/>
  <c r="B9" i="40"/>
  <c r="B8" i="40"/>
  <c r="B7" i="40"/>
  <c r="A13" i="40"/>
  <c r="B6" i="40"/>
</calcChain>
</file>

<file path=xl/sharedStrings.xml><?xml version="1.0" encoding="utf-8"?>
<sst xmlns="http://schemas.openxmlformats.org/spreadsheetml/2006/main" count="1033" uniqueCount="335">
  <si>
    <t>For data-specific information:</t>
  </si>
  <si>
    <t>For media inquiries:</t>
  </si>
  <si>
    <t>media@cihi.ca</t>
  </si>
  <si>
    <t>Additional resources</t>
  </si>
  <si>
    <t>Talk to us</t>
  </si>
  <si>
    <t>Back to the Table of contents</t>
  </si>
  <si>
    <t>Notes to readers</t>
  </si>
  <si>
    <r>
      <rPr>
        <sz val="11"/>
        <color theme="1"/>
        <rFont val="Arial"/>
        <family val="2"/>
      </rPr>
      <t xml:space="preserve">The following companion products are available on </t>
    </r>
    <r>
      <rPr>
        <u/>
        <sz val="11"/>
        <color rgb="FF0070C0"/>
        <rFont val="Arial"/>
        <family val="2"/>
      </rPr>
      <t>CIHI’s website</t>
    </r>
    <r>
      <rPr>
        <sz val="11"/>
        <rFont val="Arial"/>
        <family val="2"/>
      </rPr>
      <t>:</t>
    </r>
    <r>
      <rPr>
        <u/>
        <sz val="11"/>
        <color theme="10"/>
        <rFont val="Arial"/>
        <family val="2"/>
      </rPr>
      <t xml:space="preserve">
</t>
    </r>
  </si>
  <si>
    <t>mentalhealth@cihi.ca</t>
  </si>
  <si>
    <t>Notes</t>
  </si>
  <si>
    <t>n/a: Not applicable.</t>
  </si>
  <si>
    <t>Discharges</t>
  </si>
  <si>
    <t>Discharges represent the number of discharges, not unique individuals. An individual can have multiple discharges in the same fiscal year.</t>
  </si>
  <si>
    <t>n/a</t>
  </si>
  <si>
    <t>Table of contents</t>
  </si>
  <si>
    <t>Diagnosis category</t>
  </si>
  <si>
    <t>Organic disorders</t>
  </si>
  <si>
    <t>Substance-related disorders</t>
  </si>
  <si>
    <t>Schizophrenic and psychotic disorders</t>
  </si>
  <si>
    <t>Mood disorders</t>
  </si>
  <si>
    <t>Anxiety disorders</t>
  </si>
  <si>
    <t>Personality disorders</t>
  </si>
  <si>
    <t>Other disorders</t>
  </si>
  <si>
    <t xml:space="preserve">This data is provided to facilitate your research and analysis. This product includes information on hospital services for mental illness or addiction, including discharge volumes, discharge rates and lengths of stay. This product complements the Hospital Mental Health Database (HMHDB) interactive Quick Stats.
Unless otherwise indicated, this product uses data provided by Canada’s provinces and territories. 
</t>
  </si>
  <si>
    <r>
      <t>Source</t>
    </r>
    <r>
      <rPr>
        <sz val="9"/>
        <rFont val="Arial"/>
        <family val="2"/>
      </rPr>
      <t xml:space="preserve"> </t>
    </r>
  </si>
  <si>
    <t>Yes</t>
  </si>
  <si>
    <t>No</t>
  </si>
  <si>
    <t xml:space="preserve">Total </t>
  </si>
  <si>
    <t>Total (Organic disorders included)</t>
  </si>
  <si>
    <t>Unknown disorders</t>
  </si>
  <si>
    <t>Sex</t>
  </si>
  <si>
    <t>Female</t>
  </si>
  <si>
    <t>Male</t>
  </si>
  <si>
    <t>Statistics in this table include general and psychiatric hospitals.</t>
  </si>
  <si>
    <t>Total</t>
  </si>
  <si>
    <t>Hospital type</t>
  </si>
  <si>
    <t>Province/territory</t>
  </si>
  <si>
    <t>General hospitals</t>
  </si>
  <si>
    <t>Newfoundland and Labrador</t>
  </si>
  <si>
    <t>Prince Edward Island</t>
  </si>
  <si>
    <t>Nova Scotia</t>
  </si>
  <si>
    <t>New Brunswick</t>
  </si>
  <si>
    <t>Quebec</t>
  </si>
  <si>
    <t>Ontario</t>
  </si>
  <si>
    <t>Manitoba</t>
  </si>
  <si>
    <t>Saskatchewan</t>
  </si>
  <si>
    <t>Alberta</t>
  </si>
  <si>
    <t>British Columbia</t>
  </si>
  <si>
    <t>Yukon</t>
  </si>
  <si>
    <t>Northwest Territories</t>
  </si>
  <si>
    <t>Nunavut</t>
  </si>
  <si>
    <t>Canada</t>
  </si>
  <si>
    <t>Psychiatric hospitals</t>
  </si>
  <si>
    <t>—</t>
  </si>
  <si>
    <t>General and psychiatric hospitals</t>
  </si>
  <si>
    <t>Note</t>
  </si>
  <si>
    <t>Standardized rates were age-adjusted using a direct method of standardization and the July 1, 2011, Canadian population as the reference population.</t>
  </si>
  <si>
    <t>Canada (Organic disorders included)</t>
  </si>
  <si>
    <t>Age group</t>
  </si>
  <si>
    <t>0–14</t>
  </si>
  <si>
    <t>15–24</t>
  </si>
  <si>
    <t>25–44</t>
  </si>
  <si>
    <t>45–64</t>
  </si>
  <si>
    <t>65+</t>
  </si>
  <si>
    <t>All</t>
  </si>
  <si>
    <t>All (Total)</t>
  </si>
  <si>
    <t>Age 
group</t>
  </si>
  <si>
    <t>2014–2015</t>
  </si>
  <si>
    <t>2015–2016</t>
  </si>
  <si>
    <t>2016–2017</t>
  </si>
  <si>
    <t>2017–2018</t>
  </si>
  <si>
    <t>Region</t>
  </si>
  <si>
    <t>Health PEI</t>
  </si>
  <si>
    <t>Western Zone</t>
  </si>
  <si>
    <t>Northern Zone</t>
  </si>
  <si>
    <t>Eastern Zone</t>
  </si>
  <si>
    <t>Central Zone</t>
  </si>
  <si>
    <t>Zone 1 (Moncton Area)</t>
  </si>
  <si>
    <t>Zone 2 (Saint John Area)</t>
  </si>
  <si>
    <t>Zone 3 (Fredericton Area)</t>
  </si>
  <si>
    <t>Zone 4 (Edmundston Area)</t>
  </si>
  <si>
    <t>Zone 5 (Campbellton Area)</t>
  </si>
  <si>
    <t>Zone 6 (Bathurst Area)</t>
  </si>
  <si>
    <t>Zone 7 (Miramichi Area)</t>
  </si>
  <si>
    <t>Winnipeg Regional Health Authority</t>
  </si>
  <si>
    <t>Prairie Mountain Health</t>
  </si>
  <si>
    <t>Athabasca Health Authority</t>
  </si>
  <si>
    <t>South Zone</t>
  </si>
  <si>
    <t>Calgary Zone</t>
  </si>
  <si>
    <t>Edmonton Zone</t>
  </si>
  <si>
    <t>North Zone</t>
  </si>
  <si>
    <t>* The rate is statistically different from the average (Canada) rate (p &lt;0.05).</t>
  </si>
  <si>
    <t>— Suppressed value.</t>
  </si>
  <si>
    <t>Readmission episode following an index mood disorder episode could be for any of the following 6 mental illness categories: substance-related disorders; schizophrenic and psychotic disorders; mood disorders; anxiety disorders; personality disorders; and other disorders.</t>
  </si>
  <si>
    <r>
      <t>As of 2015</t>
    </r>
    <r>
      <rPr>
        <sz val="9"/>
        <rFont val="Calibri"/>
        <family val="2"/>
      </rPr>
      <t>–</t>
    </r>
    <r>
      <rPr>
        <sz val="9"/>
        <rFont val="Arial"/>
        <family val="2"/>
      </rPr>
      <t>2016, a revised methodology for calculating readmission rate was implemented.</t>
    </r>
  </si>
  <si>
    <t>This table includes data from both general hospitals and psychiatric hospitals, and for all ages.</t>
  </si>
  <si>
    <t xml:space="preserve">Certain cells were suppressed for confidentiality reasons in accordance with CIHI’s privacy policy. </t>
  </si>
  <si>
    <t>Sources</t>
  </si>
  <si>
    <t>Eastern Health</t>
  </si>
  <si>
    <t>Central Health</t>
  </si>
  <si>
    <t>Western Health</t>
  </si>
  <si>
    <t>Labrador–Grenfell Health</t>
  </si>
  <si>
    <t>Bas-Saint-Laurent Region</t>
  </si>
  <si>
    <t>Saguenay–Lac-Saint-Jean Region</t>
  </si>
  <si>
    <t>Capitale-Nationale Region</t>
  </si>
  <si>
    <t>Mauricie et Centre-du-Québec Region</t>
  </si>
  <si>
    <t>Estrie Region</t>
  </si>
  <si>
    <t>Montréal Region</t>
  </si>
  <si>
    <t>Outaouais Region</t>
  </si>
  <si>
    <t>Abitibi-Témiscamingue Region</t>
  </si>
  <si>
    <t>Côte-Nord Region</t>
  </si>
  <si>
    <t>Nord-du-Québec Region</t>
  </si>
  <si>
    <t>Gaspésie–Îles-de-la-Madeleine Region</t>
  </si>
  <si>
    <t>Chaudière-Appalaches Region</t>
  </si>
  <si>
    <t>Laval Region</t>
  </si>
  <si>
    <t>Lanaudière Region</t>
  </si>
  <si>
    <t>Laurentides Region</t>
  </si>
  <si>
    <t>Montérégie Region</t>
  </si>
  <si>
    <t>Nunavik Region</t>
  </si>
  <si>
    <t>Terres-Cries-de-la-Baie-James Region</t>
  </si>
  <si>
    <t>Northern Health Region</t>
  </si>
  <si>
    <t>Southern Health — Santé Sud</t>
  </si>
  <si>
    <t>Sun Country Health Region</t>
  </si>
  <si>
    <t>Five Hills Health Region</t>
  </si>
  <si>
    <t>Cypress Health Region</t>
  </si>
  <si>
    <t>Regina Qu’Appelle Health Region</t>
  </si>
  <si>
    <t>Sunrise Health Region</t>
  </si>
  <si>
    <t>Saskatoon Health Region</t>
  </si>
  <si>
    <t>Heartland Health Region</t>
  </si>
  <si>
    <t>Kelsey Trail Health Region</t>
  </si>
  <si>
    <t>Prince Albert Parkland Health Region</t>
  </si>
  <si>
    <t>Prairie North Health Region</t>
  </si>
  <si>
    <t>Mamawetan Churchill River Health Region</t>
  </si>
  <si>
    <t>Keewatin Yatthé Health Region</t>
  </si>
  <si>
    <t>East Kootenay HSDA</t>
  </si>
  <si>
    <t>Kootenay–Boundary HSDA</t>
  </si>
  <si>
    <t>Okanagan HSDA</t>
  </si>
  <si>
    <t>Thompson/Cariboo HSDA</t>
  </si>
  <si>
    <t>Fraser East HSDA</t>
  </si>
  <si>
    <t>Fraser North HSDA</t>
  </si>
  <si>
    <t>Fraser South HSDA</t>
  </si>
  <si>
    <t>Richmond HSDA</t>
  </si>
  <si>
    <t>Vancouver HSDA</t>
  </si>
  <si>
    <t>North Shore/Coast Garibaldi HSDA</t>
  </si>
  <si>
    <t>South Vancouver Island HSDA</t>
  </si>
  <si>
    <t>Central Vancouver Island HSDA</t>
  </si>
  <si>
    <t>North Vancouver Island HSDA</t>
  </si>
  <si>
    <t>Northwest HSDA</t>
  </si>
  <si>
    <t>Northern Interior HSDA</t>
  </si>
  <si>
    <t>Northeast HSDA</t>
  </si>
  <si>
    <t>The 0.5% trimmed average removes the highest 0.5% and lowest 0.5% of values and then computes the average. The 0.5% trimmed average reduces the effect of extreme values on the average.</t>
  </si>
  <si>
    <r>
      <t xml:space="preserve">To find other information on this subject, use the following search terms: inpatient mental health, HMHDB, mental health indicators, mental illness, </t>
    </r>
    <r>
      <rPr>
        <sz val="11"/>
        <rFont val="Arial"/>
        <family val="2"/>
      </rPr>
      <t>addiction, eating disorders.</t>
    </r>
  </si>
  <si>
    <t>Include Organic disorders?* Please select:</t>
  </si>
  <si>
    <t>HSDA: Health service delivery area.</t>
  </si>
  <si>
    <t>LHIN: Local health integration network.</t>
  </si>
  <si>
    <t xml:space="preserve">Screen reader users: This workbook has 11 worksheets, including this title page, Notes to readers on tab 2, a table of contents on tab 3 and 8 data table worksheets beginning on tab 4. </t>
  </si>
  <si>
    <t>Social media:</t>
  </si>
  <si>
    <r>
      <rPr>
        <sz val="11"/>
        <rFont val="Arial"/>
        <family val="2"/>
      </rPr>
      <t xml:space="preserve">Twitter: </t>
    </r>
    <r>
      <rPr>
        <u/>
        <sz val="11"/>
        <color rgb="FF0070C0"/>
        <rFont val="Arial"/>
        <family val="2"/>
      </rPr>
      <t>twitter.com/cihi_icis</t>
    </r>
  </si>
  <si>
    <r>
      <rPr>
        <sz val="11"/>
        <rFont val="Arial"/>
        <family val="2"/>
      </rPr>
      <t xml:space="preserve">Facebook: </t>
    </r>
    <r>
      <rPr>
        <u/>
        <sz val="11"/>
        <color rgb="FF0070C0"/>
        <rFont val="Arial"/>
        <family val="2"/>
      </rPr>
      <t>facebook.com/CIHI.ICIS</t>
    </r>
  </si>
  <si>
    <r>
      <rPr>
        <sz val="11"/>
        <rFont val="Arial"/>
        <family val="2"/>
      </rPr>
      <t xml:space="preserve">LinkedIn: </t>
    </r>
    <r>
      <rPr>
        <u/>
        <sz val="11"/>
        <color rgb="FF0070C0"/>
        <rFont val="Arial"/>
        <family val="2"/>
      </rPr>
      <t>linkedin.com/company/canadian-institute-for-health-information</t>
    </r>
  </si>
  <si>
    <r>
      <rPr>
        <sz val="11"/>
        <rFont val="Arial"/>
        <family val="2"/>
      </rPr>
      <t xml:space="preserve">Instagram: </t>
    </r>
    <r>
      <rPr>
        <u/>
        <sz val="11"/>
        <color rgb="FF0070C0"/>
        <rFont val="Arial"/>
        <family val="2"/>
      </rPr>
      <t>instagram.com/cihi_icis/</t>
    </r>
  </si>
  <si>
    <r>
      <rPr>
        <sz val="11"/>
        <rFont val="Arial"/>
        <family val="2"/>
      </rPr>
      <t xml:space="preserve">YouTube: </t>
    </r>
    <r>
      <rPr>
        <u/>
        <sz val="11"/>
        <color rgb="FF0070C0"/>
        <rFont val="Arial"/>
        <family val="2"/>
      </rPr>
      <t>youtube.com/user/CIHICanada</t>
    </r>
  </si>
  <si>
    <t>Organic disorders*</t>
  </si>
  <si>
    <r>
      <t>Substance-related disorders</t>
    </r>
    <r>
      <rPr>
        <b/>
        <vertAlign val="superscript"/>
        <sz val="11"/>
        <rFont val="Arial"/>
        <family val="2"/>
      </rPr>
      <t>†</t>
    </r>
  </si>
  <si>
    <t>Erie St. Clair LHIN</t>
  </si>
  <si>
    <t>South West LHIN</t>
  </si>
  <si>
    <t>Waterloo Wellington LHIN</t>
  </si>
  <si>
    <t>Hamilton Niagara Haldimand Brant LHIN</t>
  </si>
  <si>
    <t>Central West LHIN</t>
  </si>
  <si>
    <t>Mississauga Halton LHIN</t>
  </si>
  <si>
    <t>Toronto Central LHIN</t>
  </si>
  <si>
    <t>Central LHIN</t>
  </si>
  <si>
    <t>Central East LHIN</t>
  </si>
  <si>
    <t>South East LHIN</t>
  </si>
  <si>
    <t>Champlain LHIN</t>
  </si>
  <si>
    <t>North Simcoe Muskoka LHIN</t>
  </si>
  <si>
    <t>North East LHIN</t>
  </si>
  <si>
    <t>North West LHIN</t>
  </si>
  <si>
    <t>Interlake–Eastern Regional Health Authority</t>
  </si>
  <si>
    <t>Percentage of discharges</t>
  </si>
  <si>
    <t>Median length of stay 
(days)</t>
  </si>
  <si>
    <t>Average length of stay 
(days)</t>
  </si>
  <si>
    <t>0.5% trimmed average (days)</t>
  </si>
  <si>
    <t>Total length of stay (days)</t>
  </si>
  <si>
    <t>0.5% trimmed mean 
(days)</t>
  </si>
  <si>
    <t>Age-standardized discharge rate per 100,000 population</t>
  </si>
  <si>
    <t>0.5% trimmed average 
(days)</t>
  </si>
  <si>
    <t>Total length of stay 
(days)</t>
  </si>
  <si>
    <t>Crude discharge rate per 100,000 population</t>
  </si>
  <si>
    <t>Crude discharge rate per 
100,000 population</t>
  </si>
  <si>
    <t>Crude discharge rate (per 100,000 population)</t>
  </si>
  <si>
    <t>Total length of stay
(days)</t>
  </si>
  <si>
    <t xml:space="preserve">* Organic disorders: Organic mental disorders are conditions that are caused by the decrease in the functioning of the brain due to disease, trauma or injury. Included in this category, for example, are various forms of dementia.
</t>
  </si>
  <si>
    <t>— No value or not applicable.</t>
  </si>
  <si>
    <t>* Organic disorders: Organic mental disorders are conditions that are caused by the decrease in the functioning of the brain due to disease, trauma or injury. Included in this category, for example, are various forms of dementia.</t>
  </si>
  <si>
    <t>Trimmed Average length of stay 
(days)</t>
  </si>
  <si>
    <t>Diagnosis category based on 
primary diagnosis</t>
  </si>
  <si>
    <t>Percentage 
of discharges</t>
  </si>
  <si>
    <t>Include Organic disorders*? Please select:</t>
  </si>
  <si>
    <r>
      <rPr>
        <sz val="9"/>
        <rFont val="Arial"/>
        <family val="2"/>
      </rPr>
      <t xml:space="preserve">† Substance-related disorders presented in this table are mental and behavioural disorders. Users are cautioned not to compare these results with those of the indicator Hospital Stays for Harm Caused by Substance Use reported in the </t>
    </r>
    <r>
      <rPr>
        <u/>
        <sz val="9"/>
        <color rgb="FF0070C0"/>
        <rFont val="Arial"/>
        <family val="2"/>
      </rPr>
      <t>Your Health System web tool</t>
    </r>
    <r>
      <rPr>
        <sz val="9"/>
        <rFont val="Arial"/>
        <family val="2"/>
      </rPr>
      <t xml:space="preserve">. The latter results are based on a broader set of conditions including poisonings. </t>
    </r>
  </si>
  <si>
    <r>
      <rPr>
        <sz val="9"/>
        <rFont val="Arial"/>
        <family val="2"/>
      </rPr>
      <t xml:space="preserve">† Substance-related disorders presented in this table are mental and behavioural disorders. Users are cautioned not to compare these results with those of the indicator Hospital Stays for Harm Caused by Substance Use reported in the </t>
    </r>
    <r>
      <rPr>
        <u/>
        <sz val="9"/>
        <color rgb="FF0070C0"/>
        <rFont val="Arial"/>
        <family val="2"/>
      </rPr>
      <t>Your Health System web tool</t>
    </r>
    <r>
      <rPr>
        <sz val="9"/>
        <rFont val="Arial"/>
        <family val="2"/>
      </rPr>
      <t>. The latter results are based on a broader set of conditions including poisonings.</t>
    </r>
  </si>
  <si>
    <t>2018–2019</t>
  </si>
  <si>
    <t>Table 1 Discharge and length of stay statistics, by diagnosis category, in general hospitals, Canada, 2018–2019</t>
  </si>
  <si>
    <t>Table 2 Discharge and length of stay statistics, by diagnosis category, in psychiatric hospitals, Canada, 2018–2019</t>
  </si>
  <si>
    <t>Table 3 Discharges and discharge rates for mental illness or addiction, 
by province/territory and Canada, 2018–2019</t>
  </si>
  <si>
    <t>Table 4 Lengths of stay (median, average, total) for mental illness or addiction, by hospital type, province/territory 
and Canada, 2018–2019</t>
  </si>
  <si>
    <t>Table 5 Discharge and length of stay statistics, by sex and diagnosis category, Canada, 2018–2019</t>
  </si>
  <si>
    <r>
      <rPr>
        <b/>
        <sz val="12"/>
        <color theme="1"/>
        <rFont val="Arial"/>
        <family val="2"/>
      </rPr>
      <t>Table 8</t>
    </r>
    <r>
      <rPr>
        <sz val="12"/>
        <color theme="1"/>
        <rFont val="Arial"/>
        <family val="2"/>
      </rPr>
      <t xml:space="preserve">  30-day readmission for mood disorders, 2018–2019</t>
    </r>
  </si>
  <si>
    <t xml:space="preserve">Screen reader users: There is 1 interactive table on this tab called Table 1: Discharge and length of stay statistics, by diagnosis category, in general hospitals, Canada, 2018–2019. There is a Yes or No selection box in cell B3 to select whether the interactive table includes Organic disorders or not. To make a selection, navigate to the selection box and press the down arrow while holding the Alt key. Release the Alt key and press the down or up arrow to select Yes or No. Once a selection has been made, press Enter. The table begins at cell A5 and ends at cell G13. Please note that the table cells contain formulas to automatically populate the table based on the selections made in the selection box. The notes about the data begin in cell A14 and the source begins in cell A21. A link back to the table of contents is in cell A2. </t>
  </si>
  <si>
    <t xml:space="preserve">Screen reader users: There is 1 interactive table on this tab called Table 2: Discharge and length of stay statistics, by diagnosis category, in psychiatric hospitals, Canada, 2018–2019. There is a Yes or No selection box in cell B3 to select whether the interactive table includes Organic disorders or not. To make a selection, navigate to the selection box and press the down arrow while holding the Alt key. Release the Alt key and press the down or up arrow to select Yes or No. Once a selection has been made, press Enter. The table begins at cell A5 and ends at cell G14. Please note that the table cells contain formulas to automatically populate the table based on the selections made in the selection box.The notes about the data begin in cell A15 and the source begins in cell A22. A link back to the table of contents is in cell A2. </t>
  </si>
  <si>
    <t xml:space="preserve">Screen reader users: There is 1 interactive table on this tab called Table 3: Discharges and discharge rates for mental health or addiction, by province/territory and Canada, 2018–2019. There is a Yes or No selection box in cell B3 to select whether the interactive table includes Organic disorders or not. To make a selection, navigate to the selection box and press the down arrow while holding the Alt key. Release the Alt key and press the down or up arrow to select Yes or No. Once a selection has been made, press Enter. The table begins at cell A5 and ends at cell C19. Please note that the table cells contain formulas to automatically populate the table based on the selections made in the selection box. The notes about the data begin in cell A20 and the source begins in cell A25. A link back to the table of contents is in cell A2. </t>
  </si>
  <si>
    <t xml:space="preserve">Screen reader users: There is 1 interactive table on this tab called Table 4: Lengths of stay (median, average, 0.5% trimmed mean, total) for mental health or addiction, by hospital type, province/territory and Canada, 2018–2019. There is a Yes or No selection box in cell B3 to select whether the interactive table includes Organic disorders or not. To make a selection, navigate to the selection box and press the down arrow while holding the Alt key. Release the Alt key and press the down or up arrow to select Yes or No. Once a selection has been made, press Enter. The table begins at cell A5 and ends at cell F47. Please note that the table cells contain formulas to automatically populate the table based on the selections made in the selection box.The notes about the data begin in cell A48 and the source begins in cell A52. A link back to the table of contents is in cell A2. </t>
  </si>
  <si>
    <t xml:space="preserve">Screen reader users: There is 1 interactive table on this tab called Table 5: Discharge and length of stay statistics, by sex and diagnosis category, Canada, 2018–2019. There is a Yes or No selection box in cell C3 to select whether the interactive table includes Organic disorders or not. To make a selection, navigate to the selection box and press the down arrow while holding the Alt key. Release the Alt key and press the down or up arrow to select Yes or No. Once a selection has been made, press Enter. The table begins at cell A5 and ends at cell F23. Please note that the table cells contain formulas to automatically populate the table based on the selections made in the selection box.The notes about the data begin in cell A24 and the source begins in cell A30. A link back to the table of contents is in cell A2. </t>
  </si>
  <si>
    <t xml:space="preserve">Screen reader users: There is 1 table on this tab called Table 6: Discharge statistics for eating disorders as a primary diagnosis, by sex and age group, Canada, 2018–2019. The table begins at cell A4 and ends at cell F17. The notes about the data begin in cell A18 and the source begins in cell A21. A link back to the table of contents is in cell A2. </t>
  </si>
  <si>
    <t>Screen reader users: There is 1 table on this tab called Table 7: Crude discharge rates per 100,000 population for eating disorders as a primary diagnosis, Canada, 2014–2015 to 2018–2019. The table begins at cell A4 and ends at cell G17. The note about the data begins in cell A18 and the source begins in cell A20. A link back to the table of contents is in cell A2.</t>
  </si>
  <si>
    <r>
      <t>(6.2</t>
    </r>
    <r>
      <rPr>
        <sz val="11"/>
        <rFont val="Calibri"/>
        <family val="2"/>
      </rPr>
      <t>–</t>
    </r>
    <r>
      <rPr>
        <sz val="11"/>
        <rFont val="Arial"/>
        <family val="2"/>
      </rPr>
      <t>13.6)</t>
    </r>
  </si>
  <si>
    <t>(4.3–13.7)</t>
  </si>
  <si>
    <t>(7.2–15.2)</t>
  </si>
  <si>
    <t>(7.7–22.0)</t>
  </si>
  <si>
    <t>(8.1–12.5)</t>
  </si>
  <si>
    <t>(7.6–15.2)</t>
  </si>
  <si>
    <t>(7.0–19.4)</t>
  </si>
  <si>
    <t>(4.6–17.6)</t>
  </si>
  <si>
    <t>(9.0–17.5)</t>
  </si>
  <si>
    <t>(5.0–13.8)</t>
  </si>
  <si>
    <t>(8.6–13.5)</t>
  </si>
  <si>
    <t>(6.5–13.4)</t>
  </si>
  <si>
    <t>(3.4–14.3)</t>
  </si>
  <si>
    <t>(5.6–12.6)</t>
  </si>
  <si>
    <t>(4.9–14.5)</t>
  </si>
  <si>
    <t>(4.7–18.0)</t>
  </si>
  <si>
    <t>(7.3–18.1)</t>
  </si>
  <si>
    <t>(1.4–13.1)</t>
  </si>
  <si>
    <t>(8.0–16.3)</t>
  </si>
  <si>
    <t>(10.0–18.7)</t>
  </si>
  <si>
    <t>(7.4–12.0)</t>
  </si>
  <si>
    <t>(9.7–15.0)</t>
  </si>
  <si>
    <t>(16.2–23.6)*</t>
  </si>
  <si>
    <t>(7.5–10.8)*</t>
  </si>
  <si>
    <t>(11.5–15.0)*</t>
  </si>
  <si>
    <t>(7.4–13.3)</t>
  </si>
  <si>
    <t>(7.7–17.1)</t>
  </si>
  <si>
    <t>(4.1–17.2)</t>
  </si>
  <si>
    <t>(9.6–23.6)</t>
  </si>
  <si>
    <t>(5.1–10.6)*</t>
  </si>
  <si>
    <t>(10.0–19.1)</t>
  </si>
  <si>
    <t>(7.5–14.0)</t>
  </si>
  <si>
    <t>(5.9–11.1)</t>
  </si>
  <si>
    <t>(9.1–13.0)</t>
  </si>
  <si>
    <t>(11.2–12.7)*</t>
  </si>
  <si>
    <t>(6.7–10.0)*</t>
  </si>
  <si>
    <t>(8.7–12.2)</t>
  </si>
  <si>
    <t>(9.2–13.4)</t>
  </si>
  <si>
    <t>(10.7–13.6)</t>
  </si>
  <si>
    <t>(9.5–13.8)</t>
  </si>
  <si>
    <t>(9.7–13.4)</t>
  </si>
  <si>
    <t>(11.0–14.1)</t>
  </si>
  <si>
    <t>(11.2–14.3)*</t>
  </si>
  <si>
    <t>(11.0–13.7)</t>
  </si>
  <si>
    <t>(7.2–12.7)</t>
  </si>
  <si>
    <t>(9.3–12.6)</t>
  </si>
  <si>
    <t>(8.6–12.5)</t>
  </si>
  <si>
    <t>(11.5–14.8)*</t>
  </si>
  <si>
    <t>(9.7–15.8)</t>
  </si>
  <si>
    <t>(11.2–12.1)*</t>
  </si>
  <si>
    <t>(6.5–11.0)*</t>
  </si>
  <si>
    <t>(7.7–17.3)</t>
  </si>
  <si>
    <t>(3.5–16.2)</t>
  </si>
  <si>
    <t>(6.6–20.3)</t>
  </si>
  <si>
    <t>(10.5–12.1)</t>
  </si>
  <si>
    <t>(3.2–13.1)</t>
  </si>
  <si>
    <t>(6.6–13.0)</t>
  </si>
  <si>
    <t>(6.9–16.6)</t>
  </si>
  <si>
    <t>(8.1–23.8)</t>
  </si>
  <si>
    <t>(9.7–17.0)</t>
  </si>
  <si>
    <t>(6.8–13.0)</t>
  </si>
  <si>
    <t>(7.9–15.2)</t>
  </si>
  <si>
    <t>(11.0–16.1)</t>
  </si>
  <si>
    <t>(9.6–22.7)</t>
  </si>
  <si>
    <t>(8.7–13.2)</t>
  </si>
  <si>
    <t>(8.1–12.3)</t>
  </si>
  <si>
    <t>(6.8–12.1)</t>
  </si>
  <si>
    <t>(9.4–16.3)</t>
  </si>
  <si>
    <t>(10.1–15.0)</t>
  </si>
  <si>
    <t>(6.8–19.4)</t>
  </si>
  <si>
    <t>(7.9–21.6)</t>
  </si>
  <si>
    <t>(8.6–13.9)</t>
  </si>
  <si>
    <t>(8.3–10.1)*</t>
  </si>
  <si>
    <t>(6.1–9.4)*</t>
  </si>
  <si>
    <t>(9.1–13.7)</t>
  </si>
  <si>
    <t>(6.4–9.8)*</t>
  </si>
  <si>
    <t>(6.4–11.7)</t>
  </si>
  <si>
    <t>(7.1–9.8)*</t>
  </si>
  <si>
    <t>(4.7–24.3)</t>
  </si>
  <si>
    <t>(2.1–12.4)</t>
  </si>
  <si>
    <t>(4.9–15.9)</t>
  </si>
  <si>
    <t>(3.6–21.3)</t>
  </si>
  <si>
    <t>(6.6–12.1)</t>
  </si>
  <si>
    <t>(3.6–18.6)</t>
  </si>
  <si>
    <t>(5.0–9.8)*</t>
  </si>
  <si>
    <t>(1.8–17.6)</t>
  </si>
  <si>
    <t>(7.7–26.2)</t>
  </si>
  <si>
    <t>(1.4–13.4)</t>
  </si>
  <si>
    <t>(7.5–11.0)*</t>
  </si>
  <si>
    <t>(2.2–16.3)</t>
  </si>
  <si>
    <t>(4.4–15.6)</t>
  </si>
  <si>
    <t>(4.5–17.4)</t>
  </si>
  <si>
    <t xml:space="preserve">Mental Health and Addictions Hospitalizations in Canada, Supplementary Tables, 2018–2019 </t>
  </si>
  <si>
    <t>• HMHDB interactive Quick Stats, 2018–2019 (and earlier)</t>
  </si>
  <si>
    <t>• Hospital Mental Health Database, 2018–2019: User Documentation</t>
  </si>
  <si>
    <t>• Hospital Mental Health Database Data Dictionary, 2018–2019</t>
  </si>
  <si>
    <r>
      <rPr>
        <b/>
        <sz val="12"/>
        <color theme="1"/>
        <rFont val="Arial"/>
        <family val="2"/>
      </rPr>
      <t>Table 1</t>
    </r>
    <r>
      <rPr>
        <sz val="12"/>
        <color theme="1"/>
        <rFont val="Arial"/>
        <family val="2"/>
      </rPr>
      <t xml:space="preserve">  Discharge and length of stay statistics, by diagnosis category, in general hospitals, Canada, 2018–2019</t>
    </r>
  </si>
  <si>
    <t xml:space="preserve">For information about diagnosis category, please refer to Table 2: Mental illness diagnosis codes and categories in the HMHDB Data Dictionary, 2018–2019.
</t>
  </si>
  <si>
    <r>
      <t>Source</t>
    </r>
    <r>
      <rPr>
        <sz val="9"/>
        <color theme="1"/>
        <rFont val="Arial"/>
        <family val="2"/>
      </rPr>
      <t xml:space="preserve"> </t>
    </r>
  </si>
  <si>
    <t>Hospital Mental Health Database, 2018–2019, Canadian Institute for Health Information.</t>
  </si>
  <si>
    <r>
      <rPr>
        <b/>
        <sz val="12"/>
        <color theme="1"/>
        <rFont val="Arial"/>
        <family val="2"/>
      </rPr>
      <t>Table 2</t>
    </r>
    <r>
      <rPr>
        <sz val="12"/>
        <color theme="1"/>
        <rFont val="Arial"/>
        <family val="2"/>
      </rPr>
      <t xml:space="preserve">  Discharge and length of stay statistics, by diagnosis category, in psychiatric hospitals, Canada, 2018–2019</t>
    </r>
  </si>
  <si>
    <r>
      <rPr>
        <b/>
        <sz val="12"/>
        <color theme="1"/>
        <rFont val="Arial"/>
        <family val="2"/>
      </rPr>
      <t>Table 3</t>
    </r>
    <r>
      <rPr>
        <sz val="12"/>
        <color theme="1"/>
        <rFont val="Arial"/>
        <family val="2"/>
      </rPr>
      <t xml:space="preserve">  Discharges and discharge rates for mental health or addiction, by province/territory and Canada, 2018–2019</t>
    </r>
  </si>
  <si>
    <r>
      <rPr>
        <b/>
        <sz val="12"/>
        <color theme="1"/>
        <rFont val="Arial"/>
        <family val="2"/>
      </rPr>
      <t>Table 4</t>
    </r>
    <r>
      <rPr>
        <sz val="12"/>
        <color theme="1"/>
        <rFont val="Arial"/>
        <family val="2"/>
      </rPr>
      <t xml:space="preserve">  Lengths of stay (median, average, 0.5% trimmed average, total) for mental health or addiction, by hospital type, province/territory and Canada, 2018–2019</t>
    </r>
  </si>
  <si>
    <r>
      <rPr>
        <b/>
        <sz val="12"/>
        <color theme="1"/>
        <rFont val="Arial"/>
        <family val="2"/>
      </rPr>
      <t>Table 5</t>
    </r>
    <r>
      <rPr>
        <sz val="12"/>
        <color theme="1"/>
        <rFont val="Arial"/>
        <family val="2"/>
      </rPr>
      <t xml:space="preserve">  Discharge and length of stay statistics, by sex and diagnosis category, Canada, 2018–2019</t>
    </r>
  </si>
  <si>
    <r>
      <rPr>
        <b/>
        <sz val="12"/>
        <color theme="1"/>
        <rFont val="Arial"/>
        <family val="2"/>
      </rPr>
      <t>Table 6</t>
    </r>
    <r>
      <rPr>
        <sz val="12"/>
        <color theme="1"/>
        <rFont val="Arial"/>
        <family val="2"/>
      </rPr>
      <t xml:space="preserve">  Discharge statistics for eating disorders as a primary diagnosis, by sex and age group, Canada, 2018–2019</t>
    </r>
  </si>
  <si>
    <r>
      <rPr>
        <b/>
        <sz val="12"/>
        <color theme="1"/>
        <rFont val="Arial"/>
        <family val="2"/>
      </rPr>
      <t>Table 7</t>
    </r>
    <r>
      <rPr>
        <sz val="12"/>
        <color theme="1"/>
        <rFont val="Arial"/>
        <family val="2"/>
      </rPr>
      <t xml:space="preserve">  Crude discharge rates per 100,000 population for eating disorders as a primary diagnosis, 
Canada, 2014–2015 to 2018–2019</t>
    </r>
  </si>
  <si>
    <t>30-day readmission for mood disorders, risk-adjusted rate (per 100), 2018–2019</t>
  </si>
  <si>
    <t>95% confidence interval,
2018–2019</t>
  </si>
  <si>
    <t>How to cite this document</t>
  </si>
  <si>
    <r>
      <t xml:space="preserve">Canadian Institute for Health Information. </t>
    </r>
    <r>
      <rPr>
        <i/>
        <sz val="11"/>
        <color theme="1"/>
        <rFont val="Arial"/>
        <family val="2"/>
      </rPr>
      <t>Mental Health and Addictions Hospitalizations in Canada, Supplementary Tables, 2018–2019</t>
    </r>
    <r>
      <rPr>
        <sz val="11"/>
        <color theme="1"/>
        <rFont val="Arial"/>
        <family val="2"/>
      </rPr>
      <t>. Ottawa, ON: CIHI; 2020.</t>
    </r>
  </si>
  <si>
    <t>Discharge Abstract Database, Hospital Mental Health Database, National Ambulatory Care Reporting System and Ontario Mental Health Reporting System, 2018–2019, Canadian Institute for Health Information.</t>
  </si>
  <si>
    <r>
      <t xml:space="preserve">Screen reader users: There is 1 table on this tab called Table 8: 30-day readmission for mood disorders, 2018–2019. The table begins at cell A4 and ends at cell </t>
    </r>
    <r>
      <rPr>
        <sz val="11"/>
        <color theme="1"/>
        <rFont val="Arial"/>
        <family val="2"/>
      </rPr>
      <t xml:space="preserve">D108. The notes about the data begin in cell A109 and the sources begin in cell A119. A link back to the table of contents is in cell A2. </t>
    </r>
  </si>
  <si>
    <t>Table 1  Discharge and length of stay statistics, by diagnosis category, in general hospitals, Canada, 2018–2019</t>
  </si>
  <si>
    <t>Table 2  Discharge and length of stay statistics, by diagnosis category, in psychiatric hospitals, Canada, 2018–2019</t>
  </si>
  <si>
    <t>Table 3  Discharges and discharge rates for mental health or addiction, by province/territory and Canada, 2018–2019</t>
  </si>
  <si>
    <t>Table 4  Lengths of stay (median, average, 0.5% trimmed average, total) for mental health or addiction, by hospital type, province/territory and Canada, 2018–2019</t>
  </si>
  <si>
    <t>Table 5  Discharge and length of stay statistics, by sex and diagnosis category, Canada, 2018–2019</t>
  </si>
  <si>
    <t>Table 6  Discharge statistics for eating disorders as a primary diagnosis, by sex and age group, Canada, 2018–2019</t>
  </si>
  <si>
    <t>Table 7  Crude discharge rates per 100,000 population for eating disorders as a primary diagnosis, Canada, 2014–2015 to 2018–2019</t>
  </si>
  <si>
    <r>
      <t>Table 8  30-day readmission for mood disorders, 2015</t>
    </r>
    <r>
      <rPr>
        <u/>
        <sz val="11"/>
        <color rgb="FF0070C0"/>
        <rFont val="Calibri"/>
        <family val="2"/>
      </rPr>
      <t>–</t>
    </r>
    <r>
      <rPr>
        <u/>
        <sz val="11"/>
        <color rgb="FF0070C0"/>
        <rFont val="Arial"/>
        <family val="2"/>
      </rPr>
      <t>2016 to 2018–2019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</si>
</sst>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quot;$&quot;* #,##0_-;\-&quot;$&quot;* #,##0_-;_-&quot;$&quot;* &quot;-&quot;_-;_-@_-"/>
    <numFmt numFmtId="165" formatCode="_-* #,##0_-;\-* #,##0_-;_-* &quot;-&quot;_-;_-@_-"/>
    <numFmt numFmtId="166" formatCode="_-&quot;$&quot;* #,##0.00_-;\-&quot;$&quot;* #,##0.00_-;_-&quot;$&quot;* &quot;-&quot;??_-;_-@_-"/>
    <numFmt numFmtId="167" formatCode="_-* #,##0.00_-;\-* #,##0.00_-;_-* &quot;-&quot;??_-;_-@_-"/>
    <numFmt numFmtId="168" formatCode="0.000000"/>
    <numFmt numFmtId="169" formatCode="0.0"/>
  </numFmts>
  <fonts count="77">
    <font>
      <sz val="11"/>
      <color theme="1"/>
      <name val="Arial"/>
      <family val="2"/>
    </font>
    <font>
      <sz val="11"/>
      <color theme="1"/>
      <name val="Calibri"/>
      <family val="2"/>
      <scheme val="minor"/>
    </font>
    <font>
      <sz val="11"/>
      <color theme="1"/>
      <name val="Calibri"/>
      <family val="2"/>
      <scheme val="minor"/>
    </font>
    <font>
      <u/>
      <sz val="11"/>
      <color theme="10"/>
      <name val="Arial"/>
      <family val="2"/>
    </font>
    <font>
      <b/>
      <sz val="11"/>
      <name val="Arial"/>
      <family val="2"/>
    </font>
    <font>
      <sz val="10"/>
      <name val="Univers"/>
      <family val="2"/>
    </font>
    <font>
      <u/>
      <sz val="10"/>
      <color theme="10"/>
      <name val="Univers"/>
      <family val="2"/>
    </font>
    <font>
      <sz val="24"/>
      <color theme="1"/>
      <name val="Arial"/>
      <family val="2"/>
    </font>
    <font>
      <sz val="11"/>
      <color rgb="FF000000"/>
      <name val="Arial"/>
      <family val="2"/>
    </font>
    <font>
      <sz val="11"/>
      <color rgb="FFFF0000"/>
      <name val="Arial"/>
      <family val="2"/>
    </font>
    <font>
      <sz val="11"/>
      <name val="Arial"/>
      <family val="2"/>
    </font>
    <font>
      <sz val="11"/>
      <color theme="1"/>
      <name val="Arial"/>
      <family val="2"/>
    </font>
    <font>
      <b/>
      <sz val="18"/>
      <color theme="3"/>
      <name val="Cambria"/>
      <family val="2"/>
      <scheme val="major"/>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i/>
      <sz val="11"/>
      <color rgb="FF7F7F7F"/>
      <name val="Arial"/>
      <family val="2"/>
    </font>
    <font>
      <b/>
      <sz val="11"/>
      <color theme="1"/>
      <name val="Arial"/>
      <family val="2"/>
    </font>
    <font>
      <sz val="11"/>
      <color theme="0"/>
      <name val="Arial"/>
      <family val="2"/>
    </font>
    <font>
      <u/>
      <sz val="11"/>
      <color theme="11"/>
      <name val="Arial"/>
      <family val="2"/>
    </font>
    <font>
      <sz val="9"/>
      <name val="Arial"/>
      <family val="2"/>
    </font>
    <font>
      <sz val="30"/>
      <name val="Calibri"/>
      <family val="2"/>
    </font>
    <font>
      <sz val="24"/>
      <name val="Calibri"/>
      <family val="2"/>
    </font>
    <font>
      <b/>
      <sz val="18"/>
      <name val="Calibri"/>
      <family val="2"/>
    </font>
    <font>
      <b/>
      <sz val="15"/>
      <name val="Calibri"/>
      <family val="2"/>
    </font>
    <font>
      <sz val="12"/>
      <color theme="1"/>
      <name val="Arial"/>
      <family val="2"/>
    </font>
    <font>
      <u/>
      <sz val="11"/>
      <color rgb="FF0070C0"/>
      <name val="Arial"/>
      <family val="2"/>
    </font>
    <font>
      <u/>
      <sz val="11"/>
      <color rgb="FF852062"/>
      <name val="Arial"/>
      <family val="2"/>
    </font>
    <font>
      <b/>
      <sz val="9"/>
      <name val="Arial"/>
      <family val="2"/>
    </font>
    <font>
      <sz val="10"/>
      <name val="Arial"/>
      <family val="2"/>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C00000"/>
      <name val="Arial"/>
      <family val="2"/>
    </font>
    <font>
      <sz val="10"/>
      <color rgb="FFFF0000"/>
      <name val="Univers"/>
      <family val="2"/>
    </font>
    <font>
      <sz val="11"/>
      <color rgb="FF0070C0"/>
      <name val="Arial"/>
      <family val="2"/>
    </font>
    <font>
      <b/>
      <sz val="11"/>
      <color rgb="FF0070C0"/>
      <name val="Arial"/>
      <family val="2"/>
    </font>
    <font>
      <sz val="10"/>
      <color rgb="FF0070C0"/>
      <name val="Univers"/>
      <family val="2"/>
    </font>
    <font>
      <sz val="12"/>
      <name val="Arial"/>
      <family val="2"/>
    </font>
    <font>
      <b/>
      <sz val="11"/>
      <color rgb="FFC00000"/>
      <name val="Arial"/>
      <family val="2"/>
    </font>
    <font>
      <b/>
      <sz val="11"/>
      <color rgb="FFFF0000"/>
      <name val="Arial"/>
      <family val="2"/>
    </font>
    <font>
      <sz val="10"/>
      <color theme="0" tint="-0.499984740745262"/>
      <name val="Wingdings 3"/>
      <family val="1"/>
      <charset val="2"/>
    </font>
    <font>
      <sz val="11"/>
      <color rgb="FFC00000"/>
      <name val="Calibri"/>
      <family val="2"/>
      <scheme val="minor"/>
    </font>
    <font>
      <b/>
      <sz val="11"/>
      <color rgb="FFFFFFFF"/>
      <name val="Arial"/>
      <family val="2"/>
    </font>
    <font>
      <b/>
      <sz val="10"/>
      <name val="Arial"/>
      <family val="2"/>
    </font>
    <font>
      <b/>
      <sz val="10"/>
      <color theme="0"/>
      <name val="Arial"/>
      <family val="2"/>
    </font>
    <font>
      <sz val="10"/>
      <color theme="1"/>
      <name val="Arial"/>
      <family val="2"/>
    </font>
    <font>
      <b/>
      <sz val="10"/>
      <color rgb="FFC00000"/>
      <name val="Arial"/>
      <family val="2"/>
    </font>
    <font>
      <sz val="12"/>
      <color rgb="FFC00000"/>
      <name val="Arial"/>
      <family val="2"/>
    </font>
    <font>
      <sz val="9"/>
      <name val="Calibri"/>
      <family val="2"/>
    </font>
    <font>
      <sz val="9"/>
      <color rgb="FFFF0000"/>
      <name val="Arial"/>
      <family val="2"/>
    </font>
    <font>
      <u/>
      <sz val="11"/>
      <name val="Arial"/>
      <family val="2"/>
    </font>
    <font>
      <sz val="10"/>
      <color rgb="FFFF0000"/>
      <name val="Arial"/>
      <family val="2"/>
    </font>
    <font>
      <sz val="11"/>
      <color rgb="FF00B0F0"/>
      <name val="Arial"/>
      <family val="2"/>
    </font>
    <font>
      <b/>
      <vertAlign val="superscript"/>
      <sz val="11"/>
      <name val="Arial"/>
      <family val="2"/>
    </font>
    <font>
      <b/>
      <sz val="12"/>
      <color theme="1"/>
      <name val="Arial"/>
      <family val="2"/>
    </font>
    <font>
      <u/>
      <sz val="9"/>
      <color rgb="FF0070C0"/>
      <name val="Arial"/>
      <family val="2"/>
    </font>
    <font>
      <sz val="11"/>
      <name val="Calibri"/>
      <family val="2"/>
    </font>
    <font>
      <sz val="30"/>
      <color theme="1"/>
      <name val="Calibri"/>
      <family val="2"/>
    </font>
    <font>
      <i/>
      <sz val="11"/>
      <color theme="1"/>
      <name val="Arial"/>
      <family val="2"/>
    </font>
    <font>
      <u/>
      <sz val="11"/>
      <color rgb="FF0070C0"/>
      <name val="Calibri"/>
      <family val="2"/>
    </font>
    <font>
      <sz val="9"/>
      <color theme="1"/>
      <name val="Arial"/>
      <family val="2"/>
    </font>
    <font>
      <b/>
      <sz val="9"/>
      <color theme="1"/>
      <name val="Arial"/>
      <family val="2"/>
    </font>
  </fonts>
  <fills count="39">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8595B"/>
        <bgColor indexed="64"/>
      </patternFill>
    </fill>
    <fill>
      <patternFill patternType="solid">
        <fgColor rgb="FFA7A9AC"/>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s>
  <borders count="22">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auto="1"/>
      </top>
      <bottom style="thin">
        <color auto="1"/>
      </bottom>
      <diagonal/>
    </border>
    <border>
      <left/>
      <right style="thin">
        <color theme="0"/>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0"/>
      </left>
      <right/>
      <top style="thin">
        <color indexed="64"/>
      </top>
      <bottom style="thin">
        <color indexed="64"/>
      </bottom>
      <diagonal/>
    </border>
    <border>
      <left/>
      <right/>
      <top/>
      <bottom style="thin">
        <color indexed="64"/>
      </bottom>
      <diagonal/>
    </border>
    <border>
      <left/>
      <right style="thin">
        <color auto="1"/>
      </right>
      <top/>
      <bottom style="thin">
        <color indexed="64"/>
      </bottom>
      <diagonal/>
    </border>
    <border>
      <left/>
      <right style="thin">
        <color auto="1"/>
      </right>
      <top/>
      <bottom/>
      <diagonal/>
    </border>
    <border>
      <left/>
      <right style="thin">
        <color auto="1"/>
      </right>
      <top style="thin">
        <color auto="1"/>
      </top>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s>
  <cellStyleXfs count="94">
    <xf numFmtId="0" fontId="0" fillId="0" borderId="0"/>
    <xf numFmtId="49" fontId="31" fillId="0" borderId="0" applyFill="0" applyBorder="0" applyAlignment="0" applyProtection="0"/>
    <xf numFmtId="167" fontId="11" fillId="0" borderId="0" applyFont="0" applyFill="0" applyBorder="0" applyAlignment="0" applyProtection="0"/>
    <xf numFmtId="165" fontId="11" fillId="0" borderId="0" applyFont="0" applyFill="0" applyBorder="0" applyAlignment="0" applyProtection="0"/>
    <xf numFmtId="166" fontId="11" fillId="0" borderId="0" applyFont="0" applyFill="0" applyBorder="0" applyAlignment="0" applyProtection="0"/>
    <xf numFmtId="164" fontId="11" fillId="0" borderId="0" applyFont="0" applyFill="0" applyBorder="0" applyAlignment="0" applyProtection="0"/>
    <xf numFmtId="9" fontId="11" fillId="0" borderId="0" applyFont="0" applyFill="0" applyBorder="0" applyAlignment="0" applyProtection="0"/>
    <xf numFmtId="0" fontId="12" fillId="0" borderId="0" applyNumberFormat="0" applyFill="0" applyBorder="0" applyAlignment="0" applyProtection="0"/>
    <xf numFmtId="0" fontId="26" fillId="0" borderId="0" applyNumberFormat="0" applyFill="0" applyProtection="0">
      <alignment horizontal="left" vertical="top"/>
    </xf>
    <xf numFmtId="0" fontId="27" fillId="0" borderId="0" applyNumberFormat="0" applyProtection="0">
      <alignment horizontal="left" vertical="top"/>
    </xf>
    <xf numFmtId="0" fontId="28" fillId="0" borderId="0" applyNumberFormat="0" applyProtection="0">
      <alignment horizontal="left" vertical="top"/>
    </xf>
    <xf numFmtId="0" fontId="29" fillId="0" borderId="0" applyNumberFormat="0" applyProtection="0">
      <alignment horizontal="left" vertical="top"/>
    </xf>
    <xf numFmtId="0" fontId="13" fillId="3" borderId="0" applyNumberFormat="0" applyBorder="0" applyAlignment="0" applyProtection="0"/>
    <xf numFmtId="0" fontId="14" fillId="4" borderId="0" applyNumberFormat="0" applyBorder="0" applyAlignment="0" applyProtection="0"/>
    <xf numFmtId="0" fontId="15" fillId="5" borderId="0" applyNumberFormat="0" applyBorder="0" applyAlignment="0" applyProtection="0"/>
    <xf numFmtId="0" fontId="16" fillId="6" borderId="1" applyNumberFormat="0" applyAlignment="0" applyProtection="0"/>
    <xf numFmtId="0" fontId="17" fillId="7" borderId="2" applyNumberFormat="0" applyAlignment="0" applyProtection="0"/>
    <xf numFmtId="0" fontId="18" fillId="7" borderId="1" applyNumberFormat="0" applyAlignment="0" applyProtection="0"/>
    <xf numFmtId="0" fontId="19" fillId="0" borderId="3" applyNumberFormat="0" applyFill="0" applyAlignment="0" applyProtection="0"/>
    <xf numFmtId="0" fontId="20" fillId="8" borderId="4" applyNumberFormat="0" applyAlignment="0" applyProtection="0"/>
    <xf numFmtId="0" fontId="9" fillId="0" borderId="0" applyNumberFormat="0" applyFill="0" applyBorder="0" applyAlignment="0" applyProtection="0"/>
    <xf numFmtId="0" fontId="11" fillId="9" borderId="5" applyNumberFormat="0" applyFont="0" applyAlignment="0" applyProtection="0"/>
    <xf numFmtId="0" fontId="21" fillId="0" borderId="0" applyNumberFormat="0" applyFill="0" applyBorder="0" applyAlignment="0" applyProtection="0"/>
    <xf numFmtId="0" fontId="22" fillId="0" borderId="6" applyNumberFormat="0" applyFill="0" applyAlignment="0" applyProtection="0"/>
    <xf numFmtId="0" fontId="23"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23" fillId="21" borderId="0" applyNumberFormat="0" applyBorder="0" applyAlignment="0" applyProtection="0"/>
    <xf numFmtId="0" fontId="23" fillId="22"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23" fillId="25" borderId="0" applyNumberFormat="0" applyBorder="0" applyAlignment="0" applyProtection="0"/>
    <xf numFmtId="0" fontId="23" fillId="26" borderId="0" applyNumberFormat="0" applyBorder="0" applyAlignment="0" applyProtection="0"/>
    <xf numFmtId="0" fontId="11" fillId="27" borderId="0" applyNumberFormat="0" applyBorder="0" applyAlignment="0" applyProtection="0"/>
    <xf numFmtId="0" fontId="11" fillId="28" borderId="0" applyNumberFormat="0" applyBorder="0" applyAlignment="0" applyProtection="0"/>
    <xf numFmtId="0" fontId="23" fillId="29" borderId="0" applyNumberFormat="0" applyBorder="0" applyAlignment="0" applyProtection="0"/>
    <xf numFmtId="0" fontId="23" fillId="30"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23" fillId="33" borderId="0" applyNumberFormat="0" applyBorder="0" applyAlignment="0" applyProtection="0"/>
    <xf numFmtId="0" fontId="10" fillId="0" borderId="0" applyNumberFormat="0" applyProtection="0">
      <alignment horizontal="left" vertical="top" wrapText="1"/>
    </xf>
    <xf numFmtId="0" fontId="24" fillId="0" borderId="0" applyNumberFormat="0" applyFill="0" applyBorder="0" applyAlignment="0" applyProtection="0"/>
    <xf numFmtId="0" fontId="30" fillId="0" borderId="0" applyNumberFormat="0" applyProtection="0">
      <alignment horizontal="left" vertical="top"/>
    </xf>
    <xf numFmtId="0" fontId="30" fillId="0" borderId="0" applyNumberFormat="0" applyFill="0" applyProtection="0">
      <alignment horizontal="left" vertical="top"/>
    </xf>
    <xf numFmtId="0" fontId="20" fillId="34" borderId="8" applyNumberFormat="0" applyProtection="0">
      <alignment horizontal="left" vertical="top"/>
    </xf>
    <xf numFmtId="0" fontId="4" fillId="35" borderId="7" applyNumberFormat="0" applyProtection="0">
      <alignment horizontal="left" vertical="top"/>
    </xf>
    <xf numFmtId="0" fontId="25" fillId="0" borderId="0" applyNumberFormat="0" applyProtection="0">
      <alignment horizontal="left" vertical="top"/>
    </xf>
    <xf numFmtId="0" fontId="24" fillId="0" borderId="0" applyNumberFormat="0" applyFill="0" applyBorder="0" applyAlignment="0" applyProtection="0"/>
    <xf numFmtId="0" fontId="32" fillId="0" borderId="0" applyNumberFormat="0" applyFill="0" applyBorder="0" applyAlignment="0" applyProtection="0"/>
    <xf numFmtId="0" fontId="12" fillId="0" borderId="0" applyNumberFormat="0" applyFill="0" applyBorder="0" applyAlignment="0" applyProtection="0"/>
    <xf numFmtId="0" fontId="35" fillId="3" borderId="0" applyNumberFormat="0" applyBorder="0" applyAlignment="0" applyProtection="0"/>
    <xf numFmtId="0" fontId="36" fillId="4" borderId="0" applyNumberFormat="0" applyBorder="0" applyAlignment="0" applyProtection="0"/>
    <xf numFmtId="0" fontId="37" fillId="5" borderId="0" applyNumberFormat="0" applyBorder="0" applyAlignment="0" applyProtection="0"/>
    <xf numFmtId="0" fontId="38" fillId="6" borderId="1" applyNumberFormat="0" applyAlignment="0" applyProtection="0"/>
    <xf numFmtId="0" fontId="39" fillId="7" borderId="2" applyNumberFormat="0" applyAlignment="0" applyProtection="0"/>
    <xf numFmtId="0" fontId="40" fillId="7" borderId="1" applyNumberFormat="0" applyAlignment="0" applyProtection="0"/>
    <xf numFmtId="0" fontId="41" fillId="0" borderId="3" applyNumberFormat="0" applyFill="0" applyAlignment="0" applyProtection="0"/>
    <xf numFmtId="0" fontId="42" fillId="8" borderId="4" applyNumberFormat="0" applyAlignment="0" applyProtection="0"/>
    <xf numFmtId="0" fontId="43" fillId="0" borderId="0" applyNumberFormat="0" applyFill="0" applyBorder="0" applyAlignment="0" applyProtection="0"/>
    <xf numFmtId="0" fontId="2" fillId="9" borderId="5" applyNumberFormat="0" applyFont="0" applyAlignment="0" applyProtection="0"/>
    <xf numFmtId="0" fontId="44" fillId="0" borderId="0" applyNumberFormat="0" applyFill="0" applyBorder="0" applyAlignment="0" applyProtection="0"/>
    <xf numFmtId="0" fontId="45" fillId="0" borderId="6" applyNumberFormat="0" applyFill="0" applyAlignment="0" applyProtection="0"/>
    <xf numFmtId="0" fontId="46"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46" fillId="13" borderId="0" applyNumberFormat="0" applyBorder="0" applyAlignment="0" applyProtection="0"/>
    <xf numFmtId="0" fontId="46"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46" fillId="17" borderId="0" applyNumberFormat="0" applyBorder="0" applyAlignment="0" applyProtection="0"/>
    <xf numFmtId="0" fontId="46"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46" fillId="21" borderId="0" applyNumberFormat="0" applyBorder="0" applyAlignment="0" applyProtection="0"/>
    <xf numFmtId="0" fontId="46"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46" fillId="25" borderId="0" applyNumberFormat="0" applyBorder="0" applyAlignment="0" applyProtection="0"/>
    <xf numFmtId="0" fontId="46"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46" fillId="29" borderId="0" applyNumberFormat="0" applyBorder="0" applyAlignment="0" applyProtection="0"/>
    <xf numFmtId="0" fontId="46"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46" fillId="33" borderId="0" applyNumberFormat="0" applyBorder="0" applyAlignment="0" applyProtection="0"/>
  </cellStyleXfs>
  <cellXfs count="342">
    <xf numFmtId="0" fontId="0" fillId="0" borderId="0" xfId="0"/>
    <xf numFmtId="49" fontId="31" fillId="0" borderId="0" xfId="1"/>
    <xf numFmtId="0" fontId="10" fillId="0" borderId="0" xfId="48">
      <alignment horizontal="left" vertical="top" wrapText="1"/>
    </xf>
    <xf numFmtId="0" fontId="26" fillId="0" borderId="0" xfId="8">
      <alignment horizontal="left" vertical="top"/>
    </xf>
    <xf numFmtId="49" fontId="31" fillId="0" borderId="0" xfId="1" applyAlignment="1">
      <alignment vertical="center"/>
    </xf>
    <xf numFmtId="0" fontId="0" fillId="0" borderId="0" xfId="0" applyAlignment="1"/>
    <xf numFmtId="0" fontId="10" fillId="0" borderId="0" xfId="0" applyFont="1"/>
    <xf numFmtId="0" fontId="26" fillId="0" borderId="0" xfId="8" applyAlignment="1">
      <alignment horizontal="left" vertical="top" wrapText="1"/>
    </xf>
    <xf numFmtId="0" fontId="10" fillId="0" borderId="0" xfId="0" applyFont="1" applyAlignment="1"/>
    <xf numFmtId="0" fontId="10" fillId="0" borderId="0" xfId="0" applyFont="1" applyAlignment="1">
      <alignment wrapText="1"/>
    </xf>
    <xf numFmtId="0" fontId="8" fillId="0" borderId="0" xfId="0" applyFont="1" applyAlignment="1"/>
    <xf numFmtId="0" fontId="27" fillId="0" borderId="0" xfId="9" applyAlignment="1">
      <alignment horizontal="left" vertical="top"/>
    </xf>
    <xf numFmtId="0" fontId="10" fillId="0" borderId="0" xfId="48" applyAlignment="1">
      <alignment vertical="top" wrapText="1"/>
    </xf>
    <xf numFmtId="0" fontId="0" fillId="0" borderId="0" xfId="0" applyAlignment="1">
      <alignment vertical="top"/>
    </xf>
    <xf numFmtId="0" fontId="27" fillId="0" borderId="0" xfId="9" applyAlignment="1">
      <alignment vertical="top"/>
    </xf>
    <xf numFmtId="0" fontId="27" fillId="0" borderId="0" xfId="9" applyAlignment="1">
      <alignment vertical="top" wrapText="1"/>
    </xf>
    <xf numFmtId="49" fontId="31" fillId="0" borderId="0" xfId="1" applyAlignment="1">
      <alignment vertical="top"/>
    </xf>
    <xf numFmtId="49" fontId="31" fillId="0" borderId="0" xfId="1" applyAlignment="1">
      <alignment vertical="top" wrapText="1"/>
    </xf>
    <xf numFmtId="0" fontId="10" fillId="0" borderId="0" xfId="48" applyFont="1" applyAlignment="1">
      <alignment vertical="top" wrapText="1"/>
    </xf>
    <xf numFmtId="0" fontId="0" fillId="0" borderId="0" xfId="0"/>
    <xf numFmtId="0" fontId="0" fillId="0" borderId="0" xfId="0" applyAlignment="1">
      <alignment vertical="center"/>
    </xf>
    <xf numFmtId="0" fontId="5" fillId="2" borderId="0" xfId="0" applyFont="1" applyFill="1" applyAlignment="1">
      <alignment vertical="center"/>
    </xf>
    <xf numFmtId="0" fontId="6" fillId="2" borderId="0" xfId="0" applyFont="1" applyFill="1" applyAlignment="1" applyProtection="1">
      <alignment vertical="center"/>
    </xf>
    <xf numFmtId="0" fontId="0" fillId="2" borderId="0" xfId="0" applyFill="1" applyAlignment="1" applyProtection="1">
      <alignment vertical="center"/>
    </xf>
    <xf numFmtId="0" fontId="7" fillId="0" borderId="0" xfId="0" applyFont="1"/>
    <xf numFmtId="0" fontId="10" fillId="0" borderId="0" xfId="48" applyFont="1" applyFill="1" applyAlignment="1">
      <alignment vertical="top" wrapText="1"/>
    </xf>
    <xf numFmtId="0" fontId="47" fillId="0" borderId="0" xfId="0" applyFont="1" applyFill="1" applyBorder="1"/>
    <xf numFmtId="2" fontId="47" fillId="0" borderId="0" xfId="0" applyNumberFormat="1" applyFont="1" applyFill="1"/>
    <xf numFmtId="0" fontId="47" fillId="0" borderId="0" xfId="0" applyFont="1" applyFill="1"/>
    <xf numFmtId="0" fontId="48" fillId="0" borderId="0" xfId="0" applyFont="1" applyFill="1" applyAlignment="1">
      <alignment vertical="center"/>
    </xf>
    <xf numFmtId="0" fontId="49" fillId="0" borderId="0" xfId="0" applyFont="1" applyFill="1" applyAlignment="1">
      <alignment horizontal="left" vertical="top" wrapText="1"/>
    </xf>
    <xf numFmtId="0" fontId="49" fillId="0" borderId="0" xfId="48" applyFont="1" applyFill="1" applyAlignment="1">
      <alignment horizontal="left" vertical="top" wrapText="1"/>
    </xf>
    <xf numFmtId="0" fontId="50" fillId="0" borderId="0" xfId="0" applyFont="1" applyFill="1" applyBorder="1" applyAlignment="1">
      <alignment vertical="top" wrapText="1"/>
    </xf>
    <xf numFmtId="0" fontId="49" fillId="0" borderId="0" xfId="0" applyFont="1" applyFill="1" applyBorder="1" applyAlignment="1">
      <alignment vertical="top" wrapText="1"/>
    </xf>
    <xf numFmtId="0" fontId="49" fillId="0" borderId="0" xfId="0" applyFont="1" applyFill="1" applyAlignment="1">
      <alignment vertical="top" wrapText="1"/>
    </xf>
    <xf numFmtId="0" fontId="51" fillId="0" borderId="0" xfId="0" applyFont="1" applyFill="1" applyAlignment="1">
      <alignment vertical="top" wrapText="1"/>
    </xf>
    <xf numFmtId="0" fontId="49" fillId="0" borderId="0" xfId="0" applyFont="1" applyFill="1" applyAlignment="1">
      <alignment vertical="top" wrapText="1"/>
    </xf>
    <xf numFmtId="0" fontId="25" fillId="0" borderId="0" xfId="0" applyFont="1" applyFill="1" applyAlignment="1"/>
    <xf numFmtId="3" fontId="10" fillId="0" borderId="9" xfId="0" applyNumberFormat="1" applyFont="1" applyFill="1" applyBorder="1" applyAlignment="1">
      <alignment horizontal="right"/>
    </xf>
    <xf numFmtId="2" fontId="10" fillId="0" borderId="9" xfId="0" applyNumberFormat="1" applyFont="1" applyFill="1" applyBorder="1" applyAlignment="1">
      <alignment horizontal="right"/>
    </xf>
    <xf numFmtId="0" fontId="10" fillId="0" borderId="9" xfId="0" applyFont="1" applyFill="1" applyBorder="1" applyAlignment="1">
      <alignment horizontal="right"/>
    </xf>
    <xf numFmtId="3" fontId="10" fillId="0" borderId="12" xfId="0" applyNumberFormat="1" applyFont="1" applyFill="1" applyBorder="1" applyAlignment="1">
      <alignment horizontal="right"/>
    </xf>
    <xf numFmtId="2" fontId="4" fillId="0" borderId="9" xfId="0" applyNumberFormat="1" applyFont="1" applyFill="1" applyBorder="1" applyAlignment="1">
      <alignment horizontal="right"/>
    </xf>
    <xf numFmtId="0" fontId="4" fillId="0" borderId="9" xfId="0" applyFont="1" applyFill="1" applyBorder="1" applyAlignment="1">
      <alignment horizontal="right"/>
    </xf>
    <xf numFmtId="3" fontId="4" fillId="0" borderId="12" xfId="0" applyNumberFormat="1" applyFont="1" applyFill="1" applyBorder="1" applyAlignment="1">
      <alignment horizontal="right"/>
    </xf>
    <xf numFmtId="0" fontId="0" fillId="0" borderId="0" xfId="0" applyFont="1" applyFill="1" applyBorder="1"/>
    <xf numFmtId="0" fontId="0" fillId="0" borderId="0" xfId="0" applyFont="1" applyBorder="1"/>
    <xf numFmtId="2" fontId="0" fillId="0" borderId="0" xfId="0" applyNumberFormat="1" applyFont="1"/>
    <xf numFmtId="0" fontId="0" fillId="0" borderId="0" xfId="0" applyFont="1"/>
    <xf numFmtId="0" fontId="11" fillId="0" borderId="0" xfId="0" applyFont="1"/>
    <xf numFmtId="3" fontId="10" fillId="0" borderId="9" xfId="0" applyNumberFormat="1" applyFont="1" applyBorder="1" applyAlignment="1">
      <alignment horizontal="right"/>
    </xf>
    <xf numFmtId="0" fontId="10" fillId="0" borderId="9" xfId="0" applyFont="1" applyBorder="1" applyAlignment="1">
      <alignment horizontal="right" vertical="center"/>
    </xf>
    <xf numFmtId="2" fontId="10" fillId="0" borderId="9" xfId="0" applyNumberFormat="1" applyFont="1" applyBorder="1" applyAlignment="1">
      <alignment horizontal="right" vertical="center"/>
    </xf>
    <xf numFmtId="3" fontId="10" fillId="0" borderId="12" xfId="0" applyNumberFormat="1" applyFont="1" applyBorder="1" applyAlignment="1">
      <alignment horizontal="right" vertical="center"/>
    </xf>
    <xf numFmtId="2" fontId="11" fillId="0" borderId="0" xfId="0" applyNumberFormat="1" applyFont="1"/>
    <xf numFmtId="0" fontId="4" fillId="0" borderId="11" xfId="0" applyFont="1" applyFill="1" applyBorder="1" applyAlignment="1">
      <alignment vertical="center"/>
    </xf>
    <xf numFmtId="3" fontId="4" fillId="0" borderId="9" xfId="0" applyNumberFormat="1" applyFont="1" applyFill="1" applyBorder="1" applyAlignment="1">
      <alignment horizontal="right"/>
    </xf>
    <xf numFmtId="3" fontId="4" fillId="0" borderId="12" xfId="0" applyNumberFormat="1" applyFont="1" applyFill="1" applyBorder="1" applyAlignment="1">
      <alignment horizontal="right" vertical="center"/>
    </xf>
    <xf numFmtId="0" fontId="4" fillId="2" borderId="0" xfId="0" applyFont="1" applyFill="1" applyBorder="1" applyAlignment="1">
      <alignment vertical="center"/>
    </xf>
    <xf numFmtId="0" fontId="11" fillId="0" borderId="0" xfId="0" applyFont="1" applyBorder="1" applyAlignment="1">
      <alignment vertical="center"/>
    </xf>
    <xf numFmtId="0" fontId="11" fillId="0" borderId="0" xfId="0" applyFont="1" applyAlignment="1">
      <alignment vertical="center"/>
    </xf>
    <xf numFmtId="3" fontId="4" fillId="0" borderId="0" xfId="0" applyNumberFormat="1" applyFont="1" applyFill="1" applyBorder="1"/>
    <xf numFmtId="0" fontId="47" fillId="0" borderId="0" xfId="0" applyFont="1" applyFill="1"/>
    <xf numFmtId="2" fontId="47" fillId="0" borderId="0" xfId="0" applyNumberFormat="1" applyFont="1" applyFill="1"/>
    <xf numFmtId="3" fontId="4" fillId="0" borderId="12" xfId="0" applyNumberFormat="1" applyFont="1" applyFill="1" applyBorder="1"/>
    <xf numFmtId="2" fontId="4" fillId="0" borderId="9" xfId="0" applyNumberFormat="1" applyFont="1" applyFill="1" applyBorder="1"/>
    <xf numFmtId="2" fontId="4" fillId="0" borderId="9" xfId="0" applyNumberFormat="1" applyFont="1" applyFill="1" applyBorder="1" applyAlignment="1">
      <alignment horizontal="right" vertical="center"/>
    </xf>
    <xf numFmtId="0" fontId="4" fillId="0" borderId="9" xfId="0" applyFont="1" applyFill="1" applyBorder="1" applyAlignment="1">
      <alignment vertical="center"/>
    </xf>
    <xf numFmtId="0" fontId="20" fillId="2" borderId="15" xfId="0" applyFont="1" applyFill="1" applyBorder="1" applyAlignment="1">
      <alignment horizontal="left" vertical="center"/>
    </xf>
    <xf numFmtId="0" fontId="20" fillId="2" borderId="16" xfId="0" applyFont="1" applyFill="1" applyBorder="1" applyAlignment="1">
      <alignment horizontal="left" vertical="center"/>
    </xf>
    <xf numFmtId="3" fontId="10" fillId="0" borderId="12" xfId="0" applyNumberFormat="1" applyFont="1" applyFill="1" applyBorder="1" applyAlignment="1">
      <alignment horizontal="right" vertical="center"/>
    </xf>
    <xf numFmtId="2" fontId="10" fillId="0" borderId="9" xfId="0" applyNumberFormat="1" applyFont="1" applyFill="1" applyBorder="1" applyAlignment="1">
      <alignment vertical="center"/>
    </xf>
    <xf numFmtId="2" fontId="10" fillId="0" borderId="9" xfId="0" applyNumberFormat="1" applyFont="1" applyFill="1" applyBorder="1" applyAlignment="1">
      <alignment horizontal="right" vertical="center"/>
    </xf>
    <xf numFmtId="0" fontId="22" fillId="2" borderId="17" xfId="0" applyFont="1" applyFill="1" applyBorder="1" applyAlignment="1">
      <alignment horizontal="left" vertical="center"/>
    </xf>
    <xf numFmtId="3" fontId="4" fillId="0" borderId="12" xfId="0" applyNumberFormat="1" applyFont="1" applyFill="1" applyBorder="1" applyAlignment="1">
      <alignment vertical="center"/>
    </xf>
    <xf numFmtId="0" fontId="20" fillId="0" borderId="15" xfId="0" applyFont="1" applyFill="1" applyBorder="1" applyAlignment="1">
      <alignment horizontal="left" vertical="center"/>
    </xf>
    <xf numFmtId="0" fontId="20" fillId="0" borderId="16" xfId="0" applyFont="1" applyFill="1" applyBorder="1" applyAlignment="1">
      <alignment horizontal="left" vertical="center"/>
    </xf>
    <xf numFmtId="2" fontId="11" fillId="0" borderId="0" xfId="0" applyNumberFormat="1" applyFont="1" applyFill="1"/>
    <xf numFmtId="2" fontId="11" fillId="0" borderId="0" xfId="0" applyNumberFormat="1" applyFont="1" applyFill="1" applyBorder="1"/>
    <xf numFmtId="3" fontId="10" fillId="0" borderId="12" xfId="0" applyNumberFormat="1" applyFont="1" applyFill="1" applyBorder="1" applyAlignment="1">
      <alignment vertical="center"/>
    </xf>
    <xf numFmtId="0" fontId="55" fillId="0" borderId="0" xfId="0" applyFont="1" applyFill="1" applyBorder="1" applyAlignment="1">
      <alignment horizontal="left" vertical="center" shrinkToFit="1"/>
    </xf>
    <xf numFmtId="2" fontId="0" fillId="0" borderId="0" xfId="0" applyNumberFormat="1" applyAlignment="1">
      <alignment vertical="top"/>
    </xf>
    <xf numFmtId="0" fontId="1" fillId="0" borderId="0" xfId="0" applyFont="1"/>
    <xf numFmtId="0" fontId="11" fillId="0" borderId="0" xfId="0" applyFont="1" applyBorder="1" applyAlignment="1">
      <alignment horizontal="center" vertical="center"/>
    </xf>
    <xf numFmtId="2" fontId="11" fillId="0" borderId="0" xfId="0" applyNumberFormat="1" applyFont="1" applyAlignment="1">
      <alignment horizontal="center" vertical="center"/>
    </xf>
    <xf numFmtId="0" fontId="11" fillId="0" borderId="0" xfId="0" applyFont="1" applyAlignment="1">
      <alignment horizontal="center" vertical="center"/>
    </xf>
    <xf numFmtId="0" fontId="22" fillId="0" borderId="0" xfId="0" applyFont="1" applyBorder="1" applyAlignment="1">
      <alignment horizontal="left" vertical="center" wrapText="1"/>
    </xf>
    <xf numFmtId="0" fontId="22" fillId="0" borderId="9" xfId="0" applyFont="1" applyBorder="1" applyAlignment="1">
      <alignment vertical="center"/>
    </xf>
    <xf numFmtId="3" fontId="11" fillId="0" borderId="9" xfId="0" applyNumberFormat="1" applyFont="1" applyBorder="1" applyAlignment="1">
      <alignment horizontal="right" vertical="center"/>
    </xf>
    <xf numFmtId="2" fontId="11" fillId="0" borderId="9" xfId="0" applyNumberFormat="1" applyFont="1" applyBorder="1" applyAlignment="1">
      <alignment horizontal="right" vertical="center"/>
    </xf>
    <xf numFmtId="3" fontId="11" fillId="0" borderId="12" xfId="0" applyNumberFormat="1" applyFont="1" applyBorder="1" applyAlignment="1">
      <alignment horizontal="right" vertical="center"/>
    </xf>
    <xf numFmtId="0" fontId="11" fillId="0" borderId="0" xfId="0" applyFont="1" applyBorder="1"/>
    <xf numFmtId="2" fontId="11" fillId="0" borderId="0" xfId="0" applyNumberFormat="1" applyFont="1"/>
    <xf numFmtId="0" fontId="11" fillId="0" borderId="0" xfId="0" applyFont="1"/>
    <xf numFmtId="0" fontId="20" fillId="2" borderId="0" xfId="0" applyFont="1" applyFill="1" applyBorder="1" applyAlignment="1">
      <alignment horizontal="left" vertical="center" wrapText="1"/>
    </xf>
    <xf numFmtId="0" fontId="20" fillId="2" borderId="16" xfId="0" applyFont="1" applyFill="1" applyBorder="1" applyAlignment="1">
      <alignment horizontal="left" vertical="center" wrapText="1"/>
    </xf>
    <xf numFmtId="0" fontId="11" fillId="0" borderId="9" xfId="0" applyFont="1" applyBorder="1" applyAlignment="1">
      <alignment horizontal="right" vertical="center"/>
    </xf>
    <xf numFmtId="0" fontId="20" fillId="0" borderId="15" xfId="0" applyFont="1" applyBorder="1" applyAlignment="1">
      <alignment horizontal="left" vertical="center"/>
    </xf>
    <xf numFmtId="3" fontId="22" fillId="0" borderId="9" xfId="0" applyNumberFormat="1" applyFont="1" applyBorder="1" applyAlignment="1">
      <alignment horizontal="right" vertical="center"/>
    </xf>
    <xf numFmtId="2" fontId="22" fillId="0" borderId="9" xfId="0" applyNumberFormat="1" applyFont="1" applyBorder="1" applyAlignment="1">
      <alignment horizontal="right" vertical="center"/>
    </xf>
    <xf numFmtId="3" fontId="22" fillId="0" borderId="12" xfId="0" applyNumberFormat="1" applyFont="1" applyBorder="1" applyAlignment="1">
      <alignment horizontal="right" vertical="center"/>
    </xf>
    <xf numFmtId="0" fontId="20" fillId="2" borderId="15" xfId="0" applyFont="1" applyFill="1" applyBorder="1" applyAlignment="1">
      <alignment horizontal="left" vertical="center" wrapText="1"/>
    </xf>
    <xf numFmtId="168" fontId="11" fillId="0" borderId="0" xfId="0" applyNumberFormat="1" applyFont="1"/>
    <xf numFmtId="0" fontId="22" fillId="0" borderId="19" xfId="0" applyFont="1" applyBorder="1" applyAlignment="1">
      <alignment vertical="center"/>
    </xf>
    <xf numFmtId="3" fontId="11" fillId="0" borderId="19" xfId="0" applyNumberFormat="1" applyFont="1" applyBorder="1" applyAlignment="1">
      <alignment horizontal="right" vertical="center"/>
    </xf>
    <xf numFmtId="2" fontId="11" fillId="0" borderId="19" xfId="0" applyNumberFormat="1" applyFont="1" applyBorder="1" applyAlignment="1">
      <alignment horizontal="right" vertical="center"/>
    </xf>
    <xf numFmtId="3" fontId="11" fillId="0" borderId="20" xfId="0" applyNumberFormat="1" applyFont="1" applyBorder="1" applyAlignment="1">
      <alignment horizontal="right" vertical="center"/>
    </xf>
    <xf numFmtId="0" fontId="10" fillId="0" borderId="0" xfId="0" applyFont="1" applyBorder="1"/>
    <xf numFmtId="0" fontId="20" fillId="2" borderId="14" xfId="0" applyFont="1" applyFill="1" applyBorder="1" applyAlignment="1">
      <alignment horizontal="left" vertical="center" wrapText="1"/>
    </xf>
    <xf numFmtId="0" fontId="22" fillId="0" borderId="0" xfId="0" applyFont="1" applyBorder="1" applyAlignment="1">
      <alignment vertical="center"/>
    </xf>
    <xf numFmtId="3" fontId="22" fillId="0" borderId="0" xfId="0" applyNumberFormat="1" applyFont="1" applyBorder="1" applyAlignment="1">
      <alignment horizontal="right" vertical="center"/>
    </xf>
    <xf numFmtId="2" fontId="22" fillId="0" borderId="0" xfId="0" applyNumberFormat="1" applyFont="1" applyBorder="1" applyAlignment="1">
      <alignment horizontal="right" vertical="center"/>
    </xf>
    <xf numFmtId="0" fontId="22" fillId="0" borderId="0" xfId="0" applyFont="1" applyBorder="1" applyAlignment="1">
      <alignment horizontal="right" vertical="center"/>
    </xf>
    <xf numFmtId="0" fontId="53" fillId="0" borderId="0" xfId="0" applyFont="1" applyFill="1" applyBorder="1" applyAlignment="1">
      <alignment vertical="center"/>
    </xf>
    <xf numFmtId="0" fontId="1" fillId="0" borderId="0" xfId="0" applyFont="1" applyBorder="1"/>
    <xf numFmtId="2" fontId="1" fillId="0" borderId="0" xfId="0" applyNumberFormat="1" applyFont="1"/>
    <xf numFmtId="2" fontId="11" fillId="0" borderId="0" xfId="0" applyNumberFormat="1" applyFont="1" applyBorder="1"/>
    <xf numFmtId="2" fontId="11" fillId="0" borderId="12" xfId="0" applyNumberFormat="1" applyFont="1" applyBorder="1" applyAlignment="1">
      <alignment horizontal="right" vertical="center"/>
    </xf>
    <xf numFmtId="3" fontId="11" fillId="0" borderId="0" xfId="0" applyNumberFormat="1" applyFont="1" applyBorder="1"/>
    <xf numFmtId="2" fontId="22" fillId="0" borderId="12" xfId="0" applyNumberFormat="1" applyFont="1" applyBorder="1" applyAlignment="1">
      <alignment horizontal="right" vertical="center"/>
    </xf>
    <xf numFmtId="0" fontId="47" fillId="0" borderId="0" xfId="0" applyFont="1" applyFill="1" applyBorder="1"/>
    <xf numFmtId="2" fontId="47" fillId="0" borderId="0" xfId="0" applyNumberFormat="1" applyFont="1" applyFill="1" applyBorder="1"/>
    <xf numFmtId="1" fontId="0" fillId="0" borderId="9" xfId="0" applyNumberFormat="1" applyFont="1" applyBorder="1" applyAlignment="1">
      <alignment horizontal="right"/>
    </xf>
    <xf numFmtId="2" fontId="0" fillId="0" borderId="9" xfId="0" applyNumberFormat="1" applyFont="1" applyBorder="1" applyAlignment="1">
      <alignment horizontal="right"/>
    </xf>
    <xf numFmtId="3" fontId="0" fillId="0" borderId="12" xfId="0" applyNumberFormat="1" applyFont="1" applyBorder="1" applyAlignment="1">
      <alignment horizontal="right"/>
    </xf>
    <xf numFmtId="2" fontId="0" fillId="0" borderId="12" xfId="0" applyNumberFormat="1" applyFont="1" applyBorder="1" applyAlignment="1">
      <alignment horizontal="right"/>
    </xf>
    <xf numFmtId="2" fontId="11" fillId="0" borderId="20" xfId="0" applyNumberFormat="1" applyFont="1" applyBorder="1" applyAlignment="1">
      <alignment horizontal="right" vertical="center"/>
    </xf>
    <xf numFmtId="0" fontId="58" fillId="0" borderId="0" xfId="0" applyFont="1" applyFill="1" applyBorder="1" applyAlignment="1">
      <alignment horizontal="left" vertical="top" wrapText="1"/>
    </xf>
    <xf numFmtId="0" fontId="59" fillId="0" borderId="0" xfId="0" applyFont="1" applyFill="1" applyBorder="1" applyAlignment="1">
      <alignment horizontal="left" vertical="top" wrapText="1"/>
    </xf>
    <xf numFmtId="0" fontId="60" fillId="0" borderId="0" xfId="0" applyFont="1"/>
    <xf numFmtId="0" fontId="60" fillId="0" borderId="0" xfId="0" applyFont="1" applyBorder="1"/>
    <xf numFmtId="0" fontId="60" fillId="0" borderId="14" xfId="0" applyFont="1" applyBorder="1"/>
    <xf numFmtId="0" fontId="60" fillId="0" borderId="0" xfId="0" applyFont="1" applyAlignment="1">
      <alignment horizontal="right"/>
    </xf>
    <xf numFmtId="0" fontId="60" fillId="0" borderId="18" xfId="0" applyFont="1" applyBorder="1"/>
    <xf numFmtId="0" fontId="58" fillId="0" borderId="0" xfId="0" applyFont="1" applyFill="1" applyBorder="1" applyAlignment="1">
      <alignment vertical="center" wrapText="1"/>
    </xf>
    <xf numFmtId="0" fontId="61" fillId="0" borderId="0" xfId="0" applyFont="1" applyFill="1" applyBorder="1" applyAlignment="1">
      <alignment vertical="center"/>
    </xf>
    <xf numFmtId="0" fontId="58" fillId="2" borderId="0" xfId="0" applyFont="1" applyFill="1" applyBorder="1" applyAlignment="1">
      <alignment vertical="center"/>
    </xf>
    <xf numFmtId="0" fontId="60" fillId="0" borderId="0" xfId="0" applyFont="1" applyBorder="1" applyAlignment="1">
      <alignment vertical="center"/>
    </xf>
    <xf numFmtId="0" fontId="60" fillId="0" borderId="0" xfId="0" applyFont="1" applyAlignment="1">
      <alignment vertical="center"/>
    </xf>
    <xf numFmtId="3" fontId="34" fillId="0" borderId="0" xfId="0" applyNumberFormat="1" applyFont="1" applyBorder="1" applyAlignment="1">
      <alignment horizontal="right"/>
    </xf>
    <xf numFmtId="0" fontId="34" fillId="2" borderId="0" xfId="0" applyFont="1" applyFill="1" applyBorder="1" applyAlignment="1">
      <alignment vertical="top" wrapText="1"/>
    </xf>
    <xf numFmtId="0" fontId="34" fillId="2" borderId="0" xfId="0" applyFont="1" applyFill="1" applyBorder="1" applyAlignment="1">
      <alignment horizontal="right" vertical="top" wrapText="1"/>
    </xf>
    <xf numFmtId="0" fontId="58" fillId="0" borderId="0" xfId="0" applyFont="1" applyFill="1" applyBorder="1" applyAlignment="1">
      <alignment vertical="top" wrapText="1"/>
    </xf>
    <xf numFmtId="0" fontId="60" fillId="0" borderId="7" xfId="0" applyFont="1" applyBorder="1" applyAlignment="1">
      <alignment horizontal="center" vertical="center" wrapText="1"/>
    </xf>
    <xf numFmtId="0" fontId="60" fillId="0" borderId="0" xfId="0" applyFont="1" applyBorder="1" applyAlignment="1">
      <alignment horizontal="right"/>
    </xf>
    <xf numFmtId="0" fontId="60" fillId="0" borderId="0" xfId="0" applyFont="1" applyBorder="1" applyAlignment="1">
      <alignment wrapText="1"/>
    </xf>
    <xf numFmtId="0" fontId="60" fillId="0" borderId="0" xfId="0" applyFont="1" applyBorder="1" applyAlignment="1">
      <alignment horizontal="center" vertical="center"/>
    </xf>
    <xf numFmtId="0" fontId="60" fillId="0" borderId="21" xfId="0" applyFont="1" applyBorder="1"/>
    <xf numFmtId="0" fontId="25" fillId="0" borderId="0" xfId="0" applyFont="1" applyFill="1" applyAlignment="1">
      <alignment vertical="top"/>
    </xf>
    <xf numFmtId="0" fontId="0" fillId="0" borderId="0" xfId="0" applyFont="1" applyBorder="1"/>
    <xf numFmtId="49" fontId="31" fillId="0" borderId="0" xfId="1" applyFont="1" applyBorder="1" applyAlignment="1">
      <alignment horizontal="left" vertical="top"/>
    </xf>
    <xf numFmtId="0" fontId="0" fillId="0" borderId="0" xfId="0" applyFont="1" applyBorder="1" applyAlignment="1">
      <alignment vertical="top"/>
    </xf>
    <xf numFmtId="0" fontId="0" fillId="0" borderId="0" xfId="0" applyFont="1" applyFill="1" applyBorder="1" applyAlignment="1">
      <alignment vertical="top"/>
    </xf>
    <xf numFmtId="2" fontId="0" fillId="0" borderId="0" xfId="0" applyNumberFormat="1" applyFont="1" applyFill="1" applyBorder="1"/>
    <xf numFmtId="49" fontId="31" fillId="0" borderId="0" xfId="1" applyFont="1" applyFill="1" applyAlignment="1">
      <alignment vertical="top"/>
    </xf>
    <xf numFmtId="0" fontId="11" fillId="0" borderId="0" xfId="0" applyFont="1" applyFill="1" applyAlignment="1">
      <alignment vertical="top"/>
    </xf>
    <xf numFmtId="0" fontId="11" fillId="0" borderId="0" xfId="0" applyFont="1" applyAlignment="1">
      <alignment vertical="top"/>
    </xf>
    <xf numFmtId="0" fontId="30" fillId="0" borderId="0" xfId="0" applyFont="1" applyFill="1"/>
    <xf numFmtId="0" fontId="11" fillId="0" borderId="0" xfId="0" applyFont="1" applyBorder="1"/>
    <xf numFmtId="49" fontId="22" fillId="0" borderId="9" xfId="0" applyNumberFormat="1" applyFont="1" applyBorder="1" applyAlignment="1">
      <alignment horizontal="left" vertical="center"/>
    </xf>
    <xf numFmtId="0" fontId="10" fillId="0" borderId="9" xfId="0" applyFont="1" applyBorder="1" applyAlignment="1">
      <alignment vertical="top" wrapText="1"/>
    </xf>
    <xf numFmtId="2" fontId="10" fillId="0" borderId="9" xfId="0" applyNumberFormat="1" applyFont="1" applyBorder="1" applyAlignment="1">
      <alignment vertical="top" wrapText="1"/>
    </xf>
    <xf numFmtId="3" fontId="10" fillId="0" borderId="12" xfId="0" applyNumberFormat="1" applyFont="1" applyBorder="1" applyAlignment="1">
      <alignment vertical="top" wrapText="1"/>
    </xf>
    <xf numFmtId="0" fontId="11" fillId="0" borderId="0" xfId="0" applyFont="1"/>
    <xf numFmtId="0" fontId="20" fillId="0" borderId="16" xfId="0" applyFont="1" applyBorder="1" applyAlignment="1">
      <alignment vertical="center"/>
    </xf>
    <xf numFmtId="0" fontId="20" fillId="0" borderId="15" xfId="0" applyFont="1" applyBorder="1" applyAlignment="1">
      <alignment vertical="center"/>
    </xf>
    <xf numFmtId="0" fontId="4" fillId="0" borderId="9" xfId="0" applyFont="1" applyBorder="1" applyAlignment="1">
      <alignment vertical="top" wrapText="1"/>
    </xf>
    <xf numFmtId="2" fontId="4" fillId="0" borderId="9" xfId="0" applyNumberFormat="1" applyFont="1" applyBorder="1" applyAlignment="1">
      <alignment vertical="top" wrapText="1"/>
    </xf>
    <xf numFmtId="3" fontId="4" fillId="0" borderId="12" xfId="0" applyNumberFormat="1" applyFont="1" applyBorder="1" applyAlignment="1">
      <alignment vertical="top" wrapText="1"/>
    </xf>
    <xf numFmtId="3" fontId="10" fillId="0" borderId="9" xfId="0" applyNumberFormat="1" applyFont="1" applyBorder="1" applyAlignment="1">
      <alignment vertical="top" wrapText="1"/>
    </xf>
    <xf numFmtId="3" fontId="4" fillId="0" borderId="9" xfId="0" applyNumberFormat="1" applyFont="1" applyBorder="1" applyAlignment="1">
      <alignment vertical="top" wrapText="1"/>
    </xf>
    <xf numFmtId="0" fontId="4" fillId="0" borderId="11" xfId="0" applyFont="1" applyBorder="1" applyAlignment="1">
      <alignment vertical="center"/>
    </xf>
    <xf numFmtId="49" fontId="4" fillId="0" borderId="9" xfId="0" applyNumberFormat="1" applyFont="1" applyBorder="1" applyAlignment="1">
      <alignment horizontal="left" vertical="center"/>
    </xf>
    <xf numFmtId="0" fontId="33" fillId="0" borderId="0" xfId="0" applyFont="1" applyFill="1"/>
    <xf numFmtId="0" fontId="25" fillId="0" borderId="0" xfId="0" applyFont="1" applyFill="1"/>
    <xf numFmtId="0" fontId="10" fillId="0" borderId="0" xfId="0" applyFont="1" applyFill="1"/>
    <xf numFmtId="0" fontId="33" fillId="0" borderId="0" xfId="0" applyFont="1"/>
    <xf numFmtId="0" fontId="30" fillId="0" borderId="0" xfId="0" applyFont="1" applyFill="1"/>
    <xf numFmtId="0" fontId="30" fillId="0" borderId="0" xfId="0" applyFont="1"/>
    <xf numFmtId="0" fontId="22" fillId="0" borderId="16" xfId="0" applyFont="1" applyBorder="1" applyAlignment="1">
      <alignment horizontal="left" vertical="center"/>
    </xf>
    <xf numFmtId="49" fontId="22" fillId="0" borderId="19" xfId="0" applyNumberFormat="1" applyFont="1" applyBorder="1" applyAlignment="1">
      <alignment horizontal="left" vertical="center"/>
    </xf>
    <xf numFmtId="0" fontId="20" fillId="0" borderId="16" xfId="0" applyFont="1" applyBorder="1" applyAlignment="1">
      <alignment horizontal="left" vertical="center"/>
    </xf>
    <xf numFmtId="0" fontId="20" fillId="0" borderId="15" xfId="0" applyFont="1" applyBorder="1" applyAlignment="1">
      <alignment horizontal="left" vertical="center"/>
    </xf>
    <xf numFmtId="0" fontId="22" fillId="0" borderId="17" xfId="0" applyFont="1" applyBorder="1" applyAlignment="1">
      <alignment horizontal="left" vertical="center"/>
    </xf>
    <xf numFmtId="0" fontId="4" fillId="0" borderId="11" xfId="0" applyFont="1" applyBorder="1" applyAlignment="1">
      <alignment horizontal="left" vertical="center"/>
    </xf>
    <xf numFmtId="0" fontId="10" fillId="0" borderId="0" xfId="0" applyFont="1"/>
    <xf numFmtId="0" fontId="11" fillId="0" borderId="0" xfId="0" applyFont="1" applyFill="1"/>
    <xf numFmtId="2" fontId="0" fillId="0" borderId="0" xfId="0" applyNumberFormat="1"/>
    <xf numFmtId="0" fontId="10" fillId="0" borderId="0" xfId="0" applyFont="1" applyFill="1" applyAlignment="1"/>
    <xf numFmtId="0" fontId="30" fillId="0" borderId="0" xfId="0" applyFont="1"/>
    <xf numFmtId="0" fontId="62" fillId="0" borderId="0" xfId="50" applyFont="1" applyFill="1">
      <alignment horizontal="left" vertical="top"/>
    </xf>
    <xf numFmtId="0" fontId="4" fillId="0" borderId="17" xfId="0" applyFont="1" applyFill="1" applyBorder="1" applyAlignment="1">
      <alignment vertical="top"/>
    </xf>
    <xf numFmtId="49" fontId="10" fillId="0" borderId="9" xfId="0" applyNumberFormat="1" applyFont="1" applyFill="1" applyBorder="1" applyAlignment="1">
      <alignment horizontal="left"/>
    </xf>
    <xf numFmtId="0" fontId="10" fillId="0" borderId="0" xfId="0" applyFont="1" applyFill="1"/>
    <xf numFmtId="169" fontId="10" fillId="0" borderId="0" xfId="0" applyNumberFormat="1" applyFont="1" applyFill="1"/>
    <xf numFmtId="0" fontId="20" fillId="0" borderId="16" xfId="0" applyFont="1" applyFill="1" applyBorder="1" applyAlignment="1">
      <alignment vertical="top"/>
    </xf>
    <xf numFmtId="0" fontId="20" fillId="0" borderId="15" xfId="0" applyFont="1" applyFill="1" applyBorder="1" applyAlignment="1">
      <alignment vertical="top"/>
    </xf>
    <xf numFmtId="0" fontId="4" fillId="0" borderId="9" xfId="0" applyFont="1" applyFill="1" applyBorder="1"/>
    <xf numFmtId="0" fontId="4" fillId="0" borderId="0" xfId="0" applyFont="1" applyFill="1"/>
    <xf numFmtId="0" fontId="10" fillId="0" borderId="9" xfId="0" applyFont="1" applyFill="1" applyBorder="1"/>
    <xf numFmtId="0" fontId="20" fillId="0" borderId="0" xfId="0" applyFont="1" applyFill="1" applyBorder="1" applyAlignment="1">
      <alignment vertical="top"/>
    </xf>
    <xf numFmtId="0" fontId="4" fillId="0" borderId="21" xfId="0" applyFont="1" applyFill="1" applyBorder="1" applyAlignment="1">
      <alignment vertical="top"/>
    </xf>
    <xf numFmtId="0" fontId="4" fillId="0" borderId="11" xfId="0" applyFont="1" applyFill="1" applyBorder="1" applyAlignment="1">
      <alignment horizontal="left" vertical="top"/>
    </xf>
    <xf numFmtId="0" fontId="4" fillId="0" borderId="9" xfId="0" applyFont="1" applyFill="1" applyBorder="1" applyAlignment="1">
      <alignment horizontal="left" vertical="center"/>
    </xf>
    <xf numFmtId="0" fontId="33" fillId="0" borderId="0" xfId="0" applyFont="1" applyFill="1"/>
    <xf numFmtId="0" fontId="25" fillId="0" borderId="0" xfId="0" applyFont="1" applyAlignment="1">
      <alignment horizontal="left" vertical="center"/>
    </xf>
    <xf numFmtId="0" fontId="10" fillId="0" borderId="0" xfId="0" applyFont="1"/>
    <xf numFmtId="0" fontId="25" fillId="0" borderId="0" xfId="0" applyFont="1" applyFill="1"/>
    <xf numFmtId="0" fontId="10" fillId="0" borderId="0" xfId="0" applyFont="1" applyFill="1"/>
    <xf numFmtId="0" fontId="33" fillId="0" borderId="0" xfId="0" applyFont="1"/>
    <xf numFmtId="0" fontId="10" fillId="0" borderId="0" xfId="0" applyFont="1" applyFill="1" applyAlignment="1">
      <alignment horizontal="right" vertical="center"/>
    </xf>
    <xf numFmtId="0" fontId="10" fillId="0" borderId="0" xfId="0" applyFont="1" applyAlignment="1">
      <alignment horizontal="right" vertical="center"/>
    </xf>
    <xf numFmtId="0" fontId="25" fillId="0" borderId="0" xfId="0" applyFont="1" applyFill="1" applyAlignment="1">
      <alignment horizontal="right" vertical="center" wrapText="1"/>
    </xf>
    <xf numFmtId="0" fontId="0" fillId="0" borderId="0" xfId="0" applyFont="1" applyAlignment="1">
      <alignment horizontal="right" vertical="center"/>
    </xf>
    <xf numFmtId="0" fontId="22" fillId="0" borderId="0" xfId="0" applyFont="1" applyAlignment="1">
      <alignment horizontal="right" vertical="center"/>
    </xf>
    <xf numFmtId="0" fontId="10" fillId="0" borderId="0" xfId="0" applyFont="1"/>
    <xf numFmtId="49" fontId="65" fillId="0" borderId="0" xfId="1" applyFont="1" applyFill="1" applyAlignment="1">
      <alignment vertical="top"/>
    </xf>
    <xf numFmtId="0" fontId="10" fillId="0" borderId="0" xfId="0" applyFont="1" applyFill="1" applyAlignment="1">
      <alignment vertical="top"/>
    </xf>
    <xf numFmtId="0" fontId="10" fillId="0" borderId="0" xfId="0" applyFont="1" applyAlignment="1">
      <alignment vertical="top"/>
    </xf>
    <xf numFmtId="0" fontId="52" fillId="0" borderId="0" xfId="0" applyFont="1" applyFill="1"/>
    <xf numFmtId="0" fontId="52" fillId="0" borderId="0" xfId="0" applyFont="1"/>
    <xf numFmtId="0" fontId="10" fillId="0" borderId="0" xfId="0" applyFont="1" applyBorder="1"/>
    <xf numFmtId="0" fontId="4" fillId="0" borderId="17" xfId="0" applyFont="1" applyBorder="1" applyAlignment="1">
      <alignment vertical="center"/>
    </xf>
    <xf numFmtId="2" fontId="10" fillId="0" borderId="0" xfId="0" applyNumberFormat="1" applyFont="1"/>
    <xf numFmtId="0" fontId="4" fillId="0" borderId="0" xfId="0" applyFont="1"/>
    <xf numFmtId="2" fontId="10" fillId="0" borderId="0" xfId="0" applyNumberFormat="1" applyFont="1" applyFill="1"/>
    <xf numFmtId="169" fontId="10" fillId="0" borderId="9" xfId="0" applyNumberFormat="1" applyFont="1" applyFill="1" applyBorder="1" applyAlignment="1">
      <alignment horizontal="right" vertical="center"/>
    </xf>
    <xf numFmtId="169" fontId="4" fillId="0" borderId="9" xfId="0" applyNumberFormat="1" applyFont="1" applyFill="1" applyBorder="1" applyAlignment="1">
      <alignment horizontal="right" vertical="center"/>
    </xf>
    <xf numFmtId="0" fontId="4" fillId="0" borderId="9" xfId="0" applyFont="1" applyFill="1" applyBorder="1" applyAlignment="1">
      <alignment horizontal="right" vertical="center"/>
    </xf>
    <xf numFmtId="0" fontId="66" fillId="0" borderId="0" xfId="0" applyFont="1" applyFill="1" applyBorder="1" applyAlignment="1">
      <alignment horizontal="left" vertical="top" wrapText="1"/>
    </xf>
    <xf numFmtId="0" fontId="66" fillId="0" borderId="0" xfId="0" applyFont="1" applyBorder="1"/>
    <xf numFmtId="0" fontId="66" fillId="0" borderId="14" xfId="0" applyFont="1" applyBorder="1"/>
    <xf numFmtId="0" fontId="66" fillId="0" borderId="18" xfId="0" applyFont="1" applyBorder="1"/>
    <xf numFmtId="0" fontId="66" fillId="2" borderId="0" xfId="0" applyFont="1" applyFill="1" applyBorder="1" applyAlignment="1">
      <alignment vertical="top" wrapText="1"/>
    </xf>
    <xf numFmtId="0" fontId="64" fillId="0" borderId="0" xfId="0" applyFont="1" applyFill="1" applyAlignment="1">
      <alignment horizontal="left" vertical="top" wrapText="1"/>
    </xf>
    <xf numFmtId="0" fontId="64" fillId="0" borderId="0" xfId="0" applyFont="1" applyFill="1" applyAlignment="1">
      <alignment vertical="top" wrapText="1"/>
    </xf>
    <xf numFmtId="0" fontId="34" fillId="0" borderId="0" xfId="0" applyFont="1" applyBorder="1"/>
    <xf numFmtId="0" fontId="34" fillId="0" borderId="0" xfId="0" applyFont="1"/>
    <xf numFmtId="0" fontId="34" fillId="0" borderId="0" xfId="0" applyFont="1" applyBorder="1" applyAlignment="1">
      <alignment vertical="center"/>
    </xf>
    <xf numFmtId="0" fontId="34" fillId="0" borderId="0" xfId="0" applyFont="1" applyFill="1" applyBorder="1" applyAlignment="1">
      <alignment vertical="center"/>
    </xf>
    <xf numFmtId="0" fontId="11" fillId="0" borderId="0" xfId="0" applyFont="1" applyAlignment="1"/>
    <xf numFmtId="0" fontId="67" fillId="0" borderId="0" xfId="0" applyFont="1" applyFill="1"/>
    <xf numFmtId="0" fontId="67" fillId="0" borderId="0" xfId="0" applyFont="1" applyFill="1" applyAlignment="1">
      <alignment horizontal="right" vertical="center"/>
    </xf>
    <xf numFmtId="0" fontId="0" fillId="0" borderId="0" xfId="0" applyFont="1" applyAlignment="1">
      <alignment vertical="center"/>
    </xf>
    <xf numFmtId="2" fontId="0" fillId="0" borderId="0" xfId="0" applyNumberFormat="1" applyAlignment="1">
      <alignment vertical="center"/>
    </xf>
    <xf numFmtId="0" fontId="31" fillId="0" borderId="0" xfId="1" applyNumberFormat="1" applyFont="1" applyBorder="1" applyAlignment="1">
      <alignment horizontal="left" vertical="center"/>
    </xf>
    <xf numFmtId="0" fontId="0" fillId="0" borderId="0" xfId="0" applyFont="1" applyBorder="1" applyAlignment="1">
      <alignment vertical="center"/>
    </xf>
    <xf numFmtId="0" fontId="0" fillId="0" borderId="0" xfId="0" applyFont="1" applyFill="1" applyBorder="1" applyAlignment="1">
      <alignment vertical="center"/>
    </xf>
    <xf numFmtId="49" fontId="4" fillId="0" borderId="0" xfId="1" applyFont="1" applyBorder="1" applyAlignment="1">
      <alignment horizontal="left" vertical="center" wrapText="1"/>
    </xf>
    <xf numFmtId="49" fontId="65" fillId="0" borderId="0" xfId="1" applyFont="1" applyBorder="1" applyAlignment="1">
      <alignment horizontal="left" vertical="center"/>
    </xf>
    <xf numFmtId="0" fontId="30" fillId="0" borderId="0" xfId="50">
      <alignment horizontal="left" vertical="top"/>
    </xf>
    <xf numFmtId="0" fontId="54" fillId="0" borderId="0" xfId="0" applyFont="1" applyFill="1" applyBorder="1" applyAlignment="1">
      <alignment vertical="center"/>
    </xf>
    <xf numFmtId="0" fontId="56" fillId="0" borderId="0" xfId="0" applyFont="1" applyAlignment="1">
      <alignment vertical="center"/>
    </xf>
    <xf numFmtId="2" fontId="56" fillId="0" borderId="0" xfId="0" applyNumberFormat="1" applyFont="1" applyAlignment="1">
      <alignment vertical="center"/>
    </xf>
    <xf numFmtId="0" fontId="1" fillId="0" borderId="0" xfId="0" applyFont="1" applyAlignment="1">
      <alignment vertical="center"/>
    </xf>
    <xf numFmtId="0" fontId="11" fillId="0" borderId="0" xfId="0" applyFont="1" applyFill="1" applyBorder="1" applyAlignment="1">
      <alignment vertical="center"/>
    </xf>
    <xf numFmtId="2" fontId="11" fillId="0" borderId="0" xfId="0" applyNumberFormat="1" applyFont="1" applyFill="1" applyBorder="1" applyAlignment="1">
      <alignment vertical="center"/>
    </xf>
    <xf numFmtId="0" fontId="20" fillId="0" borderId="0" xfId="0" applyFont="1" applyFill="1" applyBorder="1" applyAlignment="1">
      <alignment horizontal="left" vertical="center" wrapText="1"/>
    </xf>
    <xf numFmtId="0" fontId="0" fillId="0" borderId="0" xfId="0" applyFont="1" applyFill="1" applyAlignment="1">
      <alignment vertical="center"/>
    </xf>
    <xf numFmtId="49" fontId="10" fillId="37" borderId="9" xfId="0" applyNumberFormat="1" applyFont="1" applyFill="1" applyBorder="1" applyAlignment="1">
      <alignment horizontal="center" vertical="center"/>
    </xf>
    <xf numFmtId="0" fontId="10" fillId="0" borderId="0" xfId="0" applyFont="1" applyBorder="1" applyAlignment="1">
      <alignment vertical="center"/>
    </xf>
    <xf numFmtId="49" fontId="4" fillId="0" borderId="0" xfId="1" applyFont="1" applyBorder="1" applyAlignment="1">
      <alignment horizontal="left" vertical="center"/>
    </xf>
    <xf numFmtId="49" fontId="4" fillId="0" borderId="0" xfId="1" applyFont="1" applyBorder="1" applyAlignment="1">
      <alignment vertical="center"/>
    </xf>
    <xf numFmtId="0" fontId="52" fillId="0" borderId="0" xfId="0" applyFont="1" applyFill="1" applyBorder="1" applyAlignment="1">
      <alignment vertical="top"/>
    </xf>
    <xf numFmtId="3" fontId="10" fillId="0" borderId="9" xfId="0" applyNumberFormat="1" applyFont="1" applyBorder="1" applyAlignment="1">
      <alignment horizontal="right" vertical="center"/>
    </xf>
    <xf numFmtId="2" fontId="10" fillId="0" borderId="12" xfId="0" applyNumberFormat="1" applyFont="1" applyBorder="1" applyAlignment="1">
      <alignment horizontal="right" vertical="center"/>
    </xf>
    <xf numFmtId="3" fontId="4" fillId="0" borderId="9" xfId="0" applyNumberFormat="1" applyFont="1" applyBorder="1" applyAlignment="1">
      <alignment horizontal="right" vertical="center"/>
    </xf>
    <xf numFmtId="2" fontId="4" fillId="0" borderId="12" xfId="0" applyNumberFormat="1" applyFont="1" applyBorder="1" applyAlignment="1">
      <alignment horizontal="right" vertical="center"/>
    </xf>
    <xf numFmtId="0" fontId="57" fillId="36" borderId="8" xfId="0" applyFont="1" applyFill="1" applyBorder="1" applyAlignment="1">
      <alignment horizontal="left" wrapText="1"/>
    </xf>
    <xf numFmtId="2" fontId="10" fillId="0" borderId="19" xfId="0" applyNumberFormat="1" applyFont="1" applyBorder="1" applyAlignment="1">
      <alignment vertical="top" wrapText="1"/>
    </xf>
    <xf numFmtId="2" fontId="10" fillId="0" borderId="20" xfId="0" applyNumberFormat="1" applyFont="1" applyBorder="1" applyAlignment="1">
      <alignment vertical="top" wrapText="1"/>
    </xf>
    <xf numFmtId="2" fontId="10" fillId="0" borderId="12" xfId="0" applyNumberFormat="1" applyFont="1" applyBorder="1" applyAlignment="1">
      <alignment vertical="top" wrapText="1"/>
    </xf>
    <xf numFmtId="2" fontId="4" fillId="0" borderId="12" xfId="0" applyNumberFormat="1" applyFont="1" applyBorder="1" applyAlignment="1">
      <alignment vertical="top" wrapText="1"/>
    </xf>
    <xf numFmtId="0" fontId="10" fillId="0" borderId="12" xfId="0" applyFont="1" applyFill="1" applyBorder="1" applyAlignment="1">
      <alignment horizontal="right" vertical="center"/>
    </xf>
    <xf numFmtId="0" fontId="4" fillId="0" borderId="12" xfId="0" applyFont="1" applyFill="1" applyBorder="1" applyAlignment="1">
      <alignment horizontal="right" vertical="center"/>
    </xf>
    <xf numFmtId="0" fontId="20" fillId="34" borderId="8" xfId="52" applyBorder="1" applyAlignment="1">
      <alignment horizontal="left" wrapText="1"/>
    </xf>
    <xf numFmtId="0" fontId="20" fillId="34" borderId="8" xfId="52" applyBorder="1" applyAlignment="1">
      <alignment horizontal="center" wrapText="1"/>
    </xf>
    <xf numFmtId="2" fontId="20" fillId="34" borderId="8" xfId="52" applyNumberFormat="1" applyBorder="1" applyAlignment="1">
      <alignment horizontal="center" wrapText="1"/>
    </xf>
    <xf numFmtId="0" fontId="20" fillId="34" borderId="7" xfId="52" applyBorder="1" applyAlignment="1">
      <alignment horizontal="center" wrapText="1"/>
    </xf>
    <xf numFmtId="0" fontId="20" fillId="34" borderId="8" xfId="52" applyBorder="1" applyAlignment="1">
      <alignment wrapText="1"/>
    </xf>
    <xf numFmtId="0" fontId="20" fillId="34" borderId="8" xfId="52" applyBorder="1" applyAlignment="1">
      <alignment horizontal="left" vertical="top" wrapText="1"/>
    </xf>
    <xf numFmtId="0" fontId="25" fillId="0" borderId="0" xfId="0" applyFont="1" applyFill="1" applyAlignment="1">
      <alignment vertical="top" wrapText="1"/>
    </xf>
    <xf numFmtId="0" fontId="25" fillId="0" borderId="0" xfId="0" applyFont="1" applyAlignment="1">
      <alignment vertical="top"/>
    </xf>
    <xf numFmtId="0" fontId="4" fillId="0" borderId="0" xfId="0" applyFont="1" applyBorder="1" applyAlignment="1">
      <alignment vertical="center"/>
    </xf>
    <xf numFmtId="3" fontId="4" fillId="0" borderId="0" xfId="0" applyNumberFormat="1" applyFont="1" applyBorder="1" applyAlignment="1">
      <alignment horizontal="right" vertical="center"/>
    </xf>
    <xf numFmtId="2" fontId="4" fillId="0" borderId="0" xfId="0" applyNumberFormat="1" applyFont="1" applyBorder="1" applyAlignment="1">
      <alignment horizontal="right" vertical="center"/>
    </xf>
    <xf numFmtId="0" fontId="4" fillId="0" borderId="0" xfId="0" applyFont="1" applyBorder="1" applyAlignment="1">
      <alignment horizontal="right" vertical="center"/>
    </xf>
    <xf numFmtId="0" fontId="4" fillId="0" borderId="0" xfId="0" applyFont="1" applyFill="1" applyBorder="1" applyAlignment="1">
      <alignment vertical="center"/>
    </xf>
    <xf numFmtId="3" fontId="4" fillId="0" borderId="0" xfId="0" applyNumberFormat="1" applyFont="1" applyFill="1" applyBorder="1" applyAlignment="1">
      <alignment horizontal="right" vertical="center"/>
    </xf>
    <xf numFmtId="49" fontId="31" fillId="0" borderId="0" xfId="1" applyFont="1" applyBorder="1" applyAlignment="1">
      <alignment vertical="top"/>
    </xf>
    <xf numFmtId="0" fontId="34" fillId="0" borderId="8" xfId="0" applyFont="1" applyFill="1" applyBorder="1" applyAlignment="1">
      <alignment horizontal="left" wrapText="1"/>
    </xf>
    <xf numFmtId="0" fontId="34" fillId="0" borderId="10" xfId="0" applyFont="1" applyFill="1" applyBorder="1" applyAlignment="1">
      <alignment horizontal="center" wrapText="1"/>
    </xf>
    <xf numFmtId="2" fontId="34" fillId="0" borderId="10" xfId="0" applyNumberFormat="1" applyFont="1" applyFill="1" applyBorder="1" applyAlignment="1">
      <alignment horizontal="center" wrapText="1"/>
    </xf>
    <xf numFmtId="0" fontId="34" fillId="0" borderId="13" xfId="0" applyFont="1" applyFill="1" applyBorder="1" applyAlignment="1">
      <alignment horizontal="center" wrapText="1"/>
    </xf>
    <xf numFmtId="0" fontId="60" fillId="0" borderId="7" xfId="0" applyFont="1" applyBorder="1" applyAlignment="1">
      <alignment horizontal="center"/>
    </xf>
    <xf numFmtId="0" fontId="60" fillId="0" borderId="7" xfId="0" applyFont="1" applyBorder="1" applyAlignment="1">
      <alignment horizontal="left"/>
    </xf>
    <xf numFmtId="0" fontId="58" fillId="2" borderId="0" xfId="0" applyFont="1" applyFill="1" applyBorder="1" applyAlignment="1">
      <alignment vertical="top" wrapText="1"/>
    </xf>
    <xf numFmtId="0" fontId="34" fillId="2" borderId="7" xfId="0" applyFont="1" applyFill="1" applyBorder="1" applyAlignment="1">
      <alignment horizontal="center" wrapText="1"/>
    </xf>
    <xf numFmtId="0" fontId="34" fillId="2" borderId="7" xfId="0" applyFont="1" applyFill="1" applyBorder="1" applyAlignment="1">
      <alignment horizontal="left" wrapText="1"/>
    </xf>
    <xf numFmtId="0" fontId="34" fillId="2" borderId="21" xfId="0" applyFont="1" applyFill="1" applyBorder="1" applyAlignment="1">
      <alignment vertical="top" wrapText="1"/>
    </xf>
    <xf numFmtId="0" fontId="66" fillId="2" borderId="21" xfId="0" applyFont="1" applyFill="1" applyBorder="1" applyAlignment="1">
      <alignment vertical="top" wrapText="1"/>
    </xf>
    <xf numFmtId="0" fontId="66" fillId="0" borderId="21" xfId="0" applyFont="1" applyBorder="1"/>
    <xf numFmtId="0" fontId="60" fillId="0" borderId="7" xfId="0" applyFont="1" applyBorder="1" applyAlignment="1">
      <alignment horizontal="center" wrapText="1"/>
    </xf>
    <xf numFmtId="49" fontId="70" fillId="0" borderId="0" xfId="1" applyFont="1" applyFill="1" applyAlignment="1">
      <alignment vertical="top" wrapText="1"/>
    </xf>
    <xf numFmtId="0" fontId="60" fillId="38" borderId="0" xfId="0" applyFont="1" applyFill="1" applyBorder="1" applyAlignment="1">
      <alignment horizontal="right"/>
    </xf>
    <xf numFmtId="49" fontId="31" fillId="0" borderId="0" xfId="1" applyAlignment="1">
      <alignment vertical="top"/>
    </xf>
    <xf numFmtId="0" fontId="0" fillId="38" borderId="0" xfId="0" applyFont="1" applyFill="1" applyBorder="1" applyAlignment="1">
      <alignment horizontal="left"/>
    </xf>
    <xf numFmtId="0" fontId="0" fillId="38" borderId="0" xfId="0" applyFont="1" applyFill="1" applyBorder="1" applyAlignment="1">
      <alignment horizontal="left" vertical="top"/>
    </xf>
    <xf numFmtId="0" fontId="0" fillId="38" borderId="0" xfId="0" applyFont="1" applyFill="1" applyAlignment="1">
      <alignment horizontal="left" vertical="top"/>
    </xf>
    <xf numFmtId="0" fontId="0" fillId="38" borderId="0" xfId="0" applyFont="1" applyFill="1" applyAlignment="1">
      <alignment vertical="top"/>
    </xf>
    <xf numFmtId="0" fontId="0" fillId="38" borderId="0" xfId="0" applyFont="1" applyFill="1" applyAlignment="1">
      <alignment vertical="top" wrapText="1"/>
    </xf>
    <xf numFmtId="0" fontId="0" fillId="38" borderId="0" xfId="0" applyFont="1" applyFill="1"/>
    <xf numFmtId="0" fontId="0" fillId="38" borderId="0" xfId="0" applyFont="1" applyFill="1" applyAlignment="1">
      <alignment horizontal="right" vertical="center"/>
    </xf>
    <xf numFmtId="0" fontId="0" fillId="38" borderId="0" xfId="0" applyFont="1" applyFill="1" applyAlignment="1"/>
    <xf numFmtId="0" fontId="72" fillId="0" borderId="0" xfId="8" applyFont="1" applyAlignment="1">
      <alignment horizontal="left" vertical="top" wrapText="1"/>
    </xf>
    <xf numFmtId="0" fontId="11" fillId="0" borderId="0" xfId="48" applyFont="1" applyFill="1" applyAlignment="1">
      <alignment vertical="top" wrapText="1"/>
    </xf>
    <xf numFmtId="0" fontId="73" fillId="0" borderId="0" xfId="48" applyFont="1" applyFill="1" applyAlignment="1">
      <alignment vertical="top" wrapText="1"/>
    </xf>
    <xf numFmtId="49" fontId="31" fillId="0" borderId="0" xfId="1" applyFont="1" applyFill="1" applyAlignment="1">
      <alignment horizontal="left" vertical="top" wrapText="1"/>
    </xf>
    <xf numFmtId="49" fontId="31" fillId="0" borderId="0" xfId="1" applyFont="1" applyFill="1" applyBorder="1" applyAlignment="1">
      <alignment horizontal="left" vertical="top" wrapText="1"/>
    </xf>
    <xf numFmtId="49" fontId="31" fillId="0" borderId="0" xfId="1" applyFont="1" applyAlignment="1">
      <alignment vertical="top" wrapText="1"/>
    </xf>
    <xf numFmtId="49" fontId="31" fillId="0" borderId="0" xfId="1" applyFont="1" applyFill="1" applyAlignment="1" applyProtection="1">
      <alignment horizontal="left" vertical="top" wrapText="1"/>
    </xf>
    <xf numFmtId="0" fontId="30" fillId="0" borderId="0" xfId="50" applyFont="1" applyAlignment="1">
      <alignment horizontal="left" vertical="center"/>
    </xf>
    <xf numFmtId="0" fontId="75" fillId="0" borderId="0" xfId="0" applyFont="1" applyFill="1" applyAlignment="1">
      <alignment vertical="top"/>
    </xf>
    <xf numFmtId="0" fontId="76" fillId="0" borderId="0" xfId="0" applyFont="1"/>
    <xf numFmtId="0" fontId="75" fillId="0" borderId="0" xfId="0" applyFont="1" applyFill="1" applyAlignment="1"/>
    <xf numFmtId="0" fontId="20" fillId="34" borderId="8" xfId="52" applyFont="1" applyBorder="1" applyAlignment="1">
      <alignment horizontal="center" wrapText="1"/>
    </xf>
    <xf numFmtId="0" fontId="20" fillId="34" borderId="7" xfId="52" applyFont="1" applyBorder="1" applyAlignment="1">
      <alignment horizontal="center" wrapText="1"/>
    </xf>
    <xf numFmtId="0" fontId="0" fillId="0" borderId="0" xfId="0" applyFont="1" applyAlignment="1">
      <alignment vertical="top" wrapText="1"/>
    </xf>
    <xf numFmtId="0" fontId="25" fillId="0" borderId="0" xfId="0" applyFont="1" applyFill="1" applyAlignment="1">
      <alignment horizontal="left" vertical="top" wrapText="1"/>
    </xf>
    <xf numFmtId="0" fontId="25" fillId="0" borderId="0" xfId="0" applyFont="1" applyAlignment="1">
      <alignment horizontal="left" vertical="top" wrapText="1"/>
    </xf>
    <xf numFmtId="49" fontId="70" fillId="0" borderId="0" xfId="1" applyFont="1" applyFill="1" applyAlignment="1">
      <alignment horizontal="left" vertical="top" wrapText="1"/>
    </xf>
    <xf numFmtId="0" fontId="30" fillId="0" borderId="0" xfId="50" applyFont="1" applyAlignment="1">
      <alignment horizontal="left" vertical="center" wrapText="1"/>
    </xf>
    <xf numFmtId="0" fontId="30" fillId="0" borderId="14" xfId="0" applyFont="1" applyFill="1" applyBorder="1" applyAlignment="1">
      <alignment horizontal="left" vertical="center" wrapText="1"/>
    </xf>
    <xf numFmtId="0" fontId="25" fillId="0" borderId="0" xfId="0" applyFont="1" applyAlignment="1">
      <alignment horizontal="left" wrapText="1"/>
    </xf>
    <xf numFmtId="0" fontId="69" fillId="2" borderId="14" xfId="0" applyFont="1" applyFill="1" applyBorder="1" applyAlignment="1">
      <alignment horizontal="left" vertical="center" wrapText="1"/>
    </xf>
    <xf numFmtId="49" fontId="31" fillId="0" borderId="0" xfId="1" applyAlignment="1">
      <alignment vertical="top"/>
    </xf>
    <xf numFmtId="49" fontId="4" fillId="0" borderId="0" xfId="1" applyFont="1" applyBorder="1" applyAlignment="1">
      <alignment horizontal="left" vertical="center"/>
    </xf>
    <xf numFmtId="0" fontId="30" fillId="0" borderId="0" xfId="50" applyFont="1" applyAlignment="1">
      <alignment horizontal="left" vertical="top" wrapText="1"/>
    </xf>
    <xf numFmtId="0" fontId="30" fillId="0" borderId="0" xfId="50" applyFont="1">
      <alignment horizontal="left" vertical="top"/>
    </xf>
    <xf numFmtId="0" fontId="25" fillId="0" borderId="0" xfId="0" applyFont="1" applyFill="1" applyAlignment="1">
      <alignment vertical="top" wrapText="1"/>
    </xf>
    <xf numFmtId="0" fontId="0" fillId="0" borderId="0" xfId="0" applyAlignment="1">
      <alignment wrapText="1"/>
    </xf>
    <xf numFmtId="0" fontId="75" fillId="0" borderId="0" xfId="0" applyFont="1" applyFill="1" applyAlignment="1">
      <alignment wrapText="1"/>
    </xf>
  </cellXfs>
  <cellStyles count="94">
    <cellStyle name="20% - Accent1" xfId="25" builtinId="30" hidden="1"/>
    <cellStyle name="20% - Accent1" xfId="71" builtinId="30" hidden="1" customBuiltin="1"/>
    <cellStyle name="20% - Accent2" xfId="29" builtinId="34" hidden="1"/>
    <cellStyle name="20% - Accent2" xfId="75" builtinId="34" hidden="1" customBuiltin="1"/>
    <cellStyle name="20% - Accent3" xfId="33" builtinId="38" hidden="1"/>
    <cellStyle name="20% - Accent3" xfId="79" builtinId="38" hidden="1" customBuiltin="1"/>
    <cellStyle name="20% - Accent4" xfId="37" builtinId="42" hidden="1"/>
    <cellStyle name="20% - Accent4" xfId="83" builtinId="42" hidden="1" customBuiltin="1"/>
    <cellStyle name="20% - Accent5" xfId="41" builtinId="46" hidden="1"/>
    <cellStyle name="20% - Accent5" xfId="87" builtinId="46" hidden="1" customBuiltin="1"/>
    <cellStyle name="20% - Accent6" xfId="45" builtinId="50" hidden="1"/>
    <cellStyle name="20% - Accent6" xfId="91" builtinId="50" hidden="1" customBuiltin="1"/>
    <cellStyle name="40% - Accent1" xfId="26" builtinId="31" hidden="1"/>
    <cellStyle name="40% - Accent1" xfId="72" builtinId="31" hidden="1" customBuiltin="1"/>
    <cellStyle name="40% - Accent2" xfId="30" builtinId="35" hidden="1"/>
    <cellStyle name="40% - Accent2" xfId="76" builtinId="35" hidden="1" customBuiltin="1"/>
    <cellStyle name="40% - Accent3" xfId="34" builtinId="39" hidden="1"/>
    <cellStyle name="40% - Accent3" xfId="80" builtinId="39" hidden="1" customBuiltin="1"/>
    <cellStyle name="40% - Accent4" xfId="38" builtinId="43" hidden="1"/>
    <cellStyle name="40% - Accent4" xfId="84" builtinId="43" hidden="1" customBuiltin="1"/>
    <cellStyle name="40% - Accent5" xfId="42" builtinId="47" hidden="1"/>
    <cellStyle name="40% - Accent5" xfId="88" builtinId="47" hidden="1" customBuiltin="1"/>
    <cellStyle name="40% - Accent6" xfId="46" builtinId="51" hidden="1"/>
    <cellStyle name="40% - Accent6" xfId="92" builtinId="51" hidden="1" customBuiltin="1"/>
    <cellStyle name="60% - Accent1" xfId="27" builtinId="32" hidden="1"/>
    <cellStyle name="60% - Accent1" xfId="73" builtinId="32" hidden="1" customBuiltin="1"/>
    <cellStyle name="60% - Accent2" xfId="31" builtinId="36" hidden="1"/>
    <cellStyle name="60% - Accent2" xfId="77" builtinId="36" hidden="1" customBuiltin="1"/>
    <cellStyle name="60% - Accent3" xfId="35" builtinId="40" hidden="1"/>
    <cellStyle name="60% - Accent3" xfId="81" builtinId="40" hidden="1" customBuiltin="1"/>
    <cellStyle name="60% - Accent4" xfId="39" builtinId="44" hidden="1"/>
    <cellStyle name="60% - Accent4" xfId="85" builtinId="44" hidden="1" customBuiltin="1"/>
    <cellStyle name="60% - Accent5" xfId="43" builtinId="48" hidden="1"/>
    <cellStyle name="60% - Accent5" xfId="89" builtinId="48" hidden="1" customBuiltin="1"/>
    <cellStyle name="60% - Accent6" xfId="47" builtinId="52" hidden="1"/>
    <cellStyle name="60% - Accent6" xfId="93" builtinId="52" hidden="1" customBuiltin="1"/>
    <cellStyle name="Accent1" xfId="24" builtinId="29" hidden="1"/>
    <cellStyle name="Accent1" xfId="70" builtinId="29" hidden="1" customBuiltin="1"/>
    <cellStyle name="Accent2" xfId="28" builtinId="33" hidden="1"/>
    <cellStyle name="Accent2" xfId="74" builtinId="33" hidden="1" customBuiltin="1"/>
    <cellStyle name="Accent3" xfId="32" builtinId="37" hidden="1"/>
    <cellStyle name="Accent3" xfId="78" builtinId="37" hidden="1" customBuiltin="1"/>
    <cellStyle name="Accent4" xfId="36" builtinId="41" hidden="1"/>
    <cellStyle name="Accent4" xfId="82" builtinId="41" hidden="1" customBuiltin="1"/>
    <cellStyle name="Accent5" xfId="40" builtinId="45" hidden="1"/>
    <cellStyle name="Accent5" xfId="86" builtinId="45" hidden="1" customBuiltin="1"/>
    <cellStyle name="Accent6" xfId="44" builtinId="49" hidden="1"/>
    <cellStyle name="Accent6" xfId="90" builtinId="49" hidden="1" customBuiltin="1"/>
    <cellStyle name="Bad" xfId="13" builtinId="27" hidden="1"/>
    <cellStyle name="Bad" xfId="59" builtinId="27" hidden="1" customBuiltin="1"/>
    <cellStyle name="Body_text" xfId="48"/>
    <cellStyle name="Calculation" xfId="17" builtinId="22" hidden="1"/>
    <cellStyle name="Calculation" xfId="63" builtinId="22" hidden="1" customBuiltin="1"/>
    <cellStyle name="Check Cell" xfId="19" builtinId="23" hidden="1"/>
    <cellStyle name="Check Cell" xfId="65" builtinId="23" hidden="1" customBuiltin="1"/>
    <cellStyle name="Comma" xfId="2" builtinId="3" hidden="1"/>
    <cellStyle name="Comma [0]" xfId="3" builtinId="6" hidden="1"/>
    <cellStyle name="Currency" xfId="4" builtinId="4" hidden="1"/>
    <cellStyle name="Currency [0]" xfId="5" builtinId="7" hidden="1"/>
    <cellStyle name="Explanatory Text" xfId="22" builtinId="53" hidden="1"/>
    <cellStyle name="Explanatory Text" xfId="68" builtinId="53" hidden="1" customBuiltin="1"/>
    <cellStyle name="Figure_title" xfId="51"/>
    <cellStyle name="Followed Hyperlink" xfId="49" builtinId="9" hidden="1"/>
    <cellStyle name="Followed Hyperlink" xfId="55" builtinId="9" hidden="1"/>
    <cellStyle name="Followed Hyperlink" xfId="56" builtinId="9" customBuiltin="1"/>
    <cellStyle name="Good" xfId="12" builtinId="26" hidden="1"/>
    <cellStyle name="Good" xfId="58" builtinId="26" hidden="1" customBuiltin="1"/>
    <cellStyle name="Header_row" xfId="52"/>
    <cellStyle name="Heading 1" xfId="8" builtinId="16" customBuiltin="1"/>
    <cellStyle name="Heading 2" xfId="9" builtinId="17" customBuiltin="1"/>
    <cellStyle name="Heading 3" xfId="10" builtinId="18" customBuiltin="1"/>
    <cellStyle name="Heading 4" xfId="11" builtinId="19" customBuiltin="1"/>
    <cellStyle name="Hyperlink" xfId="1" builtinId="8" customBuiltin="1"/>
    <cellStyle name="Input" xfId="15" builtinId="20" hidden="1"/>
    <cellStyle name="Input" xfId="61" builtinId="20" hidden="1" customBuiltin="1"/>
    <cellStyle name="Linked Cell" xfId="18" builtinId="24" hidden="1"/>
    <cellStyle name="Linked Cell" xfId="64" builtinId="24" hidden="1" customBuiltin="1"/>
    <cellStyle name="Neutral" xfId="14" builtinId="28" hidden="1"/>
    <cellStyle name="Neutral" xfId="60" builtinId="28" hidden="1" customBuiltin="1"/>
    <cellStyle name="Normal" xfId="0" builtinId="0"/>
    <cellStyle name="Note" xfId="21" builtinId="10" hidden="1"/>
    <cellStyle name="Note" xfId="67" builtinId="10" hidden="1" customBuiltin="1"/>
    <cellStyle name="Notes_sources" xfId="54"/>
    <cellStyle name="Output" xfId="16" builtinId="21" hidden="1"/>
    <cellStyle name="Output" xfId="62" builtinId="21" hidden="1" customBuiltin="1"/>
    <cellStyle name="Percent" xfId="6" builtinId="5" hidden="1"/>
    <cellStyle name="Sub_row" xfId="53"/>
    <cellStyle name="Table_title" xfId="50"/>
    <cellStyle name="Title" xfId="7" builtinId="15" hidden="1"/>
    <cellStyle name="Title" xfId="57" builtinId="15" hidden="1" customBuiltin="1"/>
    <cellStyle name="Total" xfId="23" builtinId="25" hidden="1"/>
    <cellStyle name="Total" xfId="69" builtinId="25" hidden="1" customBuiltin="1"/>
    <cellStyle name="Warning Text" xfId="20" builtinId="11" hidden="1"/>
    <cellStyle name="Warning Text" xfId="66" builtinId="11" hidden="1" customBuiltin="1"/>
  </cellStyles>
  <dxfs count="0"/>
  <tableStyles count="0" defaultTableStyle="TableStyleMedium2" defaultPivotStyle="PivotStyleLight16"/>
  <colors>
    <mruColors>
      <color rgb="FF0070C0"/>
      <color rgb="FFA7A9AC"/>
      <color rgb="FF852062"/>
      <color rgb="FF58595B"/>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https://www.cihi.ca"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4616450</xdr:colOff>
      <xdr:row>21</xdr:row>
      <xdr:rowOff>50800</xdr:rowOff>
    </xdr:from>
    <xdr:to>
      <xdr:col>0</xdr:col>
      <xdr:colOff>6353810</xdr:colOff>
      <xdr:row>25</xdr:row>
      <xdr:rowOff>149860</xdr:rowOff>
    </xdr:to>
    <xdr:pic>
      <xdr:nvPicPr>
        <xdr:cNvPr id="2" name="Picture 1" descr="logo of the Canadian Institute for Health Information (CIHI)" title="Canadian Institute for Health Information">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16450" y="7607300"/>
          <a:ext cx="1737360" cy="8102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twitter.com/cihi_icis" TargetMode="External"/><Relationship Id="rId7" Type="http://schemas.openxmlformats.org/officeDocument/2006/relationships/hyperlink" Target="http://www.youtube.com/user/CIHICanada" TargetMode="External"/><Relationship Id="rId2" Type="http://schemas.openxmlformats.org/officeDocument/2006/relationships/hyperlink" Target="http://www.cihi.ca/" TargetMode="External"/><Relationship Id="rId1" Type="http://schemas.openxmlformats.org/officeDocument/2006/relationships/hyperlink" Target="mailto:media@cihi.ca" TargetMode="External"/><Relationship Id="rId6" Type="http://schemas.openxmlformats.org/officeDocument/2006/relationships/hyperlink" Target="http://www.instagram.com/cihi_icis/" TargetMode="External"/><Relationship Id="rId5" Type="http://schemas.openxmlformats.org/officeDocument/2006/relationships/hyperlink" Target="http://www.linkedin.com/company-beta/24842/" TargetMode="External"/><Relationship Id="rId4" Type="http://schemas.openxmlformats.org/officeDocument/2006/relationships/hyperlink" Target="http://www.facebook.com/CIHI.ICIS"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yourhealthsystem.cihi.ca/hsp/?lang=en"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yourhealthsystem.cihi.ca/hsp/?lang=en"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yourhealthsystem.cihi.ca/hsp/?lang=e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21"/>
  <sheetViews>
    <sheetView showGridLines="0" tabSelected="1" topLeftCell="A2" zoomScaleNormal="100" zoomScaleSheetLayoutView="50" workbookViewId="0">
      <selection activeCell="A2" sqref="A2"/>
    </sheetView>
  </sheetViews>
  <sheetFormatPr defaultRowHeight="13.8"/>
  <cols>
    <col min="1" max="1" width="83.5" customWidth="1"/>
    <col min="2" max="2" width="12.09765625" customWidth="1"/>
  </cols>
  <sheetData>
    <row r="1" spans="1:10" s="311" customFormat="1" ht="23.25" hidden="1" customHeight="1">
      <c r="A1" s="308" t="s">
        <v>155</v>
      </c>
    </row>
    <row r="2" spans="1:10" s="6" customFormat="1" ht="141" customHeight="1">
      <c r="A2" s="314" t="s">
        <v>307</v>
      </c>
      <c r="B2" s="8"/>
      <c r="C2" s="8"/>
      <c r="D2" s="8"/>
      <c r="E2" s="8"/>
      <c r="F2" s="8"/>
      <c r="G2" s="8"/>
      <c r="H2" s="8"/>
      <c r="I2" s="8"/>
      <c r="J2" s="8"/>
    </row>
    <row r="3" spans="1:10" s="6" customFormat="1" ht="96.6">
      <c r="A3" s="2" t="s">
        <v>23</v>
      </c>
      <c r="B3" s="9"/>
      <c r="C3" s="9"/>
      <c r="D3" s="9"/>
      <c r="E3" s="9"/>
      <c r="F3" s="9"/>
      <c r="G3" s="9"/>
      <c r="H3" s="9"/>
      <c r="I3" s="9"/>
      <c r="J3" s="8"/>
    </row>
    <row r="4" spans="1:10" s="6" customFormat="1" ht="40.200000000000003" customHeight="1">
      <c r="A4" s="11" t="s">
        <v>3</v>
      </c>
      <c r="B4" s="8"/>
      <c r="C4" s="8"/>
      <c r="D4" s="8"/>
      <c r="E4" s="8"/>
      <c r="F4" s="8"/>
      <c r="G4" s="8"/>
      <c r="H4" s="8"/>
      <c r="I4" s="8"/>
      <c r="J4" s="8"/>
    </row>
    <row r="5" spans="1:10" s="6" customFormat="1" ht="19.5" customHeight="1">
      <c r="A5" s="17" t="s">
        <v>7</v>
      </c>
      <c r="B5" s="12"/>
      <c r="C5" s="12"/>
      <c r="D5" s="12"/>
      <c r="E5" s="12"/>
      <c r="F5" s="12"/>
      <c r="G5" s="12"/>
      <c r="H5" s="12"/>
      <c r="I5" s="12"/>
      <c r="J5" s="12"/>
    </row>
    <row r="6" spans="1:10" s="6" customFormat="1" ht="19.5" customHeight="1">
      <c r="A6" s="315" t="s">
        <v>308</v>
      </c>
      <c r="B6" s="18"/>
      <c r="C6" s="18"/>
      <c r="D6" s="18"/>
      <c r="E6" s="18"/>
      <c r="F6" s="18"/>
      <c r="G6" s="18"/>
      <c r="H6" s="18"/>
      <c r="I6" s="18"/>
      <c r="J6" s="18"/>
    </row>
    <row r="7" spans="1:10" s="6" customFormat="1" ht="19.5" customHeight="1">
      <c r="A7" s="316" t="s">
        <v>309</v>
      </c>
      <c r="B7" s="18"/>
      <c r="C7" s="18"/>
      <c r="D7" s="18"/>
      <c r="E7" s="18"/>
      <c r="F7" s="18"/>
      <c r="G7" s="18"/>
      <c r="H7" s="18"/>
      <c r="I7" s="18"/>
      <c r="J7" s="18"/>
    </row>
    <row r="8" spans="1:10" ht="29.25" customHeight="1">
      <c r="A8" s="316" t="s">
        <v>310</v>
      </c>
      <c r="B8" s="18"/>
      <c r="C8" s="18"/>
      <c r="D8" s="18"/>
      <c r="E8" s="18"/>
      <c r="F8" s="18"/>
      <c r="G8" s="18"/>
      <c r="H8" s="18"/>
      <c r="I8" s="18"/>
      <c r="J8" s="18"/>
    </row>
    <row r="9" spans="1:10" s="14" customFormat="1" ht="40.200000000000003" customHeight="1">
      <c r="A9" s="15" t="s">
        <v>4</v>
      </c>
    </row>
    <row r="10" spans="1:10" ht="15" customHeight="1">
      <c r="A10" s="10" t="s">
        <v>0</v>
      </c>
      <c r="B10" s="5"/>
      <c r="C10" s="5"/>
      <c r="D10" s="5"/>
      <c r="E10" s="5"/>
      <c r="F10" s="5"/>
      <c r="G10" s="5"/>
      <c r="H10" s="5"/>
      <c r="I10" s="5"/>
      <c r="J10" s="5"/>
    </row>
    <row r="11" spans="1:10" s="13" customFormat="1" ht="29.25" customHeight="1">
      <c r="A11" s="16" t="s">
        <v>8</v>
      </c>
    </row>
    <row r="12" spans="1:10" ht="15" customHeight="1">
      <c r="A12" s="10" t="s">
        <v>1</v>
      </c>
      <c r="B12" s="5"/>
      <c r="C12" s="5"/>
      <c r="D12" s="5"/>
      <c r="E12" s="5"/>
      <c r="F12" s="5"/>
      <c r="G12" s="5"/>
      <c r="H12" s="5"/>
      <c r="I12" s="5"/>
      <c r="J12" s="5"/>
    </row>
    <row r="13" spans="1:10" s="13" customFormat="1" ht="29.25" customHeight="1">
      <c r="A13" s="16" t="s">
        <v>2</v>
      </c>
    </row>
    <row r="14" spans="1:10" ht="15" customHeight="1">
      <c r="A14" s="10" t="s">
        <v>156</v>
      </c>
    </row>
    <row r="15" spans="1:10">
      <c r="A15" s="4" t="s">
        <v>157</v>
      </c>
    </row>
    <row r="16" spans="1:10">
      <c r="A16" s="1" t="s">
        <v>158</v>
      </c>
    </row>
    <row r="17" spans="1:1">
      <c r="A17" s="1" t="s">
        <v>159</v>
      </c>
    </row>
    <row r="18" spans="1:1">
      <c r="A18" s="1" t="s">
        <v>160</v>
      </c>
    </row>
    <row r="19" spans="1:1" s="13" customFormat="1" ht="29.25" customHeight="1">
      <c r="A19" s="305" t="s">
        <v>161</v>
      </c>
    </row>
    <row r="20" spans="1:1" s="19" customFormat="1" ht="39.9" customHeight="1">
      <c r="A20" s="15" t="s">
        <v>323</v>
      </c>
    </row>
    <row r="21" spans="1:1" s="13" customFormat="1" ht="32.25" customHeight="1">
      <c r="A21" s="327" t="s">
        <v>324</v>
      </c>
    </row>
  </sheetData>
  <hyperlinks>
    <hyperlink ref="A13" r:id="rId1"/>
    <hyperlink ref="A5" r:id="rId2" display="http://www.cihi.ca/"/>
    <hyperlink ref="A15" r:id="rId3" display="https://twitter.com/cihi_icis"/>
    <hyperlink ref="A16" r:id="rId4" display="http://www.facebook.com/CIHI.ICIS"/>
    <hyperlink ref="A17" r:id="rId5" display="http://www.linkedin.com/company-beta/24842/"/>
    <hyperlink ref="A18" r:id="rId6" display="http://www.instagram.com/cihi_icis/"/>
    <hyperlink ref="A19" r:id="rId7" display="http://www.youtube.com/user/CIHICanada"/>
  </hyperlinks>
  <pageMargins left="0.75" right="0.75" top="0.75" bottom="0.75" header="0.3" footer="0.3"/>
  <pageSetup orientation="portrait" r:id="rId8"/>
  <headerFooter>
    <oddFooter>&amp;L&amp;9© 2020 CIHI&amp;R&amp;9&amp;P</oddFooter>
  </headerFooter>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23"/>
  <sheetViews>
    <sheetView showGridLines="0" topLeftCell="A2" zoomScaleNormal="100" zoomScaleSheetLayoutView="50" workbookViewId="0"/>
  </sheetViews>
  <sheetFormatPr defaultRowHeight="13.8"/>
  <cols>
    <col min="2" max="2" width="10.59765625" customWidth="1"/>
    <col min="3" max="3" width="15.09765625" customWidth="1"/>
    <col min="4" max="4" width="15.19921875" customWidth="1"/>
    <col min="5" max="5" width="14.5" customWidth="1"/>
    <col min="6" max="6" width="14.69921875" customWidth="1"/>
    <col min="7" max="7" width="15.09765625" customWidth="1"/>
    <col min="8" max="8" width="9.19921875" customWidth="1"/>
  </cols>
  <sheetData>
    <row r="1" spans="1:12" s="311" customFormat="1" ht="24.75" hidden="1" customHeight="1">
      <c r="A1" s="309" t="s">
        <v>214</v>
      </c>
      <c r="B1" s="309"/>
      <c r="C1" s="309"/>
      <c r="D1" s="309"/>
      <c r="E1" s="309"/>
      <c r="F1" s="309"/>
      <c r="G1" s="309"/>
      <c r="H1" s="310"/>
      <c r="I1" s="310"/>
      <c r="J1" s="310"/>
      <c r="K1" s="310"/>
    </row>
    <row r="2" spans="1:12" s="156" customFormat="1" ht="24" customHeight="1">
      <c r="A2" s="335" t="s">
        <v>5</v>
      </c>
      <c r="B2" s="335"/>
      <c r="C2" s="335"/>
      <c r="D2" s="154"/>
      <c r="E2" s="155"/>
      <c r="F2" s="155"/>
      <c r="G2"/>
    </row>
    <row r="3" spans="1:12" s="178" customFormat="1" ht="36" customHeight="1">
      <c r="A3" s="337" t="s">
        <v>320</v>
      </c>
      <c r="B3" s="338"/>
      <c r="C3" s="338"/>
      <c r="D3" s="338"/>
      <c r="E3" s="338"/>
      <c r="F3" s="338"/>
      <c r="G3" s="338"/>
      <c r="H3" s="157"/>
      <c r="I3" s="177"/>
      <c r="J3" s="177"/>
      <c r="K3" s="177"/>
      <c r="L3" s="177"/>
    </row>
    <row r="4" spans="1:12" ht="27.6">
      <c r="A4" s="268" t="s">
        <v>30</v>
      </c>
      <c r="B4" s="280" t="s">
        <v>66</v>
      </c>
      <c r="C4" s="276" t="s">
        <v>67</v>
      </c>
      <c r="D4" s="276" t="s">
        <v>68</v>
      </c>
      <c r="E4" s="276" t="s">
        <v>69</v>
      </c>
      <c r="F4" s="276" t="s">
        <v>70</v>
      </c>
      <c r="G4" s="278" t="s">
        <v>201</v>
      </c>
      <c r="H4" s="158"/>
    </row>
    <row r="5" spans="1:12" ht="15" customHeight="1">
      <c r="A5" s="179" t="s">
        <v>32</v>
      </c>
      <c r="B5" s="180" t="s">
        <v>59</v>
      </c>
      <c r="C5" s="269">
        <v>1.53</v>
      </c>
      <c r="D5" s="269">
        <v>1.66</v>
      </c>
      <c r="E5" s="269">
        <v>2.0099999999999998</v>
      </c>
      <c r="F5" s="269">
        <v>2.3199999999999998</v>
      </c>
      <c r="G5" s="270">
        <v>2.92</v>
      </c>
      <c r="H5" s="163"/>
    </row>
    <row r="6" spans="1:12" ht="15" customHeight="1">
      <c r="A6" s="181" t="s">
        <v>32</v>
      </c>
      <c r="B6" s="159" t="s">
        <v>60</v>
      </c>
      <c r="C6" s="161">
        <v>2.5099999999999998</v>
      </c>
      <c r="D6" s="161">
        <v>2.2799999999999998</v>
      </c>
      <c r="E6" s="161">
        <v>2.81</v>
      </c>
      <c r="F6" s="161">
        <v>3.18</v>
      </c>
      <c r="G6" s="271">
        <v>3.06</v>
      </c>
      <c r="H6" s="163"/>
    </row>
    <row r="7" spans="1:12" ht="15" customHeight="1">
      <c r="A7" s="181" t="s">
        <v>32</v>
      </c>
      <c r="B7" s="159" t="s">
        <v>61</v>
      </c>
      <c r="C7" s="161">
        <v>0.44</v>
      </c>
      <c r="D7" s="161">
        <v>0.44</v>
      </c>
      <c r="E7" s="161">
        <v>0.51</v>
      </c>
      <c r="F7" s="161">
        <v>0.43</v>
      </c>
      <c r="G7" s="271">
        <v>0.6</v>
      </c>
      <c r="H7" s="163"/>
    </row>
    <row r="8" spans="1:12" ht="15" customHeight="1">
      <c r="A8" s="181" t="s">
        <v>32</v>
      </c>
      <c r="B8" s="159" t="s">
        <v>62</v>
      </c>
      <c r="C8" s="161">
        <v>0.28000000000000003</v>
      </c>
      <c r="D8" s="161">
        <v>0.44</v>
      </c>
      <c r="E8" s="161">
        <v>0.2</v>
      </c>
      <c r="F8" s="161">
        <v>0.16</v>
      </c>
      <c r="G8" s="271">
        <v>0.3</v>
      </c>
      <c r="H8" s="163"/>
    </row>
    <row r="9" spans="1:12" ht="15" customHeight="1">
      <c r="A9" s="181" t="s">
        <v>32</v>
      </c>
      <c r="B9" s="159" t="s">
        <v>63</v>
      </c>
      <c r="C9" s="161">
        <v>0.28000000000000003</v>
      </c>
      <c r="D9" s="161">
        <v>0.27</v>
      </c>
      <c r="E9" s="161">
        <v>0.26</v>
      </c>
      <c r="F9" s="161">
        <v>0.18</v>
      </c>
      <c r="G9" s="271">
        <v>0.21</v>
      </c>
      <c r="H9" s="163"/>
    </row>
    <row r="10" spans="1:12" ht="15" customHeight="1">
      <c r="A10" s="182" t="s">
        <v>32</v>
      </c>
      <c r="B10" s="159" t="s">
        <v>64</v>
      </c>
      <c r="C10" s="167">
        <v>0.83</v>
      </c>
      <c r="D10" s="167">
        <v>0.86</v>
      </c>
      <c r="E10" s="167">
        <v>0.93</v>
      </c>
      <c r="F10" s="167">
        <v>0.98</v>
      </c>
      <c r="G10" s="272">
        <v>1.1499999999999999</v>
      </c>
      <c r="H10" s="163"/>
    </row>
    <row r="11" spans="1:12" ht="15" customHeight="1">
      <c r="A11" s="183" t="s">
        <v>31</v>
      </c>
      <c r="B11" s="159" t="s">
        <v>59</v>
      </c>
      <c r="C11" s="161">
        <v>14.16</v>
      </c>
      <c r="D11" s="161">
        <v>16.260000000000002</v>
      </c>
      <c r="E11" s="161">
        <v>16.18</v>
      </c>
      <c r="F11" s="161">
        <v>15.89</v>
      </c>
      <c r="G11" s="271">
        <v>16.52</v>
      </c>
      <c r="H11" s="163"/>
    </row>
    <row r="12" spans="1:12" ht="15" customHeight="1">
      <c r="A12" s="181" t="s">
        <v>31</v>
      </c>
      <c r="B12" s="159" t="s">
        <v>60</v>
      </c>
      <c r="C12" s="161">
        <v>56.13</v>
      </c>
      <c r="D12" s="161">
        <v>49.45</v>
      </c>
      <c r="E12" s="161">
        <v>45.59</v>
      </c>
      <c r="F12" s="161">
        <v>44.47</v>
      </c>
      <c r="G12" s="271">
        <v>46.02</v>
      </c>
      <c r="H12" s="163"/>
    </row>
    <row r="13" spans="1:12" ht="15" customHeight="1">
      <c r="A13" s="181" t="s">
        <v>31</v>
      </c>
      <c r="B13" s="159" t="s">
        <v>61</v>
      </c>
      <c r="C13" s="161">
        <v>7.78</v>
      </c>
      <c r="D13" s="161">
        <v>8.42</v>
      </c>
      <c r="E13" s="161">
        <v>7.67</v>
      </c>
      <c r="F13" s="161">
        <v>7.9</v>
      </c>
      <c r="G13" s="271">
        <v>7.59</v>
      </c>
      <c r="H13" s="163"/>
    </row>
    <row r="14" spans="1:12" ht="15" customHeight="1">
      <c r="A14" s="181" t="s">
        <v>31</v>
      </c>
      <c r="B14" s="159" t="s">
        <v>62</v>
      </c>
      <c r="C14" s="161">
        <v>2.42</v>
      </c>
      <c r="D14" s="161">
        <v>2.19</v>
      </c>
      <c r="E14" s="161">
        <v>2.41</v>
      </c>
      <c r="F14" s="161">
        <v>2.0699999999999998</v>
      </c>
      <c r="G14" s="271">
        <v>2.09</v>
      </c>
      <c r="H14" s="163"/>
    </row>
    <row r="15" spans="1:12" ht="15" customHeight="1">
      <c r="A15" s="181" t="s">
        <v>31</v>
      </c>
      <c r="B15" s="159" t="s">
        <v>63</v>
      </c>
      <c r="C15" s="161">
        <v>0.53</v>
      </c>
      <c r="D15" s="161">
        <v>0.67</v>
      </c>
      <c r="E15" s="161">
        <v>0.65</v>
      </c>
      <c r="F15" s="161">
        <v>0.69</v>
      </c>
      <c r="G15" s="271">
        <v>0.67</v>
      </c>
      <c r="H15" s="163"/>
    </row>
    <row r="16" spans="1:12" ht="15" customHeight="1">
      <c r="A16" s="182" t="s">
        <v>31</v>
      </c>
      <c r="B16" s="159" t="s">
        <v>64</v>
      </c>
      <c r="C16" s="167">
        <v>11.98</v>
      </c>
      <c r="D16" s="167">
        <v>11.49</v>
      </c>
      <c r="E16" s="167">
        <v>10.78</v>
      </c>
      <c r="F16" s="167">
        <v>10.53</v>
      </c>
      <c r="G16" s="272">
        <v>10.72</v>
      </c>
    </row>
    <row r="17" spans="1:7" ht="15" customHeight="1">
      <c r="A17" s="184" t="s">
        <v>34</v>
      </c>
      <c r="B17" s="172" t="s">
        <v>65</v>
      </c>
      <c r="C17" s="167">
        <v>6.45</v>
      </c>
      <c r="D17" s="167">
        <v>6.22</v>
      </c>
      <c r="E17" s="167">
        <v>5.9</v>
      </c>
      <c r="F17" s="167">
        <v>5.79</v>
      </c>
      <c r="G17" s="272">
        <v>5.97</v>
      </c>
    </row>
    <row r="18" spans="1:7" ht="17.25" customHeight="1">
      <c r="A18" s="204" t="s">
        <v>55</v>
      </c>
      <c r="B18" s="173"/>
      <c r="C18" s="185"/>
      <c r="D18" s="185"/>
      <c r="E18" s="185"/>
      <c r="F18" s="163"/>
      <c r="G18" s="163"/>
    </row>
    <row r="19" spans="1:7" ht="12" customHeight="1">
      <c r="A19" s="207" t="s">
        <v>33</v>
      </c>
      <c r="B19" s="174"/>
      <c r="C19" s="185"/>
      <c r="D19" s="185"/>
      <c r="E19" s="185"/>
      <c r="F19" s="163"/>
      <c r="G19" s="163"/>
    </row>
    <row r="20" spans="1:7" ht="12" customHeight="1">
      <c r="A20" s="209" t="s">
        <v>24</v>
      </c>
      <c r="B20" s="176"/>
      <c r="C20" s="185"/>
      <c r="D20" s="185"/>
      <c r="E20" s="185"/>
      <c r="F20" s="163"/>
      <c r="G20" s="163"/>
    </row>
    <row r="21" spans="1:7" ht="12" customHeight="1">
      <c r="A21" s="324" t="s">
        <v>314</v>
      </c>
      <c r="B21" s="37"/>
      <c r="C21" s="175"/>
      <c r="D21" s="175"/>
      <c r="E21" s="175"/>
      <c r="F21" s="186"/>
      <c r="G21" s="163"/>
    </row>
    <row r="23" spans="1:7">
      <c r="F23" s="187"/>
    </row>
  </sheetData>
  <mergeCells count="2">
    <mergeCell ref="A2:C2"/>
    <mergeCell ref="A3:G3"/>
  </mergeCells>
  <hyperlinks>
    <hyperlink ref="A2:C2" location="'Table of contents'!A1" display="Back to the Table of contents"/>
  </hyperlinks>
  <pageMargins left="0.75" right="0.75" top="0.75" bottom="0.75" header="0.3" footer="0.3"/>
  <pageSetup orientation="landscape" r:id="rId1"/>
  <headerFooter>
    <oddFooter>&amp;L&amp;9© 2020 CIHI&amp;R&amp;9&amp;P</oddFooter>
  </headerFooter>
  <colBreaks count="1" manualBreakCount="1">
    <brk id="7"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121"/>
  <sheetViews>
    <sheetView showGridLines="0" zoomScaleNormal="100" zoomScaleSheetLayoutView="70" workbookViewId="0">
      <pane ySplit="4" topLeftCell="A5" activePane="bottomLeft" state="frozen"/>
      <selection pane="bottomLeft"/>
    </sheetView>
  </sheetViews>
  <sheetFormatPr defaultColWidth="7.59765625" defaultRowHeight="13.8"/>
  <cols>
    <col min="1" max="1" width="26.5" style="193" customWidth="1"/>
    <col min="2" max="2" width="36.69921875" style="193" customWidth="1"/>
    <col min="3" max="3" width="18.59765625" style="210" customWidth="1"/>
    <col min="4" max="4" width="14.69921875" style="193" customWidth="1"/>
    <col min="5" max="16384" width="7.59765625" style="193"/>
  </cols>
  <sheetData>
    <row r="1" spans="1:6" s="313" customFormat="1" ht="20.25" hidden="1" customHeight="1">
      <c r="A1" s="309" t="s">
        <v>326</v>
      </c>
      <c r="B1" s="309"/>
      <c r="C1" s="312"/>
      <c r="D1" s="311"/>
    </row>
    <row r="2" spans="1:6" s="189" customFormat="1" ht="24" customHeight="1">
      <c r="A2" s="16" t="s">
        <v>5</v>
      </c>
      <c r="B2" s="16"/>
      <c r="C2" s="210"/>
      <c r="D2" s="193"/>
    </row>
    <row r="3" spans="1:6" s="190" customFormat="1" ht="20.25" customHeight="1">
      <c r="A3" s="250" t="s">
        <v>207</v>
      </c>
      <c r="C3" s="210"/>
      <c r="D3" s="193"/>
    </row>
    <row r="4" spans="1:6" s="188" customFormat="1" ht="74.25" customHeight="1">
      <c r="A4" s="275" t="s">
        <v>36</v>
      </c>
      <c r="B4" s="275" t="s">
        <v>71</v>
      </c>
      <c r="C4" s="325" t="s">
        <v>321</v>
      </c>
      <c r="D4" s="326" t="s">
        <v>322</v>
      </c>
      <c r="E4"/>
    </row>
    <row r="5" spans="1:6" ht="15" customHeight="1">
      <c r="A5" s="191" t="s">
        <v>38</v>
      </c>
      <c r="B5" s="192" t="s">
        <v>98</v>
      </c>
      <c r="C5" s="226">
        <v>9.4</v>
      </c>
      <c r="D5" s="273" t="s">
        <v>215</v>
      </c>
      <c r="E5"/>
      <c r="F5" s="194"/>
    </row>
    <row r="6" spans="1:6" ht="15" customHeight="1">
      <c r="A6" s="195" t="s">
        <v>38</v>
      </c>
      <c r="B6" s="192" t="s">
        <v>99</v>
      </c>
      <c r="C6" s="226">
        <v>8</v>
      </c>
      <c r="D6" s="273" t="s">
        <v>216</v>
      </c>
      <c r="E6"/>
      <c r="F6" s="194"/>
    </row>
    <row r="7" spans="1:6" ht="15" customHeight="1">
      <c r="A7" s="195" t="s">
        <v>38</v>
      </c>
      <c r="B7" s="192" t="s">
        <v>100</v>
      </c>
      <c r="C7" s="226">
        <v>10.6</v>
      </c>
      <c r="D7" s="273" t="s">
        <v>217</v>
      </c>
      <c r="E7"/>
      <c r="F7" s="194"/>
    </row>
    <row r="8" spans="1:6" ht="15" customHeight="1">
      <c r="A8" s="195" t="s">
        <v>38</v>
      </c>
      <c r="B8" s="192" t="s">
        <v>101</v>
      </c>
      <c r="C8" s="226">
        <v>13.6</v>
      </c>
      <c r="D8" s="273" t="s">
        <v>218</v>
      </c>
      <c r="E8"/>
      <c r="F8" s="194"/>
    </row>
    <row r="9" spans="1:6" s="198" customFormat="1" ht="15" customHeight="1">
      <c r="A9" s="196" t="s">
        <v>38</v>
      </c>
      <c r="B9" s="197" t="s">
        <v>34</v>
      </c>
      <c r="C9" s="227">
        <v>10.1</v>
      </c>
      <c r="D9" s="274" t="s">
        <v>219</v>
      </c>
      <c r="E9"/>
      <c r="F9" s="194"/>
    </row>
    <row r="10" spans="1:6" ht="15" customHeight="1">
      <c r="A10" s="191" t="s">
        <v>39</v>
      </c>
      <c r="B10" s="199" t="s">
        <v>72</v>
      </c>
      <c r="C10" s="226">
        <v>10.9</v>
      </c>
      <c r="D10" s="273" t="s">
        <v>220</v>
      </c>
      <c r="E10"/>
      <c r="F10" s="194"/>
    </row>
    <row r="11" spans="1:6" s="198" customFormat="1" ht="15" customHeight="1">
      <c r="A11" s="196" t="s">
        <v>39</v>
      </c>
      <c r="B11" s="197" t="s">
        <v>34</v>
      </c>
      <c r="C11" s="227">
        <v>10.9</v>
      </c>
      <c r="D11" s="274" t="s">
        <v>220</v>
      </c>
      <c r="E11"/>
      <c r="F11" s="194"/>
    </row>
    <row r="12" spans="1:6" ht="15" customHeight="1">
      <c r="A12" s="191" t="s">
        <v>40</v>
      </c>
      <c r="B12" s="199" t="s">
        <v>73</v>
      </c>
      <c r="C12" s="226">
        <v>12.1</v>
      </c>
      <c r="D12" s="273" t="s">
        <v>221</v>
      </c>
      <c r="E12"/>
      <c r="F12" s="194"/>
    </row>
    <row r="13" spans="1:6" ht="15" customHeight="1">
      <c r="A13" s="195" t="s">
        <v>40</v>
      </c>
      <c r="B13" s="199" t="s">
        <v>74</v>
      </c>
      <c r="C13" s="226">
        <v>9.6</v>
      </c>
      <c r="D13" s="273" t="s">
        <v>222</v>
      </c>
      <c r="E13"/>
      <c r="F13" s="194"/>
    </row>
    <row r="14" spans="1:6" ht="15" customHeight="1">
      <c r="A14" s="195" t="s">
        <v>40</v>
      </c>
      <c r="B14" s="199" t="s">
        <v>75</v>
      </c>
      <c r="C14" s="226">
        <v>12.7</v>
      </c>
      <c r="D14" s="273" t="s">
        <v>223</v>
      </c>
      <c r="E14"/>
      <c r="F14" s="194"/>
    </row>
    <row r="15" spans="1:6" ht="15" customHeight="1">
      <c r="A15" s="195" t="s">
        <v>40</v>
      </c>
      <c r="B15" s="199" t="s">
        <v>76</v>
      </c>
      <c r="C15" s="226">
        <v>8.6</v>
      </c>
      <c r="D15" s="273" t="s">
        <v>224</v>
      </c>
      <c r="E15"/>
      <c r="F15" s="194"/>
    </row>
    <row r="16" spans="1:6" s="198" customFormat="1" ht="15" customHeight="1">
      <c r="A16" s="196" t="s">
        <v>40</v>
      </c>
      <c r="B16" s="197" t="s">
        <v>34</v>
      </c>
      <c r="C16" s="227">
        <v>10.9</v>
      </c>
      <c r="D16" s="274" t="s">
        <v>225</v>
      </c>
      <c r="E16"/>
      <c r="F16" s="194"/>
    </row>
    <row r="17" spans="1:6" ht="15" customHeight="1">
      <c r="A17" s="191" t="s">
        <v>41</v>
      </c>
      <c r="B17" s="199" t="s">
        <v>77</v>
      </c>
      <c r="C17" s="226">
        <v>9.5</v>
      </c>
      <c r="D17" s="273" t="s">
        <v>226</v>
      </c>
      <c r="E17"/>
      <c r="F17" s="194"/>
    </row>
    <row r="18" spans="1:6" ht="15" customHeight="1">
      <c r="A18" s="195" t="s">
        <v>41</v>
      </c>
      <c r="B18" s="199" t="s">
        <v>78</v>
      </c>
      <c r="C18" s="226">
        <v>7.5</v>
      </c>
      <c r="D18" s="273" t="s">
        <v>227</v>
      </c>
      <c r="E18"/>
      <c r="F18" s="194"/>
    </row>
    <row r="19" spans="1:6" ht="15" customHeight="1">
      <c r="A19" s="195" t="s">
        <v>41</v>
      </c>
      <c r="B19" s="199" t="s">
        <v>79</v>
      </c>
      <c r="C19" s="226">
        <v>8.6</v>
      </c>
      <c r="D19" s="273" t="s">
        <v>228</v>
      </c>
      <c r="E19"/>
      <c r="F19" s="194"/>
    </row>
    <row r="20" spans="1:6" ht="15" customHeight="1">
      <c r="A20" s="195" t="s">
        <v>41</v>
      </c>
      <c r="B20" s="199" t="s">
        <v>80</v>
      </c>
      <c r="C20" s="226">
        <v>8.8000000000000007</v>
      </c>
      <c r="D20" s="273" t="s">
        <v>229</v>
      </c>
      <c r="E20"/>
      <c r="F20" s="194"/>
    </row>
    <row r="21" spans="1:6" ht="15" customHeight="1">
      <c r="A21" s="195" t="s">
        <v>41</v>
      </c>
      <c r="B21" s="199" t="s">
        <v>81</v>
      </c>
      <c r="C21" s="226">
        <v>9.8000000000000007</v>
      </c>
      <c r="D21" s="273" t="s">
        <v>230</v>
      </c>
      <c r="E21"/>
      <c r="F21" s="194"/>
    </row>
    <row r="22" spans="1:6" ht="15" customHeight="1">
      <c r="A22" s="195" t="s">
        <v>41</v>
      </c>
      <c r="B22" s="199" t="s">
        <v>82</v>
      </c>
      <c r="C22" s="226">
        <v>11.9</v>
      </c>
      <c r="D22" s="273" t="s">
        <v>231</v>
      </c>
      <c r="E22"/>
      <c r="F22" s="194"/>
    </row>
    <row r="23" spans="1:6" ht="15" customHeight="1">
      <c r="A23" s="195" t="s">
        <v>41</v>
      </c>
      <c r="B23" s="199" t="s">
        <v>83</v>
      </c>
      <c r="C23" s="226">
        <v>5.0999999999999996</v>
      </c>
      <c r="D23" s="273" t="s">
        <v>232</v>
      </c>
      <c r="E23"/>
      <c r="F23" s="194"/>
    </row>
    <row r="24" spans="1:6" s="198" customFormat="1" ht="15" customHeight="1">
      <c r="A24" s="196" t="s">
        <v>41</v>
      </c>
      <c r="B24" s="197" t="s">
        <v>34</v>
      </c>
      <c r="C24" s="227">
        <v>9.1</v>
      </c>
      <c r="D24" s="274" t="s">
        <v>238</v>
      </c>
      <c r="E24"/>
      <c r="F24" s="194"/>
    </row>
    <row r="25" spans="1:6" ht="15" customHeight="1">
      <c r="A25" s="191" t="s">
        <v>42</v>
      </c>
      <c r="B25" s="192" t="s">
        <v>102</v>
      </c>
      <c r="C25" s="226">
        <v>11.6</v>
      </c>
      <c r="D25" s="273" t="s">
        <v>233</v>
      </c>
      <c r="E25"/>
      <c r="F25" s="194"/>
    </row>
    <row r="26" spans="1:6" ht="15" customHeight="1">
      <c r="A26" s="195" t="s">
        <v>42</v>
      </c>
      <c r="B26" s="192" t="s">
        <v>103</v>
      </c>
      <c r="C26" s="226">
        <v>13.8</v>
      </c>
      <c r="D26" s="273" t="s">
        <v>234</v>
      </c>
      <c r="E26"/>
      <c r="F26" s="194"/>
    </row>
    <row r="27" spans="1:6" ht="15" customHeight="1">
      <c r="A27" s="195" t="s">
        <v>42</v>
      </c>
      <c r="B27" s="192" t="s">
        <v>104</v>
      </c>
      <c r="C27" s="226">
        <v>9.5</v>
      </c>
      <c r="D27" s="273" t="s">
        <v>235</v>
      </c>
      <c r="E27"/>
      <c r="F27" s="194"/>
    </row>
    <row r="28" spans="1:6" ht="15" customHeight="1">
      <c r="A28" s="195" t="s">
        <v>42</v>
      </c>
      <c r="B28" s="192" t="s">
        <v>105</v>
      </c>
      <c r="C28" s="226">
        <v>12.1</v>
      </c>
      <c r="D28" s="273" t="s">
        <v>236</v>
      </c>
      <c r="E28"/>
      <c r="F28" s="194"/>
    </row>
    <row r="29" spans="1:6" ht="15" customHeight="1">
      <c r="A29" s="195" t="s">
        <v>42</v>
      </c>
      <c r="B29" s="192" t="s">
        <v>106</v>
      </c>
      <c r="C29" s="226">
        <v>19.7</v>
      </c>
      <c r="D29" s="273" t="s">
        <v>237</v>
      </c>
      <c r="E29"/>
      <c r="F29" s="194"/>
    </row>
    <row r="30" spans="1:6" ht="15" customHeight="1">
      <c r="A30" s="195" t="s">
        <v>42</v>
      </c>
      <c r="B30" s="192" t="s">
        <v>107</v>
      </c>
      <c r="C30" s="226">
        <v>13.2</v>
      </c>
      <c r="D30" s="273" t="s">
        <v>239</v>
      </c>
      <c r="E30"/>
      <c r="F30" s="194"/>
    </row>
    <row r="31" spans="1:6" ht="15" customHeight="1">
      <c r="A31" s="195" t="s">
        <v>42</v>
      </c>
      <c r="B31" s="192" t="s">
        <v>108</v>
      </c>
      <c r="C31" s="226">
        <v>10.1</v>
      </c>
      <c r="D31" s="273" t="s">
        <v>240</v>
      </c>
      <c r="E31"/>
      <c r="F31" s="194"/>
    </row>
    <row r="32" spans="1:6" ht="15" customHeight="1">
      <c r="A32" s="195" t="s">
        <v>42</v>
      </c>
      <c r="B32" s="192" t="s">
        <v>109</v>
      </c>
      <c r="C32" s="226">
        <v>11.7</v>
      </c>
      <c r="D32" s="273" t="s">
        <v>241</v>
      </c>
      <c r="E32"/>
      <c r="F32" s="194"/>
    </row>
    <row r="33" spans="1:6" ht="15" customHeight="1">
      <c r="A33" s="195" t="s">
        <v>42</v>
      </c>
      <c r="B33" s="192" t="s">
        <v>110</v>
      </c>
      <c r="C33" s="226">
        <v>9</v>
      </c>
      <c r="D33" s="273" t="s">
        <v>242</v>
      </c>
      <c r="E33"/>
      <c r="F33" s="194"/>
    </row>
    <row r="34" spans="1:6" ht="15" customHeight="1">
      <c r="A34" s="195" t="s">
        <v>42</v>
      </c>
      <c r="B34" s="192" t="s">
        <v>111</v>
      </c>
      <c r="C34" s="226" t="s">
        <v>53</v>
      </c>
      <c r="D34" s="273" t="s">
        <v>53</v>
      </c>
      <c r="E34"/>
      <c r="F34" s="194"/>
    </row>
    <row r="35" spans="1:6" ht="15" customHeight="1">
      <c r="A35" s="195" t="s">
        <v>42</v>
      </c>
      <c r="B35" s="192" t="s">
        <v>112</v>
      </c>
      <c r="C35" s="226">
        <v>15.4</v>
      </c>
      <c r="D35" s="273" t="s">
        <v>243</v>
      </c>
      <c r="E35"/>
      <c r="F35" s="194"/>
    </row>
    <row r="36" spans="1:6" ht="15" customHeight="1">
      <c r="A36" s="195" t="s">
        <v>42</v>
      </c>
      <c r="B36" s="192" t="s">
        <v>113</v>
      </c>
      <c r="C36" s="226">
        <v>7.5</v>
      </c>
      <c r="D36" s="273" t="s">
        <v>244</v>
      </c>
      <c r="E36"/>
      <c r="F36" s="194"/>
    </row>
    <row r="37" spans="1:6" ht="15" customHeight="1">
      <c r="A37" s="195" t="s">
        <v>42</v>
      </c>
      <c r="B37" s="192" t="s">
        <v>114</v>
      </c>
      <c r="C37" s="226">
        <v>14</v>
      </c>
      <c r="D37" s="273" t="s">
        <v>245</v>
      </c>
      <c r="E37"/>
      <c r="F37" s="194"/>
    </row>
    <row r="38" spans="1:6" ht="15" customHeight="1">
      <c r="A38" s="195" t="s">
        <v>42</v>
      </c>
      <c r="B38" s="192" t="s">
        <v>115</v>
      </c>
      <c r="C38" s="226">
        <v>10.4</v>
      </c>
      <c r="D38" s="273" t="s">
        <v>246</v>
      </c>
      <c r="E38"/>
      <c r="F38" s="194"/>
    </row>
    <row r="39" spans="1:6" ht="15" customHeight="1">
      <c r="A39" s="195" t="s">
        <v>42</v>
      </c>
      <c r="B39" s="192" t="s">
        <v>116</v>
      </c>
      <c r="C39" s="226">
        <v>8.1999999999999993</v>
      </c>
      <c r="D39" s="273" t="s">
        <v>247</v>
      </c>
      <c r="E39"/>
      <c r="F39" s="194"/>
    </row>
    <row r="40" spans="1:6" ht="15" customHeight="1">
      <c r="A40" s="195" t="s">
        <v>42</v>
      </c>
      <c r="B40" s="192" t="s">
        <v>117</v>
      </c>
      <c r="C40" s="226">
        <v>10.9</v>
      </c>
      <c r="D40" s="273" t="s">
        <v>248</v>
      </c>
      <c r="E40"/>
      <c r="F40" s="194"/>
    </row>
    <row r="41" spans="1:6" ht="15" customHeight="1">
      <c r="A41" s="195" t="s">
        <v>42</v>
      </c>
      <c r="B41" s="192" t="s">
        <v>118</v>
      </c>
      <c r="C41" s="226" t="s">
        <v>53</v>
      </c>
      <c r="D41" s="273" t="s">
        <v>53</v>
      </c>
      <c r="E41"/>
      <c r="F41" s="194"/>
    </row>
    <row r="42" spans="1:6" ht="15" customHeight="1">
      <c r="A42" s="195" t="s">
        <v>42</v>
      </c>
      <c r="B42" s="192" t="s">
        <v>119</v>
      </c>
      <c r="C42" s="226" t="s">
        <v>53</v>
      </c>
      <c r="D42" s="273" t="s">
        <v>53</v>
      </c>
      <c r="E42"/>
      <c r="F42" s="194"/>
    </row>
    <row r="43" spans="1:6" s="198" customFormat="1" ht="15" customHeight="1">
      <c r="A43" s="195" t="s">
        <v>42</v>
      </c>
      <c r="B43" s="197" t="s">
        <v>34</v>
      </c>
      <c r="C43" s="227">
        <v>11.9</v>
      </c>
      <c r="D43" s="274" t="s">
        <v>249</v>
      </c>
      <c r="E43"/>
      <c r="F43" s="194"/>
    </row>
    <row r="44" spans="1:6" ht="15" customHeight="1">
      <c r="A44" s="191" t="s">
        <v>43</v>
      </c>
      <c r="B44" s="192" t="s">
        <v>164</v>
      </c>
      <c r="C44" s="226">
        <v>8.1999999999999993</v>
      </c>
      <c r="D44" s="273" t="s">
        <v>250</v>
      </c>
      <c r="E44"/>
      <c r="F44" s="194"/>
    </row>
    <row r="45" spans="1:6" ht="15" customHeight="1">
      <c r="A45" s="195" t="s">
        <v>43</v>
      </c>
      <c r="B45" s="192" t="s">
        <v>165</v>
      </c>
      <c r="C45" s="226">
        <v>10.3</v>
      </c>
      <c r="D45" s="273" t="s">
        <v>251</v>
      </c>
      <c r="E45"/>
      <c r="F45" s="194"/>
    </row>
    <row r="46" spans="1:6" ht="15" customHeight="1">
      <c r="A46" s="195" t="s">
        <v>43</v>
      </c>
      <c r="B46" s="192" t="s">
        <v>166</v>
      </c>
      <c r="C46" s="226">
        <v>11.1</v>
      </c>
      <c r="D46" s="273" t="s">
        <v>252</v>
      </c>
      <c r="E46"/>
      <c r="F46" s="194"/>
    </row>
    <row r="47" spans="1:6" ht="15" customHeight="1">
      <c r="A47" s="195" t="s">
        <v>43</v>
      </c>
      <c r="B47" s="192" t="s">
        <v>167</v>
      </c>
      <c r="C47" s="226">
        <v>12.1</v>
      </c>
      <c r="D47" s="273" t="s">
        <v>253</v>
      </c>
      <c r="E47"/>
      <c r="F47" s="194"/>
    </row>
    <row r="48" spans="1:6" ht="15" customHeight="1">
      <c r="A48" s="195" t="s">
        <v>43</v>
      </c>
      <c r="B48" s="192" t="s">
        <v>168</v>
      </c>
      <c r="C48" s="226">
        <v>11.5</v>
      </c>
      <c r="D48" s="273" t="s">
        <v>254</v>
      </c>
      <c r="E48"/>
      <c r="F48" s="194"/>
    </row>
    <row r="49" spans="1:6" ht="15" customHeight="1">
      <c r="A49" s="195" t="s">
        <v>43</v>
      </c>
      <c r="B49" s="192" t="s">
        <v>169</v>
      </c>
      <c r="C49" s="226">
        <v>11.4</v>
      </c>
      <c r="D49" s="273" t="s">
        <v>255</v>
      </c>
      <c r="E49"/>
      <c r="F49" s="194"/>
    </row>
    <row r="50" spans="1:6" ht="15" customHeight="1">
      <c r="A50" s="195" t="s">
        <v>43</v>
      </c>
      <c r="B50" s="192" t="s">
        <v>170</v>
      </c>
      <c r="C50" s="226">
        <v>12.5</v>
      </c>
      <c r="D50" s="273" t="s">
        <v>256</v>
      </c>
      <c r="E50"/>
      <c r="F50" s="194"/>
    </row>
    <row r="51" spans="1:6" ht="15" customHeight="1">
      <c r="A51" s="195" t="s">
        <v>43</v>
      </c>
      <c r="B51" s="192" t="s">
        <v>171</v>
      </c>
      <c r="C51" s="226">
        <v>12.7</v>
      </c>
      <c r="D51" s="273" t="s">
        <v>257</v>
      </c>
      <c r="E51"/>
      <c r="F51" s="194"/>
    </row>
    <row r="52" spans="1:6" ht="15" customHeight="1">
      <c r="A52" s="195" t="s">
        <v>43</v>
      </c>
      <c r="B52" s="192" t="s">
        <v>172</v>
      </c>
      <c r="C52" s="226">
        <v>12.3</v>
      </c>
      <c r="D52" s="273" t="s">
        <v>258</v>
      </c>
      <c r="E52"/>
      <c r="F52" s="194"/>
    </row>
    <row r="53" spans="1:6" ht="15" customHeight="1">
      <c r="A53" s="195" t="s">
        <v>43</v>
      </c>
      <c r="B53" s="192" t="s">
        <v>173</v>
      </c>
      <c r="C53" s="226">
        <v>9.6999999999999993</v>
      </c>
      <c r="D53" s="273" t="s">
        <v>259</v>
      </c>
      <c r="E53"/>
      <c r="F53" s="194"/>
    </row>
    <row r="54" spans="1:6" ht="15" customHeight="1">
      <c r="A54" s="195" t="s">
        <v>43</v>
      </c>
      <c r="B54" s="192" t="s">
        <v>174</v>
      </c>
      <c r="C54" s="226">
        <v>10.9</v>
      </c>
      <c r="D54" s="273" t="s">
        <v>260</v>
      </c>
      <c r="E54"/>
      <c r="F54" s="194"/>
    </row>
    <row r="55" spans="1:6" ht="15" customHeight="1">
      <c r="A55" s="195" t="s">
        <v>43</v>
      </c>
      <c r="B55" s="192" t="s">
        <v>175</v>
      </c>
      <c r="C55" s="226">
        <v>10.4</v>
      </c>
      <c r="D55" s="273" t="s">
        <v>261</v>
      </c>
      <c r="E55"/>
      <c r="F55" s="194"/>
    </row>
    <row r="56" spans="1:6" ht="15" customHeight="1">
      <c r="A56" s="195" t="s">
        <v>43</v>
      </c>
      <c r="B56" s="192" t="s">
        <v>176</v>
      </c>
      <c r="C56" s="226">
        <v>13.1</v>
      </c>
      <c r="D56" s="273" t="s">
        <v>262</v>
      </c>
      <c r="E56"/>
      <c r="F56" s="194"/>
    </row>
    <row r="57" spans="1:6" ht="15" customHeight="1">
      <c r="A57" s="195" t="s">
        <v>43</v>
      </c>
      <c r="B57" s="192" t="s">
        <v>177</v>
      </c>
      <c r="C57" s="226">
        <v>12.5</v>
      </c>
      <c r="D57" s="273" t="s">
        <v>263</v>
      </c>
      <c r="E57"/>
      <c r="F57" s="194"/>
    </row>
    <row r="58" spans="1:6" s="198" customFormat="1" ht="15" customHeight="1">
      <c r="A58" s="195" t="s">
        <v>43</v>
      </c>
      <c r="B58" s="197" t="s">
        <v>34</v>
      </c>
      <c r="C58" s="227">
        <v>11.6</v>
      </c>
      <c r="D58" s="274" t="s">
        <v>264</v>
      </c>
      <c r="E58"/>
      <c r="F58" s="194"/>
    </row>
    <row r="59" spans="1:6" ht="15" customHeight="1">
      <c r="A59" s="191" t="s">
        <v>44</v>
      </c>
      <c r="B59" s="199" t="s">
        <v>84</v>
      </c>
      <c r="C59" s="226">
        <v>8.5</v>
      </c>
      <c r="D59" s="273" t="s">
        <v>265</v>
      </c>
      <c r="E59"/>
      <c r="F59" s="194"/>
    </row>
    <row r="60" spans="1:6" ht="15" customHeight="1">
      <c r="A60" s="195" t="s">
        <v>44</v>
      </c>
      <c r="B60" s="199" t="s">
        <v>85</v>
      </c>
      <c r="C60" s="226">
        <v>11.8</v>
      </c>
      <c r="D60" s="273" t="s">
        <v>266</v>
      </c>
      <c r="E60"/>
      <c r="F60" s="194"/>
    </row>
    <row r="61" spans="1:6" ht="15" customHeight="1">
      <c r="A61" s="195" t="s">
        <v>44</v>
      </c>
      <c r="B61" s="192" t="s">
        <v>178</v>
      </c>
      <c r="C61" s="226">
        <v>9.5</v>
      </c>
      <c r="D61" s="273" t="s">
        <v>306</v>
      </c>
      <c r="E61"/>
      <c r="F61" s="194"/>
    </row>
    <row r="62" spans="1:6" ht="15" customHeight="1">
      <c r="A62" s="195" t="s">
        <v>44</v>
      </c>
      <c r="B62" s="192" t="s">
        <v>120</v>
      </c>
      <c r="C62" s="226">
        <v>8.6999999999999993</v>
      </c>
      <c r="D62" s="273" t="s">
        <v>305</v>
      </c>
      <c r="E62"/>
      <c r="F62" s="194"/>
    </row>
    <row r="63" spans="1:6" ht="15" customHeight="1">
      <c r="A63" s="195" t="s">
        <v>44</v>
      </c>
      <c r="B63" s="192" t="s">
        <v>121</v>
      </c>
      <c r="C63" s="226">
        <v>7</v>
      </c>
      <c r="D63" s="273" t="s">
        <v>304</v>
      </c>
      <c r="E63"/>
      <c r="F63" s="194"/>
    </row>
    <row r="64" spans="1:6" s="198" customFormat="1" ht="15" customHeight="1">
      <c r="A64" s="195" t="s">
        <v>44</v>
      </c>
      <c r="B64" s="197" t="s">
        <v>34</v>
      </c>
      <c r="C64" s="227">
        <v>9.1999999999999993</v>
      </c>
      <c r="D64" s="274" t="s">
        <v>303</v>
      </c>
      <c r="E64"/>
      <c r="F64" s="194"/>
    </row>
    <row r="65" spans="1:6" ht="15" customHeight="1">
      <c r="A65" s="191" t="s">
        <v>45</v>
      </c>
      <c r="B65" s="192" t="s">
        <v>122</v>
      </c>
      <c r="C65" s="226">
        <v>5.2</v>
      </c>
      <c r="D65" s="273" t="s">
        <v>302</v>
      </c>
      <c r="E65"/>
      <c r="F65" s="194"/>
    </row>
    <row r="66" spans="1:6" ht="15" customHeight="1">
      <c r="A66" s="195" t="s">
        <v>45</v>
      </c>
      <c r="B66" s="192" t="s">
        <v>123</v>
      </c>
      <c r="C66" s="226">
        <v>15</v>
      </c>
      <c r="D66" s="273" t="s">
        <v>301</v>
      </c>
      <c r="E66"/>
      <c r="F66" s="194"/>
    </row>
    <row r="67" spans="1:6" ht="15" customHeight="1">
      <c r="A67" s="195" t="s">
        <v>45</v>
      </c>
      <c r="B67" s="192" t="s">
        <v>124</v>
      </c>
      <c r="C67" s="226">
        <v>6.9</v>
      </c>
      <c r="D67" s="273" t="s">
        <v>300</v>
      </c>
      <c r="E67"/>
      <c r="F67" s="194"/>
    </row>
    <row r="68" spans="1:6" ht="15" customHeight="1">
      <c r="A68" s="195" t="s">
        <v>45</v>
      </c>
      <c r="B68" s="192" t="s">
        <v>125</v>
      </c>
      <c r="C68" s="226">
        <v>7.1</v>
      </c>
      <c r="D68" s="273" t="s">
        <v>299</v>
      </c>
      <c r="E68"/>
      <c r="F68" s="194"/>
    </row>
    <row r="69" spans="1:6" ht="15" customHeight="1">
      <c r="A69" s="195" t="s">
        <v>45</v>
      </c>
      <c r="B69" s="192" t="s">
        <v>126</v>
      </c>
      <c r="C69" s="226">
        <v>9</v>
      </c>
      <c r="D69" s="273" t="s">
        <v>298</v>
      </c>
      <c r="E69"/>
      <c r="F69" s="194"/>
    </row>
    <row r="70" spans="1:6" ht="15" customHeight="1">
      <c r="A70" s="195" t="s">
        <v>45</v>
      </c>
      <c r="B70" s="192" t="s">
        <v>127</v>
      </c>
      <c r="C70" s="226">
        <v>9.1</v>
      </c>
      <c r="D70" s="273" t="s">
        <v>297</v>
      </c>
      <c r="E70"/>
      <c r="F70" s="194"/>
    </row>
    <row r="71" spans="1:6" ht="15" customHeight="1">
      <c r="A71" s="195" t="s">
        <v>45</v>
      </c>
      <c r="B71" s="192" t="s">
        <v>128</v>
      </c>
      <c r="C71" s="226" t="s">
        <v>53</v>
      </c>
      <c r="D71" s="273" t="s">
        <v>53</v>
      </c>
      <c r="E71"/>
      <c r="F71" s="194"/>
    </row>
    <row r="72" spans="1:6" ht="15" customHeight="1">
      <c r="A72" s="195" t="s">
        <v>45</v>
      </c>
      <c r="B72" s="192" t="s">
        <v>129</v>
      </c>
      <c r="C72" s="226">
        <v>9.8000000000000007</v>
      </c>
      <c r="D72" s="273" t="s">
        <v>296</v>
      </c>
      <c r="E72"/>
      <c r="F72" s="194"/>
    </row>
    <row r="73" spans="1:6" ht="15" customHeight="1">
      <c r="A73" s="195" t="s">
        <v>45</v>
      </c>
      <c r="B73" s="192" t="s">
        <v>130</v>
      </c>
      <c r="C73" s="226">
        <v>9.3000000000000007</v>
      </c>
      <c r="D73" s="273" t="s">
        <v>295</v>
      </c>
      <c r="E73"/>
      <c r="F73" s="194"/>
    </row>
    <row r="74" spans="1:6" ht="15" customHeight="1">
      <c r="A74" s="195" t="s">
        <v>45</v>
      </c>
      <c r="B74" s="192" t="s">
        <v>131</v>
      </c>
      <c r="C74" s="226">
        <v>5.7</v>
      </c>
      <c r="D74" s="273" t="s">
        <v>294</v>
      </c>
      <c r="E74"/>
      <c r="F74" s="194"/>
    </row>
    <row r="75" spans="1:6" ht="15" customHeight="1">
      <c r="A75" s="195" t="s">
        <v>45</v>
      </c>
      <c r="B75" s="192" t="s">
        <v>132</v>
      </c>
      <c r="C75" s="226">
        <v>11.8</v>
      </c>
      <c r="D75" s="273" t="s">
        <v>293</v>
      </c>
      <c r="E75"/>
      <c r="F75" s="194"/>
    </row>
    <row r="76" spans="1:6" ht="15" customHeight="1">
      <c r="A76" s="195" t="s">
        <v>45</v>
      </c>
      <c r="B76" s="192" t="s">
        <v>133</v>
      </c>
      <c r="C76" s="226" t="s">
        <v>53</v>
      </c>
      <c r="D76" s="273" t="s">
        <v>53</v>
      </c>
      <c r="E76"/>
      <c r="F76" s="194"/>
    </row>
    <row r="77" spans="1:6" ht="15" customHeight="1">
      <c r="A77" s="195" t="s">
        <v>45</v>
      </c>
      <c r="B77" s="199" t="s">
        <v>86</v>
      </c>
      <c r="C77" s="226" t="s">
        <v>53</v>
      </c>
      <c r="D77" s="273" t="s">
        <v>53</v>
      </c>
      <c r="E77"/>
      <c r="F77" s="194"/>
    </row>
    <row r="78" spans="1:6" s="198" customFormat="1" ht="15" customHeight="1">
      <c r="A78" s="195" t="s">
        <v>45</v>
      </c>
      <c r="B78" s="197" t="s">
        <v>34</v>
      </c>
      <c r="C78" s="227">
        <v>8.4</v>
      </c>
      <c r="D78" s="274" t="s">
        <v>292</v>
      </c>
      <c r="E78"/>
      <c r="F78" s="194"/>
    </row>
    <row r="79" spans="1:6" ht="15" customHeight="1">
      <c r="A79" s="191" t="s">
        <v>46</v>
      </c>
      <c r="B79" s="199" t="s">
        <v>87</v>
      </c>
      <c r="C79" s="226">
        <v>8.6999999999999993</v>
      </c>
      <c r="D79" s="273" t="s">
        <v>291</v>
      </c>
      <c r="E79"/>
      <c r="F79" s="194"/>
    </row>
    <row r="80" spans="1:6" ht="15" customHeight="1">
      <c r="A80" s="195" t="s">
        <v>46</v>
      </c>
      <c r="B80" s="199" t="s">
        <v>88</v>
      </c>
      <c r="C80" s="226">
        <v>8</v>
      </c>
      <c r="D80" s="273" t="s">
        <v>290</v>
      </c>
      <c r="E80"/>
      <c r="F80" s="194"/>
    </row>
    <row r="81" spans="1:6" ht="15" customHeight="1">
      <c r="A81" s="195" t="s">
        <v>46</v>
      </c>
      <c r="B81" s="199" t="s">
        <v>76</v>
      </c>
      <c r="C81" s="226">
        <v>11.2</v>
      </c>
      <c r="D81" s="273" t="s">
        <v>289</v>
      </c>
      <c r="E81"/>
      <c r="F81" s="194"/>
    </row>
    <row r="82" spans="1:6" ht="15" customHeight="1">
      <c r="A82" s="195" t="s">
        <v>46</v>
      </c>
      <c r="B82" s="199" t="s">
        <v>89</v>
      </c>
      <c r="C82" s="226">
        <v>7.6</v>
      </c>
      <c r="D82" s="273" t="s">
        <v>288</v>
      </c>
      <c r="E82"/>
      <c r="F82" s="194"/>
    </row>
    <row r="83" spans="1:6" ht="15" customHeight="1">
      <c r="A83" s="195" t="s">
        <v>46</v>
      </c>
      <c r="B83" s="199" t="s">
        <v>90</v>
      </c>
      <c r="C83" s="226">
        <v>11</v>
      </c>
      <c r="D83" s="273" t="s">
        <v>286</v>
      </c>
      <c r="E83"/>
      <c r="F83" s="194"/>
    </row>
    <row r="84" spans="1:6" s="198" customFormat="1" ht="15" customHeight="1">
      <c r="A84" s="195" t="s">
        <v>46</v>
      </c>
      <c r="B84" s="197" t="s">
        <v>34</v>
      </c>
      <c r="C84" s="227">
        <v>9.1999999999999993</v>
      </c>
      <c r="D84" s="274" t="s">
        <v>287</v>
      </c>
      <c r="E84"/>
      <c r="F84" s="194"/>
    </row>
    <row r="85" spans="1:6" ht="15" customHeight="1">
      <c r="A85" s="191" t="s">
        <v>47</v>
      </c>
      <c r="B85" s="192" t="s">
        <v>134</v>
      </c>
      <c r="C85" s="226">
        <v>13.5</v>
      </c>
      <c r="D85" s="273" t="s">
        <v>285</v>
      </c>
      <c r="E85"/>
      <c r="F85" s="194"/>
    </row>
    <row r="86" spans="1:6" ht="15" customHeight="1">
      <c r="A86" s="195" t="s">
        <v>47</v>
      </c>
      <c r="B86" s="192" t="s">
        <v>135</v>
      </c>
      <c r="C86" s="226">
        <v>11.9</v>
      </c>
      <c r="D86" s="273" t="s">
        <v>284</v>
      </c>
      <c r="E86"/>
      <c r="F86" s="194"/>
    </row>
    <row r="87" spans="1:6" ht="15" customHeight="1">
      <c r="A87" s="195" t="s">
        <v>47</v>
      </c>
      <c r="B87" s="192" t="s">
        <v>136</v>
      </c>
      <c r="C87" s="226">
        <v>12.4</v>
      </c>
      <c r="D87" s="273" t="s">
        <v>283</v>
      </c>
      <c r="E87"/>
      <c r="F87" s="194"/>
    </row>
    <row r="88" spans="1:6" ht="15" customHeight="1">
      <c r="A88" s="195" t="s">
        <v>47</v>
      </c>
      <c r="B88" s="192" t="s">
        <v>137</v>
      </c>
      <c r="C88" s="226">
        <v>12.5</v>
      </c>
      <c r="D88" s="273" t="s">
        <v>282</v>
      </c>
      <c r="E88"/>
      <c r="F88" s="194"/>
    </row>
    <row r="89" spans="1:6" ht="15" customHeight="1">
      <c r="A89" s="195" t="s">
        <v>47</v>
      </c>
      <c r="B89" s="192" t="s">
        <v>138</v>
      </c>
      <c r="C89" s="226">
        <v>9.1999999999999993</v>
      </c>
      <c r="D89" s="273" t="s">
        <v>281</v>
      </c>
      <c r="E89"/>
      <c r="F89" s="194"/>
    </row>
    <row r="90" spans="1:6" ht="15" customHeight="1">
      <c r="A90" s="195" t="s">
        <v>47</v>
      </c>
      <c r="B90" s="192" t="s">
        <v>139</v>
      </c>
      <c r="C90" s="226">
        <v>10</v>
      </c>
      <c r="D90" s="273" t="s">
        <v>280</v>
      </c>
      <c r="E90"/>
      <c r="F90" s="194"/>
    </row>
    <row r="91" spans="1:6" ht="15" customHeight="1">
      <c r="A91" s="195" t="s">
        <v>47</v>
      </c>
      <c r="B91" s="192" t="s">
        <v>140</v>
      </c>
      <c r="C91" s="226">
        <v>10.8</v>
      </c>
      <c r="D91" s="273" t="s">
        <v>279</v>
      </c>
      <c r="E91"/>
      <c r="F91" s="194"/>
    </row>
    <row r="92" spans="1:6" ht="15" customHeight="1">
      <c r="A92" s="195" t="s">
        <v>47</v>
      </c>
      <c r="B92" s="192" t="s">
        <v>141</v>
      </c>
      <c r="C92" s="226">
        <v>15.1</v>
      </c>
      <c r="D92" s="273" t="s">
        <v>278</v>
      </c>
      <c r="E92"/>
      <c r="F92" s="194"/>
    </row>
    <row r="93" spans="1:6" ht="15" customHeight="1">
      <c r="A93" s="195" t="s">
        <v>47</v>
      </c>
      <c r="B93" s="192" t="s">
        <v>142</v>
      </c>
      <c r="C93" s="226">
        <v>13.4</v>
      </c>
      <c r="D93" s="273" t="s">
        <v>277</v>
      </c>
      <c r="E93"/>
      <c r="F93" s="194"/>
    </row>
    <row r="94" spans="1:6" ht="15" customHeight="1">
      <c r="A94" s="195" t="s">
        <v>47</v>
      </c>
      <c r="B94" s="192" t="s">
        <v>143</v>
      </c>
      <c r="C94" s="226">
        <v>11.1</v>
      </c>
      <c r="D94" s="273" t="s">
        <v>276</v>
      </c>
      <c r="E94"/>
      <c r="F94" s="194"/>
    </row>
    <row r="95" spans="1:6" ht="15" customHeight="1">
      <c r="A95" s="195" t="s">
        <v>47</v>
      </c>
      <c r="B95" s="192" t="s">
        <v>144</v>
      </c>
      <c r="C95" s="226">
        <v>9.5</v>
      </c>
      <c r="D95" s="273" t="s">
        <v>275</v>
      </c>
      <c r="E95"/>
      <c r="F95" s="194"/>
    </row>
    <row r="96" spans="1:6" ht="15" customHeight="1">
      <c r="A96" s="195" t="s">
        <v>47</v>
      </c>
      <c r="B96" s="192" t="s">
        <v>145</v>
      </c>
      <c r="C96" s="226">
        <v>13</v>
      </c>
      <c r="D96" s="273" t="s">
        <v>274</v>
      </c>
      <c r="E96"/>
      <c r="F96" s="194"/>
    </row>
    <row r="97" spans="1:6" ht="15" customHeight="1">
      <c r="A97" s="195" t="s">
        <v>47</v>
      </c>
      <c r="B97" s="192" t="s">
        <v>146</v>
      </c>
      <c r="C97" s="226">
        <v>14.4</v>
      </c>
      <c r="D97" s="273" t="s">
        <v>273</v>
      </c>
      <c r="E97"/>
      <c r="F97" s="194"/>
    </row>
    <row r="98" spans="1:6" ht="15" customHeight="1">
      <c r="A98" s="195" t="s">
        <v>47</v>
      </c>
      <c r="B98" s="192" t="s">
        <v>147</v>
      </c>
      <c r="C98" s="226">
        <v>11</v>
      </c>
      <c r="D98" s="273" t="s">
        <v>272</v>
      </c>
      <c r="E98"/>
      <c r="F98" s="194"/>
    </row>
    <row r="99" spans="1:6" ht="15" customHeight="1">
      <c r="A99" s="195" t="s">
        <v>47</v>
      </c>
      <c r="B99" s="192" t="s">
        <v>148</v>
      </c>
      <c r="C99" s="226">
        <v>9.4</v>
      </c>
      <c r="D99" s="273" t="s">
        <v>271</v>
      </c>
      <c r="E99"/>
      <c r="F99" s="194"/>
    </row>
    <row r="100" spans="1:6" ht="15" customHeight="1">
      <c r="A100" s="195" t="s">
        <v>47</v>
      </c>
      <c r="B100" s="192" t="s">
        <v>149</v>
      </c>
      <c r="C100" s="226">
        <v>6.9</v>
      </c>
      <c r="D100" s="273" t="s">
        <v>270</v>
      </c>
      <c r="E100"/>
      <c r="F100" s="194"/>
    </row>
    <row r="101" spans="1:6" s="198" customFormat="1" ht="15" customHeight="1">
      <c r="A101" s="195" t="s">
        <v>47</v>
      </c>
      <c r="B101" s="197" t="s">
        <v>34</v>
      </c>
      <c r="C101" s="227">
        <v>11.3</v>
      </c>
      <c r="D101" s="274" t="s">
        <v>269</v>
      </c>
      <c r="E101"/>
      <c r="F101" s="194"/>
    </row>
    <row r="102" spans="1:6" ht="15" customHeight="1">
      <c r="A102" s="191" t="s">
        <v>48</v>
      </c>
      <c r="B102" s="199" t="s">
        <v>48</v>
      </c>
      <c r="C102" s="226">
        <v>12.1</v>
      </c>
      <c r="D102" s="273" t="s">
        <v>268</v>
      </c>
      <c r="E102"/>
      <c r="F102" s="194"/>
    </row>
    <row r="103" spans="1:6" s="198" customFormat="1" ht="15" customHeight="1">
      <c r="A103" s="200" t="s">
        <v>48</v>
      </c>
      <c r="B103" s="197" t="s">
        <v>34</v>
      </c>
      <c r="C103" s="227">
        <v>12.1</v>
      </c>
      <c r="D103" s="274" t="s">
        <v>268</v>
      </c>
      <c r="E103"/>
      <c r="F103" s="194"/>
    </row>
    <row r="104" spans="1:6" ht="15" customHeight="1">
      <c r="A104" s="201" t="s">
        <v>49</v>
      </c>
      <c r="B104" s="199" t="s">
        <v>49</v>
      </c>
      <c r="C104" s="226">
        <v>8.1999999999999993</v>
      </c>
      <c r="D104" s="273" t="s">
        <v>267</v>
      </c>
      <c r="E104"/>
      <c r="F104" s="194"/>
    </row>
    <row r="105" spans="1:6" s="198" customFormat="1" ht="15" customHeight="1">
      <c r="A105" s="200" t="s">
        <v>49</v>
      </c>
      <c r="B105" s="197" t="s">
        <v>34</v>
      </c>
      <c r="C105" s="227">
        <v>8.1999999999999993</v>
      </c>
      <c r="D105" s="274" t="s">
        <v>267</v>
      </c>
      <c r="E105"/>
      <c r="F105" s="194"/>
    </row>
    <row r="106" spans="1:6" ht="15" customHeight="1">
      <c r="A106" s="201" t="s">
        <v>50</v>
      </c>
      <c r="B106" s="199" t="s">
        <v>50</v>
      </c>
      <c r="C106" s="226" t="s">
        <v>53</v>
      </c>
      <c r="D106" s="273" t="s">
        <v>53</v>
      </c>
      <c r="E106"/>
      <c r="F106" s="194"/>
    </row>
    <row r="107" spans="1:6" s="198" customFormat="1" ht="15" customHeight="1">
      <c r="A107" s="200" t="s">
        <v>50</v>
      </c>
      <c r="B107" s="197" t="s">
        <v>34</v>
      </c>
      <c r="C107" s="226" t="s">
        <v>53</v>
      </c>
      <c r="D107" s="273" t="s">
        <v>53</v>
      </c>
      <c r="E107"/>
      <c r="F107" s="194"/>
    </row>
    <row r="108" spans="1:6" s="198" customFormat="1" ht="15" customHeight="1">
      <c r="A108" s="202" t="s">
        <v>51</v>
      </c>
      <c r="B108" s="203" t="s">
        <v>34</v>
      </c>
      <c r="C108" s="227">
        <v>11.1</v>
      </c>
      <c r="D108" s="274" t="s">
        <v>13</v>
      </c>
      <c r="E108"/>
      <c r="F108" s="194"/>
    </row>
    <row r="109" spans="1:6" ht="17.25" customHeight="1">
      <c r="A109" s="204" t="s">
        <v>9</v>
      </c>
      <c r="C109" s="213"/>
    </row>
    <row r="110" spans="1:6" ht="12" customHeight="1">
      <c r="A110" s="205" t="s">
        <v>91</v>
      </c>
      <c r="C110" s="214"/>
      <c r="D110" s="198"/>
    </row>
    <row r="111" spans="1:6" ht="12" customHeight="1">
      <c r="A111" s="207" t="s">
        <v>92</v>
      </c>
      <c r="C111" s="214"/>
      <c r="D111" s="198"/>
    </row>
    <row r="112" spans="1:6" ht="12" customHeight="1">
      <c r="A112" s="207" t="s">
        <v>10</v>
      </c>
    </row>
    <row r="113" spans="1:4" s="241" customFormat="1" ht="12" customHeight="1">
      <c r="A113" s="207" t="s">
        <v>154</v>
      </c>
      <c r="C113" s="242"/>
    </row>
    <row r="114" spans="1:4" ht="12" customHeight="1">
      <c r="A114" s="207" t="s">
        <v>153</v>
      </c>
    </row>
    <row r="115" spans="1:4" ht="24" customHeight="1">
      <c r="A115" s="339" t="s">
        <v>93</v>
      </c>
      <c r="B115" s="340"/>
      <c r="C115" s="340"/>
      <c r="D115" s="340"/>
    </row>
    <row r="116" spans="1:4" ht="12" customHeight="1">
      <c r="A116" s="207" t="s">
        <v>94</v>
      </c>
    </row>
    <row r="117" spans="1:4" ht="12" customHeight="1">
      <c r="A117" s="148" t="s">
        <v>95</v>
      </c>
      <c r="B117" s="148"/>
      <c r="C117" s="211"/>
    </row>
    <row r="118" spans="1:4" s="206" customFormat="1" ht="12" customHeight="1">
      <c r="A118" s="148" t="s">
        <v>96</v>
      </c>
      <c r="B118" s="148"/>
      <c r="C118" s="210"/>
      <c r="D118" s="193"/>
    </row>
    <row r="119" spans="1:4" ht="12" customHeight="1">
      <c r="A119" s="209" t="s">
        <v>97</v>
      </c>
      <c r="C119" s="212"/>
    </row>
    <row r="120" spans="1:4" ht="24" customHeight="1">
      <c r="A120" s="341" t="s">
        <v>325</v>
      </c>
      <c r="B120" s="340"/>
      <c r="C120" s="340"/>
      <c r="D120" s="340"/>
    </row>
    <row r="121" spans="1:4">
      <c r="D121" s="206"/>
    </row>
  </sheetData>
  <mergeCells count="2">
    <mergeCell ref="A115:D115"/>
    <mergeCell ref="A120:D120"/>
  </mergeCells>
  <hyperlinks>
    <hyperlink ref="A2" location="'Table of Contents'!A1" display="Table of Contents"/>
  </hyperlinks>
  <pageMargins left="0.75" right="0.75" top="0.75" bottom="0.75" header="0.3" footer="0.3"/>
  <pageSetup scale="65" fitToWidth="0" fitToHeight="0" orientation="landscape" r:id="rId1"/>
  <headerFooter>
    <oddFooter>&amp;L&amp;9© 2020 CIHI&amp;R&amp;9&amp;P</oddFooter>
  </headerFooter>
  <rowBreaks count="2" manualBreakCount="2">
    <brk id="43" max="5" man="1"/>
    <brk id="64" max="5"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J192"/>
  <sheetViews>
    <sheetView showGridLines="0" zoomScaleNormal="100" zoomScaleSheetLayoutView="50" workbookViewId="0"/>
  </sheetViews>
  <sheetFormatPr defaultColWidth="9" defaultRowHeight="13.2"/>
  <cols>
    <col min="1" max="1" width="34.59765625" style="129" customWidth="1"/>
    <col min="2" max="2" width="34.09765625" style="129" customWidth="1"/>
    <col min="3" max="7" width="11.59765625" style="129" customWidth="1"/>
    <col min="8" max="16384" width="9" style="129"/>
  </cols>
  <sheetData>
    <row r="1" spans="1:8" ht="39.6">
      <c r="A1" s="127" t="s">
        <v>202</v>
      </c>
      <c r="B1" s="229" t="s">
        <v>25</v>
      </c>
      <c r="C1" s="229" t="s">
        <v>26</v>
      </c>
      <c r="D1" s="128"/>
      <c r="E1" s="128"/>
      <c r="F1" s="128"/>
      <c r="G1" s="128"/>
      <c r="H1" s="128"/>
    </row>
    <row r="2" spans="1:8" ht="39.6">
      <c r="A2" s="290" t="s">
        <v>15</v>
      </c>
      <c r="B2" s="291" t="s">
        <v>11</v>
      </c>
      <c r="C2" s="291" t="s">
        <v>179</v>
      </c>
      <c r="D2" s="291" t="s">
        <v>180</v>
      </c>
      <c r="E2" s="292" t="s">
        <v>181</v>
      </c>
      <c r="F2" s="292" t="s">
        <v>184</v>
      </c>
      <c r="G2" s="293" t="s">
        <v>187</v>
      </c>
      <c r="H2" s="128"/>
    </row>
    <row r="3" spans="1:8">
      <c r="A3" s="236" t="s">
        <v>16</v>
      </c>
      <c r="B3" s="130">
        <v>36985</v>
      </c>
      <c r="C3" s="130">
        <v>16.225334070350002</v>
      </c>
      <c r="D3" s="130">
        <v>16</v>
      </c>
      <c r="E3" s="130">
        <v>32.317047451669602</v>
      </c>
      <c r="F3" s="130">
        <v>29.7086986207838</v>
      </c>
      <c r="G3" s="130">
        <v>1195246</v>
      </c>
    </row>
    <row r="4" spans="1:8">
      <c r="A4" s="236" t="s">
        <v>17</v>
      </c>
      <c r="B4" s="130">
        <v>46787</v>
      </c>
      <c r="C4" s="130">
        <v>20.525475331876802</v>
      </c>
      <c r="D4" s="130">
        <v>3</v>
      </c>
      <c r="E4" s="130">
        <v>6.3779896124992002</v>
      </c>
      <c r="F4" s="130">
        <v>5.6521297955482597</v>
      </c>
      <c r="G4" s="130">
        <v>298407</v>
      </c>
    </row>
    <row r="5" spans="1:8">
      <c r="A5" s="236" t="s">
        <v>18</v>
      </c>
      <c r="B5" s="130">
        <v>41425</v>
      </c>
      <c r="C5" s="130">
        <v>18.173163819501099</v>
      </c>
      <c r="D5" s="130">
        <v>12</v>
      </c>
      <c r="E5" s="130">
        <v>22.162920941460499</v>
      </c>
      <c r="F5" s="130">
        <v>20.3418030188495</v>
      </c>
      <c r="G5" s="130">
        <v>918099</v>
      </c>
    </row>
    <row r="6" spans="1:8">
      <c r="A6" s="236" t="s">
        <v>19</v>
      </c>
      <c r="B6" s="130">
        <v>51757</v>
      </c>
      <c r="C6" s="130">
        <v>22.705816289823002</v>
      </c>
      <c r="D6" s="130">
        <v>8</v>
      </c>
      <c r="E6" s="130">
        <v>14.9324729022161</v>
      </c>
      <c r="F6" s="130">
        <v>14.0319288042312</v>
      </c>
      <c r="G6" s="130">
        <v>772860</v>
      </c>
    </row>
    <row r="7" spans="1:8">
      <c r="A7" s="236" t="s">
        <v>20</v>
      </c>
      <c r="B7" s="130">
        <v>8241</v>
      </c>
      <c r="C7" s="130">
        <v>3.6153299465662898</v>
      </c>
      <c r="D7" s="130">
        <v>4</v>
      </c>
      <c r="E7" s="130">
        <v>9.2780002426889894</v>
      </c>
      <c r="F7" s="130">
        <v>8.5824445261738393</v>
      </c>
      <c r="G7" s="130">
        <v>76460</v>
      </c>
    </row>
    <row r="8" spans="1:8">
      <c r="A8" s="236" t="s">
        <v>21</v>
      </c>
      <c r="B8" s="130">
        <v>11369</v>
      </c>
      <c r="C8" s="130">
        <v>4.9875847788511303</v>
      </c>
      <c r="D8" s="130">
        <v>3</v>
      </c>
      <c r="E8" s="130">
        <v>8.8595303016975997</v>
      </c>
      <c r="F8" s="130">
        <v>7.8210573078631702</v>
      </c>
      <c r="G8" s="130">
        <v>100724</v>
      </c>
    </row>
    <row r="9" spans="1:8">
      <c r="A9" s="236" t="s">
        <v>22</v>
      </c>
      <c r="B9" s="130">
        <v>31382</v>
      </c>
      <c r="C9" s="130">
        <v>13.7672957630316</v>
      </c>
      <c r="D9" s="130">
        <v>4</v>
      </c>
      <c r="E9" s="130">
        <v>9.6705117583328004</v>
      </c>
      <c r="F9" s="130">
        <v>8.4543581820522693</v>
      </c>
      <c r="G9" s="130">
        <v>303480</v>
      </c>
    </row>
    <row r="10" spans="1:8">
      <c r="A10" s="231" t="s">
        <v>28</v>
      </c>
      <c r="B10" s="131">
        <v>227946</v>
      </c>
      <c r="C10" s="131">
        <v>100</v>
      </c>
      <c r="D10" s="131">
        <v>6</v>
      </c>
      <c r="E10" s="131">
        <v>16.079580251463099</v>
      </c>
      <c r="F10" s="131">
        <v>14.4718566376858</v>
      </c>
      <c r="G10" s="131">
        <v>3665276</v>
      </c>
    </row>
    <row r="11" spans="1:8">
      <c r="A11" s="237" t="s">
        <v>16</v>
      </c>
      <c r="B11" s="132" t="s">
        <v>13</v>
      </c>
      <c r="C11" s="132" t="s">
        <v>13</v>
      </c>
      <c r="D11" s="132" t="s">
        <v>13</v>
      </c>
      <c r="E11" s="132" t="s">
        <v>13</v>
      </c>
      <c r="F11" s="132" t="s">
        <v>13</v>
      </c>
      <c r="G11" s="132" t="s">
        <v>13</v>
      </c>
    </row>
    <row r="12" spans="1:8">
      <c r="A12" s="237" t="s">
        <v>17</v>
      </c>
      <c r="B12" s="129">
        <v>46787</v>
      </c>
      <c r="C12" s="129">
        <v>24.500814302396801</v>
      </c>
      <c r="D12" s="129">
        <v>3</v>
      </c>
      <c r="E12" s="129">
        <v>6.3779896124992002</v>
      </c>
      <c r="F12" s="129">
        <v>5.6521297955482597</v>
      </c>
      <c r="G12" s="129">
        <v>298407</v>
      </c>
    </row>
    <row r="13" spans="1:8">
      <c r="A13" s="237" t="s">
        <v>18</v>
      </c>
      <c r="B13" s="129">
        <v>41425</v>
      </c>
      <c r="C13" s="129">
        <v>21.692911117977001</v>
      </c>
      <c r="D13" s="129">
        <v>12</v>
      </c>
      <c r="E13" s="129">
        <v>22.162920941460499</v>
      </c>
      <c r="F13" s="129">
        <v>20.3418030188495</v>
      </c>
      <c r="G13" s="129">
        <v>918099</v>
      </c>
    </row>
    <row r="14" spans="1:8">
      <c r="A14" s="237" t="s">
        <v>19</v>
      </c>
      <c r="B14" s="129">
        <v>51757</v>
      </c>
      <c r="C14" s="129">
        <v>27.103439969417799</v>
      </c>
      <c r="D14" s="129">
        <v>8</v>
      </c>
      <c r="E14" s="129">
        <v>14.9324729022161</v>
      </c>
      <c r="F14" s="129">
        <v>14.0319288042312</v>
      </c>
      <c r="G14" s="129">
        <v>772860</v>
      </c>
    </row>
    <row r="15" spans="1:8">
      <c r="A15" s="237" t="s">
        <v>20</v>
      </c>
      <c r="B15" s="129">
        <v>8241</v>
      </c>
      <c r="C15" s="129">
        <v>4.3155408696016497</v>
      </c>
      <c r="D15" s="129">
        <v>4</v>
      </c>
      <c r="E15" s="129">
        <v>9.2780002426889894</v>
      </c>
      <c r="F15" s="129">
        <v>8.5824445261738393</v>
      </c>
      <c r="G15" s="129">
        <v>76460</v>
      </c>
    </row>
    <row r="16" spans="1:8">
      <c r="A16" s="237" t="s">
        <v>21</v>
      </c>
      <c r="B16" s="129">
        <v>11369</v>
      </c>
      <c r="C16" s="129">
        <v>5.9535716717026004</v>
      </c>
      <c r="D16" s="129">
        <v>3</v>
      </c>
      <c r="E16" s="129">
        <v>8.8595303016975997</v>
      </c>
      <c r="F16" s="129">
        <v>7.8210573078631702</v>
      </c>
      <c r="G16" s="129">
        <v>100724</v>
      </c>
    </row>
    <row r="17" spans="1:10">
      <c r="A17" s="237" t="s">
        <v>22</v>
      </c>
      <c r="B17" s="129">
        <v>31382</v>
      </c>
      <c r="C17" s="129">
        <v>16.4337220689041</v>
      </c>
      <c r="D17" s="129">
        <v>4</v>
      </c>
      <c r="E17" s="129">
        <v>9.6705117583328004</v>
      </c>
      <c r="F17" s="129">
        <v>8.4543581820522693</v>
      </c>
      <c r="G17" s="129">
        <v>303480</v>
      </c>
    </row>
    <row r="18" spans="1:10" ht="13.8" thickBot="1">
      <c r="A18" s="232" t="s">
        <v>27</v>
      </c>
      <c r="B18" s="133">
        <v>190961</v>
      </c>
      <c r="C18" s="133">
        <v>100</v>
      </c>
      <c r="D18" s="133">
        <v>5</v>
      </c>
      <c r="E18" s="133">
        <v>12.934735364812701</v>
      </c>
      <c r="F18" s="133">
        <v>11.733934229387801</v>
      </c>
      <c r="G18" s="133">
        <v>2470030</v>
      </c>
    </row>
    <row r="19" spans="1:10" s="138" customFormat="1" ht="45.75" customHeight="1">
      <c r="A19" s="134" t="s">
        <v>203</v>
      </c>
      <c r="B19" s="229" t="s">
        <v>25</v>
      </c>
      <c r="C19" s="229" t="s">
        <v>26</v>
      </c>
      <c r="D19" s="135"/>
      <c r="E19" s="135"/>
      <c r="F19" s="135"/>
      <c r="G19" s="135"/>
      <c r="H19" s="136"/>
      <c r="I19" s="137"/>
      <c r="J19" s="137"/>
    </row>
    <row r="20" spans="1:10" s="138" customFormat="1" ht="39.6">
      <c r="A20" s="290" t="s">
        <v>15</v>
      </c>
      <c r="B20" s="291" t="s">
        <v>11</v>
      </c>
      <c r="C20" s="291" t="s">
        <v>179</v>
      </c>
      <c r="D20" s="291" t="s">
        <v>180</v>
      </c>
      <c r="E20" s="292" t="s">
        <v>181</v>
      </c>
      <c r="F20" s="292" t="s">
        <v>184</v>
      </c>
      <c r="G20" s="293" t="s">
        <v>187</v>
      </c>
      <c r="H20" s="136"/>
      <c r="I20" s="137"/>
      <c r="J20" s="137"/>
    </row>
    <row r="21" spans="1:10">
      <c r="A21" s="238" t="s">
        <v>16</v>
      </c>
      <c r="B21" s="129">
        <v>1332</v>
      </c>
      <c r="C21" s="129">
        <v>4.4990880226980998</v>
      </c>
      <c r="D21" s="129">
        <v>62</v>
      </c>
      <c r="E21" s="129">
        <v>179.17117117117101</v>
      </c>
      <c r="F21" s="129">
        <v>166.639605462822</v>
      </c>
      <c r="G21" s="129">
        <v>238656</v>
      </c>
    </row>
    <row r="22" spans="1:10">
      <c r="A22" s="238" t="s">
        <v>17</v>
      </c>
      <c r="B22" s="129">
        <v>6107</v>
      </c>
      <c r="C22" s="129">
        <v>20.627575491454401</v>
      </c>
      <c r="D22" s="129">
        <v>14</v>
      </c>
      <c r="E22" s="129">
        <v>21.804650401179</v>
      </c>
      <c r="F22" s="129">
        <v>20.148552522746101</v>
      </c>
      <c r="G22" s="129">
        <v>133161</v>
      </c>
    </row>
    <row r="23" spans="1:10">
      <c r="A23" s="238" t="s">
        <v>18</v>
      </c>
      <c r="B23" s="129">
        <v>8918</v>
      </c>
      <c r="C23" s="129">
        <v>30.1222725123286</v>
      </c>
      <c r="D23" s="129">
        <v>31</v>
      </c>
      <c r="E23" s="129">
        <v>112.32888540031399</v>
      </c>
      <c r="F23" s="129">
        <v>88.820004531037597</v>
      </c>
      <c r="G23" s="129">
        <v>1001749</v>
      </c>
    </row>
    <row r="24" spans="1:10">
      <c r="A24" s="238" t="s">
        <v>19</v>
      </c>
      <c r="B24" s="129">
        <v>6555</v>
      </c>
      <c r="C24" s="129">
        <v>22.140782273863401</v>
      </c>
      <c r="D24" s="129">
        <v>20</v>
      </c>
      <c r="E24" s="129">
        <v>39.593592677345498</v>
      </c>
      <c r="F24" s="129">
        <v>35.668053629218697</v>
      </c>
      <c r="G24" s="129">
        <v>259536</v>
      </c>
    </row>
    <row r="25" spans="1:10">
      <c r="A25" s="238" t="s">
        <v>20</v>
      </c>
      <c r="B25" s="129">
        <v>608</v>
      </c>
      <c r="C25" s="129">
        <v>2.0536377761264601</v>
      </c>
      <c r="D25" s="129">
        <v>10</v>
      </c>
      <c r="E25" s="129">
        <v>31.771381578947398</v>
      </c>
      <c r="F25" s="129">
        <v>22.426666666666701</v>
      </c>
      <c r="G25" s="129">
        <v>19317</v>
      </c>
    </row>
    <row r="26" spans="1:10">
      <c r="A26" s="238" t="s">
        <v>21</v>
      </c>
      <c r="B26" s="129">
        <v>2149</v>
      </c>
      <c r="C26" s="129">
        <v>7.2586637843680304</v>
      </c>
      <c r="D26" s="129">
        <v>6</v>
      </c>
      <c r="E26" s="129">
        <v>25.4681247091671</v>
      </c>
      <c r="F26" s="129">
        <v>18.630935590032902</v>
      </c>
      <c r="G26" s="129">
        <v>54731</v>
      </c>
    </row>
    <row r="27" spans="1:10">
      <c r="A27" s="238" t="s">
        <v>22</v>
      </c>
      <c r="B27" s="129">
        <v>3929</v>
      </c>
      <c r="C27" s="129">
        <v>13.2709585894751</v>
      </c>
      <c r="D27" s="129">
        <v>10</v>
      </c>
      <c r="E27" s="129">
        <v>53.1868159837109</v>
      </c>
      <c r="F27" s="129">
        <v>34.4479300591412</v>
      </c>
      <c r="G27" s="129">
        <v>208971</v>
      </c>
    </row>
    <row r="28" spans="1:10">
      <c r="A28" s="239" t="s">
        <v>29</v>
      </c>
      <c r="B28" s="129">
        <v>8</v>
      </c>
      <c r="C28" s="129">
        <v>2.7021549685874498E-2</v>
      </c>
      <c r="D28" s="129">
        <v>11.5</v>
      </c>
      <c r="E28" s="129">
        <v>354.625</v>
      </c>
      <c r="F28" s="129">
        <v>115.833333333333</v>
      </c>
      <c r="G28" s="129">
        <v>2837</v>
      </c>
    </row>
    <row r="29" spans="1:10">
      <c r="A29" s="231" t="s">
        <v>28</v>
      </c>
      <c r="B29" s="131">
        <v>29606</v>
      </c>
      <c r="C29" s="131">
        <v>100</v>
      </c>
      <c r="D29" s="131">
        <v>19</v>
      </c>
      <c r="E29" s="131">
        <v>64.816523677632901</v>
      </c>
      <c r="F29" s="131">
        <v>50.306162140029997</v>
      </c>
      <c r="G29" s="131">
        <v>1918958</v>
      </c>
    </row>
    <row r="30" spans="1:10">
      <c r="A30" s="238" t="s">
        <v>16</v>
      </c>
      <c r="B30" s="132" t="s">
        <v>13</v>
      </c>
      <c r="C30" s="132" t="s">
        <v>13</v>
      </c>
      <c r="D30" s="132" t="s">
        <v>13</v>
      </c>
      <c r="E30" s="132" t="s">
        <v>13</v>
      </c>
      <c r="F30" s="132" t="s">
        <v>13</v>
      </c>
      <c r="G30" s="132" t="s">
        <v>13</v>
      </c>
    </row>
    <row r="31" spans="1:10">
      <c r="A31" s="238" t="s">
        <v>17</v>
      </c>
      <c r="B31" s="139">
        <v>6107</v>
      </c>
      <c r="C31" s="129">
        <v>21.5993492254368</v>
      </c>
      <c r="D31" s="129">
        <v>14</v>
      </c>
      <c r="E31" s="129">
        <v>21.804650401179</v>
      </c>
      <c r="F31" s="129">
        <v>20.148552522746101</v>
      </c>
      <c r="G31" s="129">
        <v>133161</v>
      </c>
    </row>
    <row r="32" spans="1:10">
      <c r="A32" s="238" t="s">
        <v>18</v>
      </c>
      <c r="B32" s="139">
        <v>8918</v>
      </c>
      <c r="C32" s="129">
        <v>31.541345405673098</v>
      </c>
      <c r="D32" s="129">
        <v>31</v>
      </c>
      <c r="E32" s="129">
        <v>112.32888540031399</v>
      </c>
      <c r="F32" s="129">
        <v>88.820004531037597</v>
      </c>
      <c r="G32" s="129">
        <v>1001749</v>
      </c>
    </row>
    <row r="33" spans="1:7">
      <c r="A33" s="238" t="s">
        <v>19</v>
      </c>
      <c r="B33" s="139">
        <v>6555</v>
      </c>
      <c r="C33" s="129">
        <v>23.183843814104801</v>
      </c>
      <c r="D33" s="129">
        <v>20</v>
      </c>
      <c r="E33" s="129">
        <v>39.593592677345498</v>
      </c>
      <c r="F33" s="129">
        <v>35.668053629218697</v>
      </c>
      <c r="G33" s="129">
        <v>259536</v>
      </c>
    </row>
    <row r="34" spans="1:7">
      <c r="A34" s="238" t="s">
        <v>20</v>
      </c>
      <c r="B34" s="139">
        <v>608</v>
      </c>
      <c r="C34" s="129">
        <v>2.15038551319233</v>
      </c>
      <c r="D34" s="129">
        <v>10</v>
      </c>
      <c r="E34" s="129">
        <v>31.771381578947398</v>
      </c>
      <c r="F34" s="129">
        <v>22.426666666666701</v>
      </c>
      <c r="G34" s="129">
        <v>19317</v>
      </c>
    </row>
    <row r="35" spans="1:7">
      <c r="A35" s="238" t="s">
        <v>21</v>
      </c>
      <c r="B35" s="139">
        <v>2149</v>
      </c>
      <c r="C35" s="129">
        <v>7.6006224800169804</v>
      </c>
      <c r="D35" s="129">
        <v>6</v>
      </c>
      <c r="E35" s="129">
        <v>25.4681247091671</v>
      </c>
      <c r="F35" s="129">
        <v>18.630935590032902</v>
      </c>
      <c r="G35" s="129">
        <v>54731</v>
      </c>
    </row>
    <row r="36" spans="1:7">
      <c r="A36" s="238" t="s">
        <v>22</v>
      </c>
      <c r="B36" s="139">
        <v>3929</v>
      </c>
      <c r="C36" s="129">
        <v>13.8961590153498</v>
      </c>
      <c r="D36" s="129">
        <v>10</v>
      </c>
      <c r="E36" s="129">
        <v>53.1868159837109</v>
      </c>
      <c r="F36" s="129">
        <v>34.4479300591412</v>
      </c>
      <c r="G36" s="129">
        <v>208971</v>
      </c>
    </row>
    <row r="37" spans="1:7">
      <c r="A37" s="239" t="s">
        <v>29</v>
      </c>
      <c r="B37" s="139">
        <v>8</v>
      </c>
      <c r="C37" s="130">
        <v>2.8294546226214901E-2</v>
      </c>
      <c r="D37" s="130">
        <v>11.5</v>
      </c>
      <c r="E37" s="130">
        <v>354.625</v>
      </c>
      <c r="F37" s="130">
        <v>115.833333333333</v>
      </c>
      <c r="G37" s="130">
        <v>2837</v>
      </c>
    </row>
    <row r="38" spans="1:7" ht="13.8" thickBot="1">
      <c r="A38" s="232" t="s">
        <v>27</v>
      </c>
      <c r="B38" s="133">
        <v>28274</v>
      </c>
      <c r="C38" s="133">
        <v>100</v>
      </c>
      <c r="D38" s="133">
        <v>18</v>
      </c>
      <c r="E38" s="133">
        <v>59.429228266251698</v>
      </c>
      <c r="F38" s="133">
        <v>45.1100392997499</v>
      </c>
      <c r="G38" s="133">
        <v>1680302</v>
      </c>
    </row>
    <row r="39" spans="1:7" ht="52.8">
      <c r="A39" s="145" t="s">
        <v>204</v>
      </c>
      <c r="B39" s="230" t="s">
        <v>25</v>
      </c>
      <c r="C39" s="230" t="s">
        <v>26</v>
      </c>
      <c r="D39" s="130"/>
      <c r="E39" s="130"/>
      <c r="F39" s="130"/>
      <c r="G39" s="130"/>
    </row>
    <row r="40" spans="1:7" ht="66">
      <c r="A40" s="295" t="s">
        <v>36</v>
      </c>
      <c r="B40" s="294" t="s">
        <v>11</v>
      </c>
      <c r="C40" s="143" t="s">
        <v>185</v>
      </c>
      <c r="D40" s="146"/>
      <c r="E40" s="146"/>
      <c r="F40" s="146"/>
      <c r="G40" s="130"/>
    </row>
    <row r="41" spans="1:7">
      <c r="A41" s="230" t="s">
        <v>38</v>
      </c>
      <c r="B41" s="130">
        <v>3412</v>
      </c>
      <c r="C41" s="130">
        <v>664.77318021784197</v>
      </c>
      <c r="D41" s="130"/>
      <c r="E41" s="130"/>
      <c r="F41" s="130"/>
      <c r="G41" s="130"/>
    </row>
    <row r="42" spans="1:7">
      <c r="A42" s="230" t="s">
        <v>39</v>
      </c>
      <c r="B42" s="130">
        <v>1496</v>
      </c>
      <c r="C42" s="130">
        <v>994.66806735001899</v>
      </c>
      <c r="D42" s="130"/>
      <c r="E42" s="130"/>
      <c r="F42" s="130"/>
      <c r="G42" s="130"/>
    </row>
    <row r="43" spans="1:7">
      <c r="A43" s="230" t="s">
        <v>40</v>
      </c>
      <c r="B43" s="130">
        <v>5609</v>
      </c>
      <c r="C43" s="130">
        <v>579.89327239868999</v>
      </c>
      <c r="D43" s="130"/>
      <c r="E43" s="130"/>
      <c r="F43" s="130"/>
      <c r="G43" s="130"/>
    </row>
    <row r="44" spans="1:7">
      <c r="A44" s="230" t="s">
        <v>41</v>
      </c>
      <c r="B44" s="130">
        <v>5829</v>
      </c>
      <c r="C44" s="130">
        <v>768.71942936793801</v>
      </c>
      <c r="D44" s="130"/>
      <c r="E44" s="130"/>
      <c r="F44" s="130"/>
      <c r="G44" s="130"/>
    </row>
    <row r="45" spans="1:7">
      <c r="A45" s="230" t="s">
        <v>42</v>
      </c>
      <c r="B45" s="130">
        <v>57976</v>
      </c>
      <c r="C45" s="130">
        <v>684.59028284843305</v>
      </c>
      <c r="D45" s="130"/>
      <c r="E45" s="130"/>
      <c r="F45" s="130"/>
      <c r="G45" s="130"/>
    </row>
    <row r="46" spans="1:7">
      <c r="A46" s="230" t="s">
        <v>43</v>
      </c>
      <c r="B46" s="130">
        <v>95855</v>
      </c>
      <c r="C46" s="130">
        <v>664.69528517257299</v>
      </c>
      <c r="D46" s="130"/>
      <c r="E46" s="130"/>
      <c r="F46" s="130"/>
      <c r="G46" s="130"/>
    </row>
    <row r="47" spans="1:7">
      <c r="A47" s="230" t="s">
        <v>44</v>
      </c>
      <c r="B47" s="130">
        <v>7756</v>
      </c>
      <c r="C47" s="130">
        <v>577.80443944204796</v>
      </c>
      <c r="D47" s="130"/>
      <c r="E47" s="130"/>
      <c r="F47" s="130"/>
      <c r="G47" s="130"/>
    </row>
    <row r="48" spans="1:7">
      <c r="A48" s="230" t="s">
        <v>45</v>
      </c>
      <c r="B48" s="130">
        <v>8402</v>
      </c>
      <c r="C48" s="130">
        <v>746.06700737446397</v>
      </c>
      <c r="D48" s="130"/>
      <c r="E48" s="130"/>
      <c r="F48" s="130"/>
      <c r="G48" s="130"/>
    </row>
    <row r="49" spans="1:7">
      <c r="A49" s="230" t="s">
        <v>46</v>
      </c>
      <c r="B49" s="130">
        <v>30021</v>
      </c>
      <c r="C49" s="130">
        <v>722.48590922166795</v>
      </c>
      <c r="D49" s="130"/>
      <c r="E49" s="130"/>
      <c r="F49" s="130"/>
      <c r="G49" s="130"/>
    </row>
    <row r="50" spans="1:7">
      <c r="A50" s="230" t="s">
        <v>47</v>
      </c>
      <c r="B50" s="130">
        <v>39897</v>
      </c>
      <c r="C50" s="130">
        <v>794.166593313926</v>
      </c>
      <c r="D50" s="130"/>
      <c r="E50" s="130"/>
      <c r="F50" s="130"/>
      <c r="G50" s="130"/>
    </row>
    <row r="51" spans="1:7">
      <c r="A51" s="230" t="s">
        <v>48</v>
      </c>
      <c r="B51" s="130">
        <v>389</v>
      </c>
      <c r="C51" s="130">
        <v>1006.06940124424</v>
      </c>
      <c r="D51" s="130"/>
      <c r="E51" s="130"/>
      <c r="F51" s="130"/>
      <c r="G51" s="130"/>
    </row>
    <row r="52" spans="1:7">
      <c r="A52" s="230" t="s">
        <v>49</v>
      </c>
      <c r="B52" s="130">
        <v>701</v>
      </c>
      <c r="C52" s="130">
        <v>1626.7961547463301</v>
      </c>
      <c r="D52" s="130"/>
      <c r="E52" s="130"/>
      <c r="F52" s="130"/>
      <c r="G52" s="130"/>
    </row>
    <row r="53" spans="1:7">
      <c r="A53" s="230" t="s">
        <v>50</v>
      </c>
      <c r="B53" s="130">
        <v>209</v>
      </c>
      <c r="C53" s="130">
        <v>542.68467763349395</v>
      </c>
      <c r="D53" s="130"/>
      <c r="E53" s="130"/>
      <c r="F53" s="130"/>
      <c r="G53" s="130"/>
    </row>
    <row r="54" spans="1:7">
      <c r="A54" s="231" t="s">
        <v>57</v>
      </c>
      <c r="B54" s="130">
        <v>257552</v>
      </c>
      <c r="C54" s="130">
        <v>695.97722428221198</v>
      </c>
      <c r="D54" s="130"/>
      <c r="E54" s="130"/>
      <c r="F54" s="130"/>
      <c r="G54" s="130"/>
    </row>
    <row r="55" spans="1:7">
      <c r="A55" s="230" t="s">
        <v>38</v>
      </c>
      <c r="B55" s="147">
        <v>2962</v>
      </c>
      <c r="C55" s="147">
        <v>593.74558811226905</v>
      </c>
      <c r="D55" s="130"/>
      <c r="E55" s="130"/>
      <c r="F55" s="130"/>
      <c r="G55" s="130"/>
    </row>
    <row r="56" spans="1:7">
      <c r="A56" s="230" t="s">
        <v>39</v>
      </c>
      <c r="B56" s="130">
        <v>1349</v>
      </c>
      <c r="C56" s="130">
        <v>914.69198972233505</v>
      </c>
      <c r="D56" s="130"/>
      <c r="E56" s="130"/>
      <c r="F56" s="130"/>
      <c r="G56" s="130"/>
    </row>
    <row r="57" spans="1:7">
      <c r="A57" s="230" t="s">
        <v>40</v>
      </c>
      <c r="B57" s="130">
        <v>4709</v>
      </c>
      <c r="C57" s="130">
        <v>507.16645312416</v>
      </c>
      <c r="D57" s="130"/>
      <c r="E57" s="130"/>
      <c r="F57" s="130"/>
      <c r="G57" s="130"/>
    </row>
    <row r="58" spans="1:7">
      <c r="A58" s="230" t="s">
        <v>41</v>
      </c>
      <c r="B58" s="130">
        <v>4759</v>
      </c>
      <c r="C58" s="130">
        <v>661.90361582938999</v>
      </c>
      <c r="D58" s="130"/>
      <c r="E58" s="130"/>
      <c r="F58" s="130"/>
      <c r="G58" s="130"/>
    </row>
    <row r="59" spans="1:7">
      <c r="A59" s="230" t="s">
        <v>42</v>
      </c>
      <c r="B59" s="130">
        <v>46814</v>
      </c>
      <c r="C59" s="130">
        <v>577.50879307337095</v>
      </c>
      <c r="D59" s="130"/>
      <c r="E59" s="130"/>
      <c r="F59" s="130"/>
      <c r="G59" s="130"/>
    </row>
    <row r="60" spans="1:7">
      <c r="A60" s="230" t="s">
        <v>43</v>
      </c>
      <c r="B60" s="130">
        <v>82231</v>
      </c>
      <c r="C60" s="130">
        <v>582.00184899501096</v>
      </c>
      <c r="D60" s="130"/>
      <c r="E60" s="130"/>
      <c r="F60" s="130"/>
      <c r="G60" s="130"/>
    </row>
    <row r="61" spans="1:7">
      <c r="A61" s="230" t="s">
        <v>44</v>
      </c>
      <c r="B61" s="130">
        <v>6443</v>
      </c>
      <c r="C61" s="130">
        <v>485.93308537763801</v>
      </c>
      <c r="D61" s="130"/>
      <c r="E61" s="130"/>
      <c r="F61" s="130"/>
      <c r="G61" s="130"/>
    </row>
    <row r="62" spans="1:7">
      <c r="A62" s="230" t="s">
        <v>45</v>
      </c>
      <c r="B62" s="130">
        <v>7756</v>
      </c>
      <c r="C62" s="130">
        <v>694.01885250244402</v>
      </c>
      <c r="D62" s="130"/>
      <c r="E62" s="130"/>
      <c r="F62" s="130"/>
      <c r="G62" s="130"/>
    </row>
    <row r="63" spans="1:7">
      <c r="A63" s="230" t="s">
        <v>46</v>
      </c>
      <c r="B63" s="130">
        <v>26066</v>
      </c>
      <c r="C63" s="130">
        <v>613.61037152861797</v>
      </c>
      <c r="D63" s="130"/>
      <c r="E63" s="130"/>
      <c r="F63" s="130"/>
      <c r="G63" s="130"/>
    </row>
    <row r="64" spans="1:7">
      <c r="A64" s="230" t="s">
        <v>47</v>
      </c>
      <c r="B64" s="130">
        <v>34904</v>
      </c>
      <c r="C64" s="130">
        <v>710.47023670503199</v>
      </c>
      <c r="D64" s="130"/>
      <c r="E64" s="130"/>
      <c r="F64" s="130"/>
      <c r="G64" s="130"/>
    </row>
    <row r="65" spans="1:7">
      <c r="A65" s="230" t="s">
        <v>48</v>
      </c>
      <c r="B65" s="130">
        <v>363</v>
      </c>
      <c r="C65" s="130">
        <v>895.27301041123599</v>
      </c>
      <c r="D65" s="130"/>
      <c r="E65" s="130"/>
      <c r="F65" s="130"/>
      <c r="G65" s="130"/>
    </row>
    <row r="66" spans="1:7">
      <c r="A66" s="230" t="s">
        <v>49</v>
      </c>
      <c r="B66" s="130">
        <v>672</v>
      </c>
      <c r="C66" s="130">
        <v>1499.20611949505</v>
      </c>
      <c r="D66" s="130"/>
      <c r="E66" s="130"/>
      <c r="F66" s="130"/>
      <c r="G66" s="130"/>
    </row>
    <row r="67" spans="1:7">
      <c r="A67" s="230" t="s">
        <v>50</v>
      </c>
      <c r="B67" s="130">
        <v>207</v>
      </c>
      <c r="C67" s="130">
        <v>530.60325471583303</v>
      </c>
      <c r="D67" s="130"/>
      <c r="E67" s="130"/>
      <c r="F67" s="130"/>
      <c r="G67" s="130"/>
    </row>
    <row r="68" spans="1:7" ht="13.8" thickBot="1">
      <c r="A68" s="232" t="s">
        <v>51</v>
      </c>
      <c r="B68" s="133">
        <v>219235</v>
      </c>
      <c r="C68" s="133">
        <v>605.36989595643001</v>
      </c>
      <c r="D68" s="130"/>
      <c r="E68" s="130"/>
      <c r="F68" s="130"/>
      <c r="G68" s="130"/>
    </row>
    <row r="69" spans="1:7" ht="52.8">
      <c r="A69" s="296" t="s">
        <v>205</v>
      </c>
      <c r="B69" s="233" t="s">
        <v>25</v>
      </c>
      <c r="C69" s="233" t="s">
        <v>26</v>
      </c>
      <c r="D69" s="140"/>
      <c r="E69" s="296"/>
      <c r="F69" s="130"/>
      <c r="G69" s="130"/>
    </row>
    <row r="70" spans="1:7" ht="52.8">
      <c r="A70" s="298" t="s">
        <v>35</v>
      </c>
      <c r="B70" s="298" t="s">
        <v>36</v>
      </c>
      <c r="C70" s="297" t="s">
        <v>180</v>
      </c>
      <c r="D70" s="297" t="s">
        <v>181</v>
      </c>
      <c r="E70" s="297" t="s">
        <v>195</v>
      </c>
      <c r="F70" s="297" t="s">
        <v>187</v>
      </c>
      <c r="G70" s="130"/>
    </row>
    <row r="71" spans="1:7">
      <c r="A71" s="140" t="s">
        <v>37</v>
      </c>
      <c r="B71" s="233" t="s">
        <v>38</v>
      </c>
      <c r="C71" s="140">
        <v>7</v>
      </c>
      <c r="D71" s="140">
        <v>19.823770491803302</v>
      </c>
      <c r="E71" s="140">
        <v>18.284728610855598</v>
      </c>
      <c r="F71" s="130">
        <v>43533</v>
      </c>
      <c r="G71" s="130"/>
    </row>
    <row r="72" spans="1:7">
      <c r="A72" s="140" t="s">
        <v>37</v>
      </c>
      <c r="B72" s="233" t="s">
        <v>39</v>
      </c>
      <c r="C72" s="140">
        <v>8</v>
      </c>
      <c r="D72" s="140">
        <v>18.461024498886399</v>
      </c>
      <c r="E72" s="140">
        <v>16.895723930982701</v>
      </c>
      <c r="F72" s="130">
        <v>24867</v>
      </c>
      <c r="G72" s="130"/>
    </row>
    <row r="73" spans="1:7">
      <c r="A73" s="140" t="s">
        <v>37</v>
      </c>
      <c r="B73" s="233" t="s">
        <v>40</v>
      </c>
      <c r="C73" s="140">
        <v>7</v>
      </c>
      <c r="D73" s="140">
        <v>21.150974699294899</v>
      </c>
      <c r="E73" s="140">
        <v>19.641031014249801</v>
      </c>
      <c r="F73" s="130">
        <v>101990</v>
      </c>
      <c r="G73" s="130"/>
    </row>
    <row r="74" spans="1:7">
      <c r="A74" s="140" t="s">
        <v>37</v>
      </c>
      <c r="B74" s="233" t="s">
        <v>41</v>
      </c>
      <c r="C74" s="140">
        <v>8</v>
      </c>
      <c r="D74" s="140">
        <v>24.6716471647165</v>
      </c>
      <c r="E74" s="140">
        <v>20.460447354064399</v>
      </c>
      <c r="F74" s="130">
        <v>137051</v>
      </c>
      <c r="G74" s="130"/>
    </row>
    <row r="75" spans="1:7">
      <c r="A75" s="140" t="s">
        <v>37</v>
      </c>
      <c r="B75" s="233" t="s">
        <v>42</v>
      </c>
      <c r="C75" s="140">
        <v>8</v>
      </c>
      <c r="D75" s="140">
        <v>18.8004102272496</v>
      </c>
      <c r="E75" s="140">
        <v>17.384474942047699</v>
      </c>
      <c r="F75" s="130">
        <v>925751</v>
      </c>
      <c r="G75" s="130"/>
    </row>
    <row r="76" spans="1:7">
      <c r="A76" s="140" t="s">
        <v>37</v>
      </c>
      <c r="B76" s="233" t="s">
        <v>43</v>
      </c>
      <c r="C76" s="140">
        <v>6</v>
      </c>
      <c r="D76" s="140">
        <v>13.837510134440199</v>
      </c>
      <c r="E76" s="140">
        <v>12.237706420896901</v>
      </c>
      <c r="F76" s="130">
        <v>1143518</v>
      </c>
      <c r="G76" s="130"/>
    </row>
    <row r="77" spans="1:7">
      <c r="A77" s="140" t="s">
        <v>37</v>
      </c>
      <c r="B77" s="233" t="s">
        <v>44</v>
      </c>
      <c r="C77" s="140">
        <v>9</v>
      </c>
      <c r="D77" s="140">
        <v>22.74243281471</v>
      </c>
      <c r="E77" s="140">
        <v>20.751929122606501</v>
      </c>
      <c r="F77" s="130">
        <v>160789</v>
      </c>
      <c r="G77" s="130"/>
    </row>
    <row r="78" spans="1:7">
      <c r="A78" s="140" t="s">
        <v>37</v>
      </c>
      <c r="B78" s="233" t="s">
        <v>45</v>
      </c>
      <c r="C78" s="140">
        <v>6</v>
      </c>
      <c r="D78" s="140">
        <v>11.2173491640417</v>
      </c>
      <c r="E78" s="140">
        <v>10.5637698898409</v>
      </c>
      <c r="F78" s="130">
        <v>92588</v>
      </c>
      <c r="G78" s="130"/>
    </row>
    <row r="79" spans="1:7">
      <c r="A79" s="140" t="s">
        <v>37</v>
      </c>
      <c r="B79" s="233" t="s">
        <v>46</v>
      </c>
      <c r="C79" s="140">
        <v>6</v>
      </c>
      <c r="D79" s="140">
        <v>18.190262085927301</v>
      </c>
      <c r="E79" s="140">
        <v>16.332298136645999</v>
      </c>
      <c r="F79" s="130">
        <v>473347</v>
      </c>
      <c r="G79" s="130"/>
    </row>
    <row r="80" spans="1:7">
      <c r="A80" s="140" t="s">
        <v>37</v>
      </c>
      <c r="B80" s="233" t="s">
        <v>47</v>
      </c>
      <c r="C80" s="140">
        <v>5</v>
      </c>
      <c r="D80" s="140">
        <v>13.8739778739779</v>
      </c>
      <c r="E80" s="140">
        <v>12.8382559774965</v>
      </c>
      <c r="F80" s="130">
        <v>548036</v>
      </c>
      <c r="G80" s="130"/>
    </row>
    <row r="81" spans="1:8">
      <c r="A81" s="140" t="s">
        <v>37</v>
      </c>
      <c r="B81" s="233" t="s">
        <v>48</v>
      </c>
      <c r="C81" s="140">
        <v>2</v>
      </c>
      <c r="D81" s="140">
        <v>6.5964010282776302</v>
      </c>
      <c r="E81" s="140">
        <v>5.6753246753246804</v>
      </c>
      <c r="F81" s="130">
        <v>2566</v>
      </c>
      <c r="G81" s="130"/>
    </row>
    <row r="82" spans="1:8">
      <c r="A82" s="140" t="s">
        <v>37</v>
      </c>
      <c r="B82" s="233" t="s">
        <v>49</v>
      </c>
      <c r="C82" s="140">
        <v>3</v>
      </c>
      <c r="D82" s="140">
        <v>15.0641940085592</v>
      </c>
      <c r="E82" s="140">
        <v>8.6666666666666696</v>
      </c>
      <c r="F82" s="130">
        <v>10560</v>
      </c>
      <c r="G82" s="130"/>
    </row>
    <row r="83" spans="1:8">
      <c r="A83" s="140" t="s">
        <v>37</v>
      </c>
      <c r="B83" s="233" t="s">
        <v>50</v>
      </c>
      <c r="C83" s="140">
        <v>2</v>
      </c>
      <c r="D83" s="140">
        <v>3.2535885167464098</v>
      </c>
      <c r="E83" s="140">
        <v>3.1609756097560999</v>
      </c>
      <c r="F83" s="130">
        <v>680</v>
      </c>
      <c r="G83" s="130"/>
    </row>
    <row r="84" spans="1:8">
      <c r="A84" s="140" t="s">
        <v>37</v>
      </c>
      <c r="B84" s="233" t="s">
        <v>57</v>
      </c>
      <c r="C84" s="140">
        <v>6</v>
      </c>
      <c r="D84" s="140">
        <v>16.079580251463099</v>
      </c>
      <c r="E84" s="140">
        <v>14.4718566376858</v>
      </c>
      <c r="F84" s="130">
        <v>3665276</v>
      </c>
      <c r="G84" s="130"/>
    </row>
    <row r="85" spans="1:8">
      <c r="A85" s="299" t="s">
        <v>52</v>
      </c>
      <c r="B85" s="300" t="s">
        <v>38</v>
      </c>
      <c r="C85" s="299">
        <v>7</v>
      </c>
      <c r="D85" s="299">
        <v>21.222039473684202</v>
      </c>
      <c r="E85" s="299">
        <v>19.200499168053199</v>
      </c>
      <c r="F85" s="147">
        <v>25806</v>
      </c>
      <c r="G85" s="130"/>
    </row>
    <row r="86" spans="1:8">
      <c r="A86" s="140" t="s">
        <v>52</v>
      </c>
      <c r="B86" s="233" t="s">
        <v>39</v>
      </c>
      <c r="C86" s="140">
        <v>22</v>
      </c>
      <c r="D86" s="140">
        <v>30.979865771812101</v>
      </c>
      <c r="E86" s="140">
        <v>30.619047619047599</v>
      </c>
      <c r="F86" s="130">
        <v>4616</v>
      </c>
      <c r="G86" s="130"/>
    </row>
    <row r="87" spans="1:8">
      <c r="A87" s="140" t="s">
        <v>52</v>
      </c>
      <c r="B87" s="233" t="s">
        <v>40</v>
      </c>
      <c r="C87" s="140">
        <v>19</v>
      </c>
      <c r="D87" s="140">
        <v>64.359593392630202</v>
      </c>
      <c r="E87" s="140">
        <v>55.9396662387676</v>
      </c>
      <c r="F87" s="130">
        <v>50651</v>
      </c>
      <c r="G87" s="130"/>
    </row>
    <row r="88" spans="1:8">
      <c r="A88" s="140" t="s">
        <v>52</v>
      </c>
      <c r="B88" s="233" t="s">
        <v>41</v>
      </c>
      <c r="C88" s="140">
        <v>25</v>
      </c>
      <c r="D88" s="140">
        <v>498.98905109488999</v>
      </c>
      <c r="E88" s="140">
        <v>377.66296296296298</v>
      </c>
      <c r="F88" s="130">
        <v>136723</v>
      </c>
      <c r="G88" s="130"/>
    </row>
    <row r="89" spans="1:8">
      <c r="A89" s="140" t="s">
        <v>52</v>
      </c>
      <c r="B89" s="233" t="s">
        <v>42</v>
      </c>
      <c r="C89" s="140">
        <v>13</v>
      </c>
      <c r="D89" s="140">
        <v>45.689639381797399</v>
      </c>
      <c r="E89" s="140">
        <v>37.287614201457203</v>
      </c>
      <c r="F89" s="130">
        <v>399099</v>
      </c>
      <c r="G89" s="130"/>
    </row>
    <row r="90" spans="1:8">
      <c r="A90" s="140" t="s">
        <v>52</v>
      </c>
      <c r="B90" s="233" t="s">
        <v>43</v>
      </c>
      <c r="C90" s="140">
        <v>21</v>
      </c>
      <c r="D90" s="140">
        <v>62.987439467312299</v>
      </c>
      <c r="E90" s="140">
        <v>51.107934566579999</v>
      </c>
      <c r="F90" s="130">
        <v>832442</v>
      </c>
      <c r="G90" s="130"/>
    </row>
    <row r="91" spans="1:8">
      <c r="A91" s="140" t="s">
        <v>52</v>
      </c>
      <c r="B91" s="233" t="s">
        <v>44</v>
      </c>
      <c r="C91" s="140">
        <v>23</v>
      </c>
      <c r="D91" s="140">
        <v>102.142857142857</v>
      </c>
      <c r="E91" s="140">
        <v>87.657817109144503</v>
      </c>
      <c r="F91" s="130">
        <v>70070</v>
      </c>
      <c r="G91" s="130"/>
    </row>
    <row r="92" spans="1:8">
      <c r="A92" s="140" t="s">
        <v>52</v>
      </c>
      <c r="B92" s="233" t="s">
        <v>45</v>
      </c>
      <c r="C92" s="140">
        <v>14</v>
      </c>
      <c r="D92" s="140">
        <v>242.47972972973</v>
      </c>
      <c r="E92" s="140">
        <v>166.308219178082</v>
      </c>
      <c r="F92" s="130">
        <v>35887</v>
      </c>
      <c r="G92" s="130"/>
    </row>
    <row r="93" spans="1:8">
      <c r="A93" s="140" t="s">
        <v>52</v>
      </c>
      <c r="B93" s="233" t="s">
        <v>46</v>
      </c>
      <c r="C93" s="140">
        <v>23</v>
      </c>
      <c r="D93" s="140">
        <v>76.287071767941995</v>
      </c>
      <c r="E93" s="140">
        <v>62.307148269765101</v>
      </c>
      <c r="F93" s="130">
        <v>305072</v>
      </c>
      <c r="G93" s="130"/>
    </row>
    <row r="94" spans="1:8">
      <c r="A94" s="140" t="s">
        <v>52</v>
      </c>
      <c r="B94" s="233" t="s">
        <v>47</v>
      </c>
      <c r="C94" s="140">
        <v>88</v>
      </c>
      <c r="D94" s="140">
        <v>147.95959595959599</v>
      </c>
      <c r="E94" s="140">
        <v>141.058673469388</v>
      </c>
      <c r="F94" s="130">
        <v>58592</v>
      </c>
      <c r="G94" s="130"/>
    </row>
    <row r="95" spans="1:8">
      <c r="A95" s="140" t="s">
        <v>52</v>
      </c>
      <c r="B95" s="233" t="s">
        <v>48</v>
      </c>
      <c r="C95" s="141" t="s">
        <v>53</v>
      </c>
      <c r="D95" s="141" t="s">
        <v>53</v>
      </c>
      <c r="E95" s="141" t="s">
        <v>53</v>
      </c>
      <c r="F95" s="141" t="s">
        <v>53</v>
      </c>
      <c r="G95" s="130"/>
      <c r="H95" s="141"/>
    </row>
    <row r="96" spans="1:8">
      <c r="A96" s="140" t="s">
        <v>52</v>
      </c>
      <c r="B96" s="233" t="s">
        <v>49</v>
      </c>
      <c r="C96" s="141" t="s">
        <v>53</v>
      </c>
      <c r="D96" s="141" t="s">
        <v>53</v>
      </c>
      <c r="E96" s="141" t="s">
        <v>53</v>
      </c>
      <c r="F96" s="141" t="s">
        <v>53</v>
      </c>
      <c r="G96" s="130"/>
      <c r="H96" s="141"/>
    </row>
    <row r="97" spans="1:8">
      <c r="A97" s="140" t="s">
        <v>52</v>
      </c>
      <c r="B97" s="233" t="s">
        <v>50</v>
      </c>
      <c r="C97" s="141" t="s">
        <v>53</v>
      </c>
      <c r="D97" s="141" t="s">
        <v>53</v>
      </c>
      <c r="E97" s="141" t="s">
        <v>53</v>
      </c>
      <c r="F97" s="141" t="s">
        <v>53</v>
      </c>
      <c r="G97" s="130"/>
      <c r="H97" s="141"/>
    </row>
    <row r="98" spans="1:8">
      <c r="A98" s="140" t="s">
        <v>52</v>
      </c>
      <c r="B98" s="233" t="s">
        <v>57</v>
      </c>
      <c r="C98" s="140">
        <v>19</v>
      </c>
      <c r="D98" s="140">
        <v>64.816523677632901</v>
      </c>
      <c r="E98" s="140">
        <v>50.306162140029997</v>
      </c>
      <c r="F98" s="130">
        <v>1918958</v>
      </c>
      <c r="G98" s="130"/>
    </row>
    <row r="99" spans="1:8">
      <c r="A99" s="299" t="s">
        <v>54</v>
      </c>
      <c r="B99" s="300" t="s">
        <v>38</v>
      </c>
      <c r="C99" s="299">
        <v>7</v>
      </c>
      <c r="D99" s="299">
        <v>20.322098475967199</v>
      </c>
      <c r="E99" s="299">
        <v>18.5734597156398</v>
      </c>
      <c r="F99" s="147">
        <v>69339</v>
      </c>
      <c r="G99" s="130"/>
    </row>
    <row r="100" spans="1:8">
      <c r="A100" s="140" t="s">
        <v>54</v>
      </c>
      <c r="B100" s="233" t="s">
        <v>39</v>
      </c>
      <c r="C100" s="140">
        <v>8</v>
      </c>
      <c r="D100" s="140">
        <v>19.707887700534801</v>
      </c>
      <c r="E100" s="140">
        <v>18.183108108108101</v>
      </c>
      <c r="F100" s="130">
        <v>29483</v>
      </c>
      <c r="G100" s="130"/>
    </row>
    <row r="101" spans="1:8">
      <c r="A101" s="140" t="s">
        <v>54</v>
      </c>
      <c r="B101" s="233" t="s">
        <v>40</v>
      </c>
      <c r="C101" s="140">
        <v>9</v>
      </c>
      <c r="D101" s="140">
        <v>27.213585309324301</v>
      </c>
      <c r="E101" s="140">
        <v>22.990992613943401</v>
      </c>
      <c r="F101" s="130">
        <v>152641</v>
      </c>
      <c r="G101" s="130"/>
    </row>
    <row r="102" spans="1:8">
      <c r="A102" s="140" t="s">
        <v>54</v>
      </c>
      <c r="B102" s="233" t="s">
        <v>41</v>
      </c>
      <c r="C102" s="140">
        <v>9</v>
      </c>
      <c r="D102" s="140">
        <v>46.967575913535804</v>
      </c>
      <c r="E102" s="140">
        <v>24.565435950771398</v>
      </c>
      <c r="F102" s="130">
        <v>273774</v>
      </c>
      <c r="G102" s="130"/>
    </row>
    <row r="103" spans="1:8">
      <c r="A103" s="140" t="s">
        <v>54</v>
      </c>
      <c r="B103" s="233" t="s">
        <v>42</v>
      </c>
      <c r="C103" s="140">
        <v>9</v>
      </c>
      <c r="D103" s="140">
        <v>22.8516972540362</v>
      </c>
      <c r="E103" s="140">
        <v>19.6549933793296</v>
      </c>
      <c r="F103" s="130">
        <v>1324850</v>
      </c>
      <c r="G103" s="130"/>
    </row>
    <row r="104" spans="1:8">
      <c r="A104" s="140" t="s">
        <v>54</v>
      </c>
      <c r="B104" s="233" t="s">
        <v>43</v>
      </c>
      <c r="C104" s="140">
        <v>7</v>
      </c>
      <c r="D104" s="140">
        <v>20.614052475092599</v>
      </c>
      <c r="E104" s="140">
        <v>16.373908003582901</v>
      </c>
      <c r="F104" s="130">
        <v>1975960</v>
      </c>
      <c r="G104" s="130"/>
    </row>
    <row r="105" spans="1:8">
      <c r="A105" s="140" t="s">
        <v>54</v>
      </c>
      <c r="B105" s="233" t="s">
        <v>44</v>
      </c>
      <c r="C105" s="140">
        <v>10</v>
      </c>
      <c r="D105" s="140">
        <v>29.7652140278494</v>
      </c>
      <c r="E105" s="140">
        <v>24.115264391768701</v>
      </c>
      <c r="F105" s="130">
        <v>230859</v>
      </c>
      <c r="G105" s="130"/>
    </row>
    <row r="106" spans="1:8">
      <c r="A106" s="140" t="s">
        <v>54</v>
      </c>
      <c r="B106" s="233" t="s">
        <v>45</v>
      </c>
      <c r="C106" s="140">
        <v>7</v>
      </c>
      <c r="D106" s="140">
        <v>15.2910021423471</v>
      </c>
      <c r="E106" s="140">
        <v>11.0477392977393</v>
      </c>
      <c r="F106" s="130">
        <v>128475</v>
      </c>
      <c r="G106" s="130"/>
    </row>
    <row r="107" spans="1:8">
      <c r="A107" s="140" t="s">
        <v>54</v>
      </c>
      <c r="B107" s="233" t="s">
        <v>46</v>
      </c>
      <c r="C107" s="140">
        <v>7</v>
      </c>
      <c r="D107" s="140">
        <v>25.929149595283299</v>
      </c>
      <c r="E107" s="140">
        <v>21.1048151014502</v>
      </c>
      <c r="F107" s="130">
        <v>778419</v>
      </c>
      <c r="G107" s="130"/>
    </row>
    <row r="108" spans="1:8">
      <c r="A108" s="140" t="s">
        <v>54</v>
      </c>
      <c r="B108" s="233" t="s">
        <v>47</v>
      </c>
      <c r="C108" s="140">
        <v>5</v>
      </c>
      <c r="D108" s="140">
        <v>15.2048524951751</v>
      </c>
      <c r="E108" s="140">
        <v>13.6948122642226</v>
      </c>
      <c r="F108" s="130">
        <v>606628</v>
      </c>
      <c r="G108" s="130"/>
    </row>
    <row r="109" spans="1:8">
      <c r="A109" s="140" t="s">
        <v>54</v>
      </c>
      <c r="B109" s="233" t="s">
        <v>48</v>
      </c>
      <c r="C109" s="140">
        <v>2</v>
      </c>
      <c r="D109" s="140">
        <v>6.5964010282776302</v>
      </c>
      <c r="E109" s="140">
        <v>5.6753246753246804</v>
      </c>
      <c r="F109" s="130">
        <v>2566</v>
      </c>
      <c r="G109" s="130"/>
    </row>
    <row r="110" spans="1:8">
      <c r="A110" s="140" t="s">
        <v>54</v>
      </c>
      <c r="B110" s="233" t="s">
        <v>49</v>
      </c>
      <c r="C110" s="140">
        <v>3</v>
      </c>
      <c r="D110" s="140">
        <v>15.0641940085592</v>
      </c>
      <c r="E110" s="140">
        <v>8.6666666666666696</v>
      </c>
      <c r="F110" s="130">
        <v>10560</v>
      </c>
      <c r="G110" s="130"/>
    </row>
    <row r="111" spans="1:8">
      <c r="A111" s="140" t="s">
        <v>54</v>
      </c>
      <c r="B111" s="233" t="s">
        <v>50</v>
      </c>
      <c r="C111" s="140">
        <v>2</v>
      </c>
      <c r="D111" s="140">
        <v>3.2535885167464098</v>
      </c>
      <c r="E111" s="140">
        <v>3.1609756097560999</v>
      </c>
      <c r="F111" s="130">
        <v>680</v>
      </c>
      <c r="G111" s="130"/>
    </row>
    <row r="112" spans="1:8">
      <c r="A112" s="130" t="s">
        <v>54</v>
      </c>
      <c r="B112" s="230" t="s">
        <v>57</v>
      </c>
      <c r="C112" s="130">
        <v>7</v>
      </c>
      <c r="D112" s="130">
        <v>21.681967136733601</v>
      </c>
      <c r="E112" s="130">
        <v>17.498956764558201</v>
      </c>
      <c r="F112" s="130">
        <v>5584234</v>
      </c>
      <c r="G112" s="130"/>
    </row>
    <row r="113" spans="1:7">
      <c r="A113" s="147" t="s">
        <v>37</v>
      </c>
      <c r="B113" s="301" t="s">
        <v>38</v>
      </c>
      <c r="C113" s="147">
        <v>6</v>
      </c>
      <c r="D113" s="147">
        <v>14.2234910277325</v>
      </c>
      <c r="E113" s="147">
        <v>12.9307311709731</v>
      </c>
      <c r="F113" s="147">
        <v>26157</v>
      </c>
      <c r="G113" s="130"/>
    </row>
    <row r="114" spans="1:7">
      <c r="A114" s="130" t="s">
        <v>37</v>
      </c>
      <c r="B114" s="230" t="s">
        <v>39</v>
      </c>
      <c r="C114" s="130">
        <v>7</v>
      </c>
      <c r="D114" s="130">
        <v>13.557772236076501</v>
      </c>
      <c r="E114" s="130">
        <v>12.4550042052145</v>
      </c>
      <c r="F114" s="130">
        <v>16310</v>
      </c>
      <c r="G114" s="130"/>
    </row>
    <row r="115" spans="1:7">
      <c r="A115" s="130" t="s">
        <v>37</v>
      </c>
      <c r="B115" s="230" t="s">
        <v>40</v>
      </c>
      <c r="C115" s="130">
        <v>6</v>
      </c>
      <c r="D115" s="130">
        <v>14.5654490106545</v>
      </c>
      <c r="E115" s="130">
        <v>13.435161455663801</v>
      </c>
      <c r="F115" s="130">
        <v>57417</v>
      </c>
      <c r="G115" s="130"/>
    </row>
    <row r="116" spans="1:7">
      <c r="A116" s="130" t="s">
        <v>37</v>
      </c>
      <c r="B116" s="230" t="s">
        <v>41</v>
      </c>
      <c r="C116" s="130">
        <v>7</v>
      </c>
      <c r="D116" s="130">
        <v>14.2412564045444</v>
      </c>
      <c r="E116" s="130">
        <v>12.2784154850326</v>
      </c>
      <c r="F116" s="130">
        <v>63929</v>
      </c>
      <c r="G116" s="130"/>
    </row>
    <row r="117" spans="1:7">
      <c r="A117" s="130" t="s">
        <v>37</v>
      </c>
      <c r="B117" s="230" t="s">
        <v>42</v>
      </c>
      <c r="C117" s="130">
        <v>6</v>
      </c>
      <c r="D117" s="130">
        <v>16.732750065291199</v>
      </c>
      <c r="E117" s="130">
        <v>15.155753706537199</v>
      </c>
      <c r="F117" s="130">
        <v>640697</v>
      </c>
      <c r="G117" s="130"/>
    </row>
    <row r="118" spans="1:7">
      <c r="A118" s="130" t="s">
        <v>37</v>
      </c>
      <c r="B118" s="230" t="s">
        <v>43</v>
      </c>
      <c r="C118" s="130">
        <v>5</v>
      </c>
      <c r="D118" s="130">
        <v>11.288505185738501</v>
      </c>
      <c r="E118" s="130">
        <v>10.2308317371873</v>
      </c>
      <c r="F118" s="130">
        <v>785838</v>
      </c>
      <c r="G118" s="130"/>
    </row>
    <row r="119" spans="1:7">
      <c r="A119" s="130" t="s">
        <v>37</v>
      </c>
      <c r="B119" s="230" t="s">
        <v>44</v>
      </c>
      <c r="C119" s="130">
        <v>8</v>
      </c>
      <c r="D119" s="130">
        <v>16.964230171073101</v>
      </c>
      <c r="E119" s="130">
        <v>15.513876767324099</v>
      </c>
      <c r="F119" s="130">
        <v>98172</v>
      </c>
      <c r="G119" s="130"/>
    </row>
    <row r="120" spans="1:7">
      <c r="A120" s="130" t="s">
        <v>37</v>
      </c>
      <c r="B120" s="230" t="s">
        <v>45</v>
      </c>
      <c r="C120" s="130">
        <v>6</v>
      </c>
      <c r="D120" s="130">
        <v>10.3600157728707</v>
      </c>
      <c r="E120" s="130">
        <v>9.7435590969455497</v>
      </c>
      <c r="F120" s="130">
        <v>78819</v>
      </c>
      <c r="G120" s="130"/>
    </row>
    <row r="121" spans="1:7">
      <c r="A121" s="130" t="s">
        <v>37</v>
      </c>
      <c r="B121" s="230" t="s">
        <v>46</v>
      </c>
      <c r="C121" s="130">
        <v>5</v>
      </c>
      <c r="D121" s="130">
        <v>14.289324463097699</v>
      </c>
      <c r="E121" s="130">
        <v>12.991927118567601</v>
      </c>
      <c r="F121" s="130">
        <v>320038</v>
      </c>
      <c r="G121" s="130"/>
    </row>
    <row r="122" spans="1:7">
      <c r="A122" s="130" t="s">
        <v>37</v>
      </c>
      <c r="B122" s="230" t="s">
        <v>47</v>
      </c>
      <c r="C122" s="130">
        <v>4</v>
      </c>
      <c r="D122" s="130">
        <v>10.896410998552801</v>
      </c>
      <c r="E122" s="130">
        <v>10.093994854403</v>
      </c>
      <c r="F122" s="130">
        <v>376471</v>
      </c>
      <c r="G122" s="130"/>
    </row>
    <row r="123" spans="1:7">
      <c r="A123" s="130" t="s">
        <v>37</v>
      </c>
      <c r="B123" s="230" t="s">
        <v>48</v>
      </c>
      <c r="C123" s="130">
        <v>2</v>
      </c>
      <c r="D123" s="130">
        <v>4.4517906336088204</v>
      </c>
      <c r="E123" s="130">
        <v>4.1253481894150399</v>
      </c>
      <c r="F123" s="130">
        <v>1616</v>
      </c>
      <c r="G123" s="130"/>
    </row>
    <row r="124" spans="1:7">
      <c r="A124" s="130" t="s">
        <v>37</v>
      </c>
      <c r="B124" s="230" t="s">
        <v>49</v>
      </c>
      <c r="C124" s="130">
        <v>3</v>
      </c>
      <c r="D124" s="130">
        <v>5.8035714285714297</v>
      </c>
      <c r="E124" s="130">
        <v>5.4292168674698802</v>
      </c>
      <c r="F124" s="130">
        <v>3900</v>
      </c>
      <c r="G124" s="130"/>
    </row>
    <row r="125" spans="1:7">
      <c r="A125" s="130" t="s">
        <v>37</v>
      </c>
      <c r="B125" s="230" t="s">
        <v>50</v>
      </c>
      <c r="C125" s="130">
        <v>2</v>
      </c>
      <c r="D125" s="130">
        <v>3.2173913043478302</v>
      </c>
      <c r="E125" s="130">
        <v>3.1231527093596099</v>
      </c>
      <c r="F125" s="130">
        <v>666</v>
      </c>
      <c r="G125" s="130"/>
    </row>
    <row r="126" spans="1:7">
      <c r="A126" s="130" t="s">
        <v>37</v>
      </c>
      <c r="B126" s="230" t="s">
        <v>51</v>
      </c>
      <c r="C126" s="130">
        <v>5</v>
      </c>
      <c r="D126" s="130">
        <v>12.934735364812701</v>
      </c>
      <c r="E126" s="130">
        <v>11.733934229387801</v>
      </c>
      <c r="F126" s="130">
        <v>2470030</v>
      </c>
      <c r="G126" s="130"/>
    </row>
    <row r="127" spans="1:7">
      <c r="A127" s="147" t="s">
        <v>52</v>
      </c>
      <c r="B127" s="301" t="s">
        <v>38</v>
      </c>
      <c r="C127" s="147">
        <v>7</v>
      </c>
      <c r="D127" s="147">
        <v>20.360641139804098</v>
      </c>
      <c r="E127" s="147">
        <v>18.3096309630963</v>
      </c>
      <c r="F127" s="147">
        <v>22865</v>
      </c>
      <c r="G127" s="130"/>
    </row>
    <row r="128" spans="1:7">
      <c r="A128" s="130" t="s">
        <v>52</v>
      </c>
      <c r="B128" s="230" t="s">
        <v>39</v>
      </c>
      <c r="C128" s="130">
        <v>21</v>
      </c>
      <c r="D128" s="130">
        <v>30.294520547945201</v>
      </c>
      <c r="E128" s="130">
        <v>29.9166666666667</v>
      </c>
      <c r="F128" s="130">
        <v>4423</v>
      </c>
      <c r="G128" s="130"/>
    </row>
    <row r="129" spans="1:7">
      <c r="A129" s="130" t="s">
        <v>52</v>
      </c>
      <c r="B129" s="230" t="s">
        <v>40</v>
      </c>
      <c r="C129" s="130">
        <v>18</v>
      </c>
      <c r="D129" s="130">
        <v>59.796610169491501</v>
      </c>
      <c r="E129" s="130">
        <v>51.106719367588902</v>
      </c>
      <c r="F129" s="130">
        <v>45864</v>
      </c>
      <c r="G129" s="130"/>
    </row>
    <row r="130" spans="1:7">
      <c r="A130" s="130" t="s">
        <v>52</v>
      </c>
      <c r="B130" s="230" t="s">
        <v>41</v>
      </c>
      <c r="C130" s="130">
        <v>25</v>
      </c>
      <c r="D130" s="130">
        <v>502.18888888888898</v>
      </c>
      <c r="E130" s="130">
        <v>379.08646616541398</v>
      </c>
      <c r="F130" s="130">
        <v>135591</v>
      </c>
      <c r="G130" s="130"/>
    </row>
    <row r="131" spans="1:7">
      <c r="A131" s="130" t="s">
        <v>52</v>
      </c>
      <c r="B131" s="230" t="s">
        <v>42</v>
      </c>
      <c r="C131" s="130">
        <v>13</v>
      </c>
      <c r="D131" s="130">
        <v>44.433481933364597</v>
      </c>
      <c r="E131" s="130">
        <v>35.904124200047399</v>
      </c>
      <c r="F131" s="130">
        <v>378751</v>
      </c>
      <c r="G131" s="130"/>
    </row>
    <row r="132" spans="1:7">
      <c r="A132" s="130" t="s">
        <v>52</v>
      </c>
      <c r="B132" s="230" t="s">
        <v>43</v>
      </c>
      <c r="C132" s="130">
        <v>19</v>
      </c>
      <c r="D132" s="130">
        <v>58.025124831576399</v>
      </c>
      <c r="E132" s="130">
        <v>46.6440067259188</v>
      </c>
      <c r="F132" s="130">
        <v>732103</v>
      </c>
      <c r="G132" s="130"/>
    </row>
    <row r="133" spans="1:7">
      <c r="A133" s="130" t="s">
        <v>52</v>
      </c>
      <c r="B133" s="230" t="s">
        <v>44</v>
      </c>
      <c r="C133" s="130">
        <v>22</v>
      </c>
      <c r="D133" s="130">
        <v>74.917682926829301</v>
      </c>
      <c r="E133" s="130">
        <v>60.984567901234598</v>
      </c>
      <c r="F133" s="130">
        <v>49146</v>
      </c>
      <c r="G133" s="130"/>
    </row>
    <row r="134" spans="1:7">
      <c r="A134" s="130" t="s">
        <v>52</v>
      </c>
      <c r="B134" s="230" t="s">
        <v>45</v>
      </c>
      <c r="C134" s="130">
        <v>14</v>
      </c>
      <c r="D134" s="130">
        <v>242.47972972973</v>
      </c>
      <c r="E134" s="130">
        <v>166.308219178082</v>
      </c>
      <c r="F134" s="130">
        <v>35887</v>
      </c>
      <c r="G134" s="130"/>
    </row>
    <row r="135" spans="1:7">
      <c r="A135" s="130" t="s">
        <v>52</v>
      </c>
      <c r="B135" s="230" t="s">
        <v>46</v>
      </c>
      <c r="C135" s="130">
        <v>22</v>
      </c>
      <c r="D135" s="130">
        <v>61.139002452984499</v>
      </c>
      <c r="E135" s="130">
        <v>47.0537042137152</v>
      </c>
      <c r="F135" s="130">
        <v>224319</v>
      </c>
      <c r="G135" s="130"/>
    </row>
    <row r="136" spans="1:7">
      <c r="A136" s="130" t="s">
        <v>52</v>
      </c>
      <c r="B136" s="230" t="s">
        <v>47</v>
      </c>
      <c r="C136" s="130">
        <v>86</v>
      </c>
      <c r="D136" s="130">
        <v>145.064971751412</v>
      </c>
      <c r="E136" s="130">
        <v>137.30285714285699</v>
      </c>
      <c r="F136" s="130">
        <v>51353</v>
      </c>
      <c r="G136" s="130"/>
    </row>
    <row r="137" spans="1:7">
      <c r="A137" s="130" t="s">
        <v>52</v>
      </c>
      <c r="B137" s="230" t="s">
        <v>48</v>
      </c>
      <c r="C137" s="144" t="s">
        <v>53</v>
      </c>
      <c r="D137" s="144" t="s">
        <v>53</v>
      </c>
      <c r="E137" s="144" t="s">
        <v>53</v>
      </c>
      <c r="F137" s="144" t="s">
        <v>53</v>
      </c>
      <c r="G137" s="144"/>
    </row>
    <row r="138" spans="1:7">
      <c r="A138" s="130" t="s">
        <v>52</v>
      </c>
      <c r="B138" s="230" t="s">
        <v>49</v>
      </c>
      <c r="C138" s="144" t="s">
        <v>53</v>
      </c>
      <c r="D138" s="144" t="s">
        <v>53</v>
      </c>
      <c r="E138" s="144" t="s">
        <v>53</v>
      </c>
      <c r="F138" s="144" t="s">
        <v>53</v>
      </c>
      <c r="G138" s="144"/>
    </row>
    <row r="139" spans="1:7">
      <c r="A139" s="130" t="s">
        <v>52</v>
      </c>
      <c r="B139" s="230" t="s">
        <v>50</v>
      </c>
      <c r="C139" s="144" t="s">
        <v>53</v>
      </c>
      <c r="D139" s="144" t="s">
        <v>53</v>
      </c>
      <c r="E139" s="144" t="s">
        <v>53</v>
      </c>
      <c r="F139" s="144" t="s">
        <v>53</v>
      </c>
      <c r="G139" s="144"/>
    </row>
    <row r="140" spans="1:7">
      <c r="A140" s="130" t="s">
        <v>52</v>
      </c>
      <c r="B140" s="230" t="s">
        <v>51</v>
      </c>
      <c r="C140" s="130">
        <v>18</v>
      </c>
      <c r="D140" s="130">
        <v>59.429228266251698</v>
      </c>
      <c r="E140" s="130">
        <v>45.1100392997499</v>
      </c>
      <c r="F140" s="130">
        <v>1680302</v>
      </c>
      <c r="G140" s="130"/>
    </row>
    <row r="141" spans="1:7">
      <c r="A141" s="147" t="s">
        <v>54</v>
      </c>
      <c r="B141" s="301" t="s">
        <v>38</v>
      </c>
      <c r="C141" s="147">
        <v>6</v>
      </c>
      <c r="D141" s="147">
        <v>16.550303848750801</v>
      </c>
      <c r="E141" s="147">
        <v>14.9962482946794</v>
      </c>
      <c r="F141" s="147">
        <v>49022</v>
      </c>
      <c r="G141" s="130"/>
    </row>
    <row r="142" spans="1:7">
      <c r="A142" s="130" t="s">
        <v>54</v>
      </c>
      <c r="B142" s="230" t="s">
        <v>39</v>
      </c>
      <c r="C142" s="130">
        <v>8</v>
      </c>
      <c r="D142" s="130">
        <v>15.369162342475899</v>
      </c>
      <c r="E142" s="130">
        <v>14.405992509363299</v>
      </c>
      <c r="F142" s="130">
        <v>20733</v>
      </c>
      <c r="G142" s="130"/>
    </row>
    <row r="143" spans="1:7">
      <c r="A143" s="130" t="s">
        <v>54</v>
      </c>
      <c r="B143" s="230" t="s">
        <v>40</v>
      </c>
      <c r="C143" s="130">
        <v>7</v>
      </c>
      <c r="D143" s="130">
        <v>21.93268209811</v>
      </c>
      <c r="E143" s="130">
        <v>17.523707358935901</v>
      </c>
      <c r="F143" s="130">
        <v>103281</v>
      </c>
      <c r="G143" s="130"/>
    </row>
    <row r="144" spans="1:7">
      <c r="A144" s="130" t="s">
        <v>54</v>
      </c>
      <c r="B144" s="230" t="s">
        <v>41</v>
      </c>
      <c r="C144" s="130">
        <v>7</v>
      </c>
      <c r="D144" s="130">
        <v>41.924774112208397</v>
      </c>
      <c r="E144" s="130">
        <v>16.3676501804288</v>
      </c>
      <c r="F144" s="130">
        <v>199520</v>
      </c>
      <c r="G144" s="130"/>
    </row>
    <row r="145" spans="1:7">
      <c r="A145" s="130" t="s">
        <v>54</v>
      </c>
      <c r="B145" s="230" t="s">
        <v>42</v>
      </c>
      <c r="C145" s="130">
        <v>7</v>
      </c>
      <c r="D145" s="130">
        <v>21.776562566753501</v>
      </c>
      <c r="E145" s="130">
        <v>18.177973416192</v>
      </c>
      <c r="F145" s="130">
        <v>1019448</v>
      </c>
      <c r="G145" s="130"/>
    </row>
    <row r="146" spans="1:7">
      <c r="A146" s="130" t="s">
        <v>54</v>
      </c>
      <c r="B146" s="230" t="s">
        <v>43</v>
      </c>
      <c r="C146" s="130">
        <v>6</v>
      </c>
      <c r="D146" s="130">
        <v>18.4594739210273</v>
      </c>
      <c r="E146" s="130">
        <v>14.414067586325499</v>
      </c>
      <c r="F146" s="130">
        <v>1517941</v>
      </c>
      <c r="G146" s="130"/>
    </row>
    <row r="147" spans="1:7">
      <c r="A147" s="130" t="s">
        <v>54</v>
      </c>
      <c r="B147" s="230" t="s">
        <v>44</v>
      </c>
      <c r="C147" s="130">
        <v>8</v>
      </c>
      <c r="D147" s="130">
        <v>22.864814527394099</v>
      </c>
      <c r="E147" s="130">
        <v>18.451152579582899</v>
      </c>
      <c r="F147" s="130">
        <v>147318</v>
      </c>
      <c r="G147" s="130"/>
    </row>
    <row r="148" spans="1:7">
      <c r="A148" s="130" t="s">
        <v>54</v>
      </c>
      <c r="B148" s="230" t="s">
        <v>45</v>
      </c>
      <c r="C148" s="130">
        <v>6</v>
      </c>
      <c r="D148" s="130">
        <v>14.7893243940175</v>
      </c>
      <c r="E148" s="130">
        <v>10.2762438134931</v>
      </c>
      <c r="F148" s="130">
        <v>114706</v>
      </c>
      <c r="G148" s="130"/>
    </row>
    <row r="149" spans="1:7">
      <c r="A149" s="130" t="s">
        <v>54</v>
      </c>
      <c r="B149" s="230" t="s">
        <v>46</v>
      </c>
      <c r="C149" s="130">
        <v>6</v>
      </c>
      <c r="D149" s="130">
        <v>20.883794981968801</v>
      </c>
      <c r="E149" s="130">
        <v>16.784103239807799</v>
      </c>
      <c r="F149" s="130">
        <v>544357</v>
      </c>
      <c r="G149" s="130"/>
    </row>
    <row r="150" spans="1:7">
      <c r="A150" s="130" t="s">
        <v>54</v>
      </c>
      <c r="B150" s="230" t="s">
        <v>47</v>
      </c>
      <c r="C150" s="130">
        <v>4</v>
      </c>
      <c r="D150" s="130">
        <v>12.257162502865</v>
      </c>
      <c r="E150" s="130">
        <v>10.8727209584997</v>
      </c>
      <c r="F150" s="130">
        <v>427824</v>
      </c>
      <c r="G150" s="130"/>
    </row>
    <row r="151" spans="1:7">
      <c r="A151" s="130" t="s">
        <v>54</v>
      </c>
      <c r="B151" s="230" t="s">
        <v>48</v>
      </c>
      <c r="C151" s="130">
        <v>2</v>
      </c>
      <c r="D151" s="130">
        <v>4.4517906336088204</v>
      </c>
      <c r="E151" s="130">
        <v>4.1253481894150399</v>
      </c>
      <c r="F151" s="130">
        <v>1616</v>
      </c>
      <c r="G151" s="130"/>
    </row>
    <row r="152" spans="1:7">
      <c r="A152" s="130" t="s">
        <v>54</v>
      </c>
      <c r="B152" s="230" t="s">
        <v>49</v>
      </c>
      <c r="C152" s="130">
        <v>3</v>
      </c>
      <c r="D152" s="130">
        <v>5.8035714285714297</v>
      </c>
      <c r="E152" s="130">
        <v>5.4292168674698802</v>
      </c>
      <c r="F152" s="130">
        <v>3900</v>
      </c>
      <c r="G152" s="130"/>
    </row>
    <row r="153" spans="1:7">
      <c r="A153" s="130" t="s">
        <v>54</v>
      </c>
      <c r="B153" s="230" t="s">
        <v>50</v>
      </c>
      <c r="C153" s="130">
        <v>2</v>
      </c>
      <c r="D153" s="130">
        <v>3.2173913043478302</v>
      </c>
      <c r="E153" s="130">
        <v>3.1231527093596099</v>
      </c>
      <c r="F153" s="130">
        <v>666</v>
      </c>
      <c r="G153" s="130"/>
    </row>
    <row r="154" spans="1:7" ht="13.8" thickBot="1">
      <c r="A154" s="133" t="s">
        <v>54</v>
      </c>
      <c r="B154" s="232" t="s">
        <v>51</v>
      </c>
      <c r="C154" s="133">
        <v>6</v>
      </c>
      <c r="D154" s="133">
        <v>18.930973612789899</v>
      </c>
      <c r="E154" s="133">
        <v>14.8771061688805</v>
      </c>
      <c r="F154" s="133">
        <v>4150332</v>
      </c>
      <c r="G154" s="130"/>
    </row>
    <row r="155" spans="1:7" ht="39.6">
      <c r="A155" s="142" t="s">
        <v>206</v>
      </c>
      <c r="B155" s="229" t="s">
        <v>25</v>
      </c>
      <c r="C155" s="229" t="s">
        <v>26</v>
      </c>
    </row>
    <row r="156" spans="1:7" ht="52.8">
      <c r="A156" s="295" t="s">
        <v>30</v>
      </c>
      <c r="B156" s="295" t="s">
        <v>15</v>
      </c>
      <c r="C156" s="302" t="s">
        <v>179</v>
      </c>
      <c r="D156" s="302" t="s">
        <v>188</v>
      </c>
      <c r="E156" s="302" t="s">
        <v>181</v>
      </c>
      <c r="F156" s="302" t="s">
        <v>187</v>
      </c>
    </row>
    <row r="157" spans="1:7">
      <c r="A157" s="129" t="s">
        <v>31</v>
      </c>
      <c r="B157" s="237" t="s">
        <v>16</v>
      </c>
      <c r="C157" s="129">
        <v>16.358461465074502</v>
      </c>
      <c r="D157" s="129">
        <v>110.29427924543199</v>
      </c>
      <c r="E157" s="129">
        <v>32.875680404354597</v>
      </c>
      <c r="F157" s="129">
        <v>676450</v>
      </c>
    </row>
    <row r="158" spans="1:7">
      <c r="A158" s="129" t="s">
        <v>31</v>
      </c>
      <c r="B158" s="237" t="s">
        <v>17</v>
      </c>
      <c r="C158" s="129">
        <v>13.554403650760801</v>
      </c>
      <c r="D158" s="129">
        <v>91.388373194759296</v>
      </c>
      <c r="E158" s="129">
        <v>8.0886268989383492</v>
      </c>
      <c r="F158" s="129">
        <v>137903</v>
      </c>
    </row>
    <row r="159" spans="1:7">
      <c r="A159" s="129" t="s">
        <v>31</v>
      </c>
      <c r="B159" s="237" t="s">
        <v>18</v>
      </c>
      <c r="C159" s="129">
        <v>14.8582468079693</v>
      </c>
      <c r="D159" s="129">
        <v>100.179324689827</v>
      </c>
      <c r="E159" s="129">
        <v>35.185242656107903</v>
      </c>
      <c r="F159" s="129">
        <v>657577</v>
      </c>
    </row>
    <row r="160" spans="1:7">
      <c r="A160" s="129" t="s">
        <v>31</v>
      </c>
      <c r="B160" s="237" t="s">
        <v>19</v>
      </c>
      <c r="C160" s="129">
        <v>26.858374012179802</v>
      </c>
      <c r="D160" s="129">
        <v>181.088240462112</v>
      </c>
      <c r="E160" s="129">
        <v>17.519255246721698</v>
      </c>
      <c r="F160" s="129">
        <v>591853</v>
      </c>
    </row>
    <row r="161" spans="1:6">
      <c r="A161" s="129" t="s">
        <v>31</v>
      </c>
      <c r="B161" s="237" t="s">
        <v>20</v>
      </c>
      <c r="C161" s="129">
        <v>4.4847434450080303</v>
      </c>
      <c r="D161" s="129">
        <v>30.237656941265602</v>
      </c>
      <c r="E161" s="129">
        <v>10.931395142705201</v>
      </c>
      <c r="F161" s="129">
        <v>61664</v>
      </c>
    </row>
    <row r="162" spans="1:6">
      <c r="A162" s="129" t="s">
        <v>31</v>
      </c>
      <c r="B162" s="237" t="s">
        <v>21</v>
      </c>
      <c r="C162" s="129">
        <v>7.6171471275699201</v>
      </c>
      <c r="D162" s="129">
        <v>51.357381874537502</v>
      </c>
      <c r="E162" s="129">
        <v>10.0638764220854</v>
      </c>
      <c r="F162" s="129">
        <v>96422</v>
      </c>
    </row>
    <row r="163" spans="1:6">
      <c r="A163" s="129" t="s">
        <v>31</v>
      </c>
      <c r="B163" s="237" t="s">
        <v>22</v>
      </c>
      <c r="C163" s="129">
        <v>16.2678284651222</v>
      </c>
      <c r="D163" s="129">
        <v>109.683200909799</v>
      </c>
      <c r="E163" s="129">
        <v>13.1116704134493</v>
      </c>
      <c r="F163" s="129">
        <v>268291</v>
      </c>
    </row>
    <row r="164" spans="1:6">
      <c r="A164" s="129" t="s">
        <v>31</v>
      </c>
      <c r="B164" s="237" t="s">
        <v>29</v>
      </c>
      <c r="C164" s="304" t="s">
        <v>53</v>
      </c>
      <c r="D164" s="304" t="s">
        <v>53</v>
      </c>
      <c r="E164" s="304" t="s">
        <v>53</v>
      </c>
      <c r="F164" s="304" t="s">
        <v>53</v>
      </c>
    </row>
    <row r="165" spans="1:6">
      <c r="A165" s="131" t="s">
        <v>31</v>
      </c>
      <c r="B165" s="231" t="s">
        <v>28</v>
      </c>
      <c r="C165" s="131">
        <v>100</v>
      </c>
      <c r="D165" s="131">
        <v>674.23381765400995</v>
      </c>
      <c r="E165" s="131">
        <v>19.814448808255602</v>
      </c>
      <c r="F165" s="131">
        <v>2492301</v>
      </c>
    </row>
    <row r="166" spans="1:6">
      <c r="A166" s="130" t="s">
        <v>32</v>
      </c>
      <c r="B166" s="236" t="s">
        <v>16</v>
      </c>
      <c r="C166" s="130">
        <v>13.4865970289954</v>
      </c>
      <c r="D166" s="130">
        <v>96.395702729563297</v>
      </c>
      <c r="E166" s="130">
        <v>42.679594137542303</v>
      </c>
      <c r="F166" s="130">
        <v>757136</v>
      </c>
    </row>
    <row r="167" spans="1:6">
      <c r="A167" s="130" t="s">
        <v>32</v>
      </c>
      <c r="B167" s="236" t="s">
        <v>17</v>
      </c>
      <c r="C167" s="130">
        <v>27.235475680031598</v>
      </c>
      <c r="D167" s="130">
        <v>194.66606822359699</v>
      </c>
      <c r="E167" s="130">
        <v>8.1915980460572193</v>
      </c>
      <c r="F167" s="130">
        <v>293464</v>
      </c>
    </row>
    <row r="168" spans="1:6">
      <c r="A168" s="130" t="s">
        <v>32</v>
      </c>
      <c r="B168" s="236" t="s">
        <v>18</v>
      </c>
      <c r="C168" s="130">
        <v>24.021195396007201</v>
      </c>
      <c r="D168" s="130">
        <v>171.69194019988799</v>
      </c>
      <c r="E168" s="130">
        <v>39.911478937873902</v>
      </c>
      <c r="F168" s="130">
        <v>1261083</v>
      </c>
    </row>
    <row r="169" spans="1:6">
      <c r="A169" s="130" t="s">
        <v>32</v>
      </c>
      <c r="B169" s="236" t="s">
        <v>19</v>
      </c>
      <c r="C169" s="130">
        <v>18.590825464884698</v>
      </c>
      <c r="D169" s="130">
        <v>132.87827026768599</v>
      </c>
      <c r="E169" s="130">
        <v>17.946061993947801</v>
      </c>
      <c r="F169" s="130">
        <v>438853</v>
      </c>
    </row>
    <row r="170" spans="1:6">
      <c r="A170" s="130" t="s">
        <v>32</v>
      </c>
      <c r="B170" s="236" t="s">
        <v>20</v>
      </c>
      <c r="C170" s="130">
        <v>2.4350377837583101</v>
      </c>
      <c r="D170" s="130">
        <v>17.404477781442601</v>
      </c>
      <c r="E170" s="130">
        <v>10.6250390259132</v>
      </c>
      <c r="F170" s="130">
        <v>34032</v>
      </c>
    </row>
    <row r="171" spans="1:6">
      <c r="A171" s="130" t="s">
        <v>32</v>
      </c>
      <c r="B171" s="236" t="s">
        <v>21</v>
      </c>
      <c r="C171" s="130">
        <v>2.9763262327236202</v>
      </c>
      <c r="D171" s="130">
        <v>21.273347022899699</v>
      </c>
      <c r="E171" s="130">
        <v>15.025287356321799</v>
      </c>
      <c r="F171" s="130">
        <v>58824</v>
      </c>
    </row>
    <row r="172" spans="1:6">
      <c r="A172" s="130" t="s">
        <v>32</v>
      </c>
      <c r="B172" s="236" t="s">
        <v>22</v>
      </c>
      <c r="C172" s="130">
        <v>11.2492207574997</v>
      </c>
      <c r="D172" s="130">
        <v>80.404014277866295</v>
      </c>
      <c r="E172" s="130">
        <v>16.45813340542</v>
      </c>
      <c r="F172" s="130">
        <v>243531</v>
      </c>
    </row>
    <row r="173" spans="1:6">
      <c r="A173" s="130" t="s">
        <v>32</v>
      </c>
      <c r="B173" s="236" t="s">
        <v>29</v>
      </c>
      <c r="C173" s="130">
        <v>5.32165609937813E-3</v>
      </c>
      <c r="D173" s="130">
        <v>3.8036635800842301E-2</v>
      </c>
      <c r="E173" s="130">
        <v>99.428571428571402</v>
      </c>
      <c r="F173" s="130">
        <v>696</v>
      </c>
    </row>
    <row r="174" spans="1:6">
      <c r="A174" s="131" t="s">
        <v>32</v>
      </c>
      <c r="B174" s="231" t="s">
        <v>28</v>
      </c>
      <c r="C174" s="131">
        <v>100</v>
      </c>
      <c r="D174" s="131">
        <v>714.75185713874305</v>
      </c>
      <c r="E174" s="131">
        <v>23.473209262722602</v>
      </c>
      <c r="F174" s="131">
        <v>3087619</v>
      </c>
    </row>
    <row r="175" spans="1:6">
      <c r="A175" s="129" t="s">
        <v>31</v>
      </c>
      <c r="B175" s="237" t="s">
        <v>16</v>
      </c>
      <c r="C175" s="144" t="s">
        <v>13</v>
      </c>
      <c r="D175" s="144" t="s">
        <v>13</v>
      </c>
      <c r="E175" s="144" t="s">
        <v>13</v>
      </c>
      <c r="F175" s="144" t="s">
        <v>13</v>
      </c>
    </row>
    <row r="176" spans="1:6">
      <c r="A176" s="129" t="s">
        <v>31</v>
      </c>
      <c r="B176" s="237" t="s">
        <v>17</v>
      </c>
      <c r="C176" s="129">
        <v>16.2053495047811</v>
      </c>
      <c r="D176" s="129">
        <v>91.388373194759296</v>
      </c>
      <c r="E176" s="129">
        <v>8.0886268989383492</v>
      </c>
      <c r="F176" s="129">
        <v>137903</v>
      </c>
    </row>
    <row r="177" spans="1:6">
      <c r="A177" s="129" t="s">
        <v>31</v>
      </c>
      <c r="B177" s="237" t="s">
        <v>18</v>
      </c>
      <c r="C177" s="129">
        <v>17.764195958405399</v>
      </c>
      <c r="D177" s="129">
        <v>100.179324689827</v>
      </c>
      <c r="E177" s="129">
        <v>35.185242656107903</v>
      </c>
      <c r="F177" s="129">
        <v>657577</v>
      </c>
    </row>
    <row r="178" spans="1:6">
      <c r="A178" s="129" t="s">
        <v>31</v>
      </c>
      <c r="B178" s="237" t="s">
        <v>19</v>
      </c>
      <c r="C178" s="129">
        <v>32.111286428530697</v>
      </c>
      <c r="D178" s="129">
        <v>181.088240462112</v>
      </c>
      <c r="E178" s="129">
        <v>17.519255246721698</v>
      </c>
      <c r="F178" s="129">
        <v>591853</v>
      </c>
    </row>
    <row r="179" spans="1:6">
      <c r="A179" s="129" t="s">
        <v>31</v>
      </c>
      <c r="B179" s="237" t="s">
        <v>20</v>
      </c>
      <c r="C179" s="129">
        <v>5.3618614907894999</v>
      </c>
      <c r="D179" s="129">
        <v>30.237656941265602</v>
      </c>
      <c r="E179" s="129">
        <v>10.931395142705201</v>
      </c>
      <c r="F179" s="129">
        <v>61664</v>
      </c>
    </row>
    <row r="180" spans="1:6">
      <c r="A180" s="129" t="s">
        <v>31</v>
      </c>
      <c r="B180" s="237" t="s">
        <v>21</v>
      </c>
      <c r="C180" s="129">
        <v>9.1068950440088994</v>
      </c>
      <c r="D180" s="129">
        <v>51.357381874537502</v>
      </c>
      <c r="E180" s="129">
        <v>10.0638764220854</v>
      </c>
      <c r="F180" s="129">
        <v>96422</v>
      </c>
    </row>
    <row r="181" spans="1:6">
      <c r="A181" s="129" t="s">
        <v>31</v>
      </c>
      <c r="B181" s="237" t="s">
        <v>22</v>
      </c>
      <c r="C181" s="129">
        <v>19.4494610573541</v>
      </c>
      <c r="D181" s="129">
        <v>109.683200909799</v>
      </c>
      <c r="E181" s="129">
        <v>13.1116704134493</v>
      </c>
      <c r="F181" s="129">
        <v>268291</v>
      </c>
    </row>
    <row r="182" spans="1:6">
      <c r="A182" s="129" t="s">
        <v>31</v>
      </c>
      <c r="B182" s="237" t="s">
        <v>29</v>
      </c>
      <c r="C182" s="304" t="s">
        <v>53</v>
      </c>
      <c r="D182" s="304" t="s">
        <v>53</v>
      </c>
      <c r="E182" s="304" t="s">
        <v>53</v>
      </c>
      <c r="F182" s="304" t="s">
        <v>53</v>
      </c>
    </row>
    <row r="183" spans="1:6">
      <c r="A183" s="131" t="s">
        <v>31</v>
      </c>
      <c r="B183" s="231" t="s">
        <v>34</v>
      </c>
      <c r="C183" s="131">
        <v>100</v>
      </c>
      <c r="D183" s="131">
        <v>563.93953840857796</v>
      </c>
      <c r="E183" s="131">
        <v>17.2599566564645</v>
      </c>
      <c r="F183" s="131">
        <v>1815851</v>
      </c>
    </row>
    <row r="184" spans="1:6">
      <c r="A184" s="130" t="s">
        <v>32</v>
      </c>
      <c r="B184" s="236" t="s">
        <v>16</v>
      </c>
      <c r="C184" s="144" t="s">
        <v>13</v>
      </c>
      <c r="D184" s="144" t="s">
        <v>13</v>
      </c>
      <c r="E184" s="144" t="s">
        <v>13</v>
      </c>
      <c r="F184" s="144" t="s">
        <v>13</v>
      </c>
    </row>
    <row r="185" spans="1:6">
      <c r="A185" s="130" t="s">
        <v>32</v>
      </c>
      <c r="B185" s="236" t="s">
        <v>17</v>
      </c>
      <c r="C185" s="129">
        <v>31.4812211110916</v>
      </c>
      <c r="D185" s="129">
        <v>194.66606822359699</v>
      </c>
      <c r="E185" s="129">
        <v>8.1915980460572193</v>
      </c>
      <c r="F185" s="129">
        <v>293464</v>
      </c>
    </row>
    <row r="186" spans="1:6">
      <c r="A186" s="130" t="s">
        <v>32</v>
      </c>
      <c r="B186" s="236" t="s">
        <v>18</v>
      </c>
      <c r="C186" s="129">
        <v>27.7658658324399</v>
      </c>
      <c r="D186" s="129">
        <v>171.69194019988799</v>
      </c>
      <c r="E186" s="129">
        <v>39.911478937873902</v>
      </c>
      <c r="F186" s="129">
        <v>1261083</v>
      </c>
    </row>
    <row r="187" spans="1:6">
      <c r="A187" s="130" t="s">
        <v>32</v>
      </c>
      <c r="B187" s="236" t="s">
        <v>19</v>
      </c>
      <c r="C187" s="129">
        <v>21.4889541116716</v>
      </c>
      <c r="D187" s="129">
        <v>132.87827026768599</v>
      </c>
      <c r="E187" s="129">
        <v>17.946061993947801</v>
      </c>
      <c r="F187" s="129">
        <v>438853</v>
      </c>
    </row>
    <row r="188" spans="1:6">
      <c r="A188" s="130" t="s">
        <v>32</v>
      </c>
      <c r="B188" s="236" t="s">
        <v>20</v>
      </c>
      <c r="C188" s="129">
        <v>2.8146364610977299</v>
      </c>
      <c r="D188" s="129">
        <v>17.404477781442601</v>
      </c>
      <c r="E188" s="129">
        <v>10.6250390259132</v>
      </c>
      <c r="F188" s="129">
        <v>34032</v>
      </c>
    </row>
    <row r="189" spans="1:6">
      <c r="A189" s="130" t="s">
        <v>32</v>
      </c>
      <c r="B189" s="236" t="s">
        <v>21</v>
      </c>
      <c r="C189" s="129">
        <v>3.44030650802299</v>
      </c>
      <c r="D189" s="129">
        <v>21.273347022899699</v>
      </c>
      <c r="E189" s="129">
        <v>15.025287356321799</v>
      </c>
      <c r="F189" s="129">
        <v>58824</v>
      </c>
    </row>
    <row r="190" spans="1:6">
      <c r="A190" s="130" t="s">
        <v>32</v>
      </c>
      <c r="B190" s="236" t="s">
        <v>22</v>
      </c>
      <c r="C190" s="129">
        <v>13.0028647252149</v>
      </c>
      <c r="D190" s="129">
        <v>80.404014277866295</v>
      </c>
      <c r="E190" s="129">
        <v>16.45813340542</v>
      </c>
      <c r="F190" s="129">
        <v>243531</v>
      </c>
    </row>
    <row r="191" spans="1:6">
      <c r="A191" s="130" t="s">
        <v>32</v>
      </c>
      <c r="B191" s="236" t="s">
        <v>29</v>
      </c>
      <c r="C191" s="129">
        <v>6.1512504613437796E-3</v>
      </c>
      <c r="D191" s="129">
        <v>3.8036635800842301E-2</v>
      </c>
      <c r="E191" s="129">
        <v>99.428571428571402</v>
      </c>
      <c r="F191" s="129">
        <v>696</v>
      </c>
    </row>
    <row r="192" spans="1:6" ht="13.8" thickBot="1">
      <c r="A192" s="133" t="s">
        <v>32</v>
      </c>
      <c r="B192" s="232" t="s">
        <v>34</v>
      </c>
      <c r="C192" s="133">
        <v>100</v>
      </c>
      <c r="D192" s="133">
        <v>618.35615440918002</v>
      </c>
      <c r="E192" s="133">
        <v>20.4791208984341</v>
      </c>
      <c r="F192" s="133">
        <v>2330483</v>
      </c>
    </row>
  </sheetData>
  <pageMargins left="0.75" right="0.75" top="0.75" bottom="0.75" header="0.3" footer="0.3"/>
  <pageSetup scale="60" orientation="portrait" r:id="rId1"/>
  <headerFooter>
    <oddFooter>&amp;L&amp;L&amp;"Arial"&amp;9© 2019 CIHI&amp;R&amp;R&amp;"Arial"&amp;9&amp;P</oddFooter>
  </headerFooter>
  <rowBreaks count="2" manualBreakCount="2">
    <brk id="68" max="6" man="1"/>
    <brk id="154" max="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29"/>
  <sheetViews>
    <sheetView showGridLines="0" zoomScaleNormal="100" zoomScaleSheetLayoutView="50" workbookViewId="0"/>
  </sheetViews>
  <sheetFormatPr defaultRowHeight="13.8"/>
  <cols>
    <col min="1" max="1" width="83.5" customWidth="1"/>
  </cols>
  <sheetData>
    <row r="1" spans="1:10" ht="49.5" customHeight="1">
      <c r="A1" s="7" t="s">
        <v>6</v>
      </c>
    </row>
    <row r="2" spans="1:10" ht="30.75" customHeight="1">
      <c r="A2" s="25" t="s">
        <v>151</v>
      </c>
      <c r="B2" s="12"/>
      <c r="C2" s="12"/>
      <c r="D2" s="12"/>
      <c r="E2" s="12"/>
      <c r="F2" s="12"/>
      <c r="G2" s="12"/>
      <c r="H2" s="12"/>
      <c r="I2" s="12"/>
      <c r="J2" s="12"/>
    </row>
    <row r="3" spans="1:10" ht="15" customHeight="1"/>
    <row r="4" spans="1:10" ht="15" customHeight="1"/>
    <row r="5" spans="1:10" ht="15" customHeight="1"/>
    <row r="6" spans="1:10" ht="15" customHeight="1"/>
    <row r="7" spans="1:10" ht="15" customHeight="1"/>
    <row r="8" spans="1:10" ht="15" customHeight="1"/>
    <row r="9" spans="1:10" ht="15" customHeight="1"/>
    <row r="10" spans="1:10" ht="15" customHeight="1"/>
    <row r="11" spans="1:10" ht="15" customHeight="1"/>
    <row r="12" spans="1:10" ht="15" customHeight="1"/>
    <row r="13" spans="1:10" ht="15" customHeight="1"/>
    <row r="14" spans="1:10" ht="15" customHeight="1"/>
    <row r="15" spans="1:10" ht="15" customHeight="1"/>
    <row r="16" spans="1:10"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sheetData>
  <pageMargins left="0.75" right="0.75" top="0.75" bottom="0.75" header="0.3" footer="0.3"/>
  <pageSetup orientation="portrait" r:id="rId1"/>
  <headerFooter>
    <oddFooter>&amp;L&amp;9© 2020 CIHI&amp;R&amp;9&amp;P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showGridLines="0" zoomScaleNormal="100" zoomScaleSheetLayoutView="50" workbookViewId="0"/>
  </sheetViews>
  <sheetFormatPr defaultColWidth="9" defaultRowHeight="13.8"/>
  <cols>
    <col min="1" max="1" width="83.5" style="19" customWidth="1"/>
    <col min="2" max="2" width="5.09765625" style="19" customWidth="1"/>
    <col min="3" max="3" width="7.5" style="19" customWidth="1"/>
    <col min="4" max="9" width="9" style="19"/>
    <col min="10" max="10" width="5" style="19" customWidth="1"/>
    <col min="11" max="12" width="9" style="19"/>
    <col min="13" max="13" width="9" style="19" customWidth="1"/>
    <col min="14" max="16384" width="9" style="19"/>
  </cols>
  <sheetData>
    <row r="1" spans="1:11" s="24" customFormat="1" ht="49.5" customHeight="1">
      <c r="A1" s="3" t="s">
        <v>14</v>
      </c>
    </row>
    <row r="2" spans="1:11" s="30" customFormat="1" ht="39" customHeight="1">
      <c r="A2" s="317" t="s">
        <v>327</v>
      </c>
      <c r="C2" s="31"/>
      <c r="D2" s="31"/>
      <c r="E2" s="31"/>
      <c r="F2" s="31"/>
      <c r="G2" s="31"/>
      <c r="H2" s="31"/>
      <c r="I2" s="31"/>
      <c r="J2" s="31"/>
    </row>
    <row r="3" spans="1:11" s="30" customFormat="1" ht="39" customHeight="1">
      <c r="A3" s="318" t="s">
        <v>328</v>
      </c>
      <c r="C3" s="31"/>
      <c r="D3" s="31"/>
      <c r="E3" s="31"/>
      <c r="F3" s="31"/>
      <c r="G3" s="31"/>
      <c r="H3" s="31"/>
      <c r="I3" s="31"/>
      <c r="J3" s="31"/>
    </row>
    <row r="4" spans="1:11" s="34" customFormat="1" ht="39" customHeight="1">
      <c r="A4" s="318" t="s">
        <v>329</v>
      </c>
      <c r="B4" s="32"/>
      <c r="C4" s="32"/>
      <c r="D4" s="32"/>
      <c r="E4" s="33"/>
    </row>
    <row r="5" spans="1:11" s="30" customFormat="1" ht="39" customHeight="1">
      <c r="A5" s="318" t="s">
        <v>330</v>
      </c>
      <c r="C5" s="31"/>
      <c r="D5" s="31"/>
      <c r="E5" s="31"/>
      <c r="F5" s="31"/>
      <c r="G5" s="31"/>
      <c r="H5" s="31"/>
      <c r="I5" s="31"/>
      <c r="J5" s="31"/>
    </row>
    <row r="6" spans="1:11" s="30" customFormat="1" ht="22.5" customHeight="1">
      <c r="A6" s="318" t="s">
        <v>331</v>
      </c>
      <c r="C6" s="31"/>
      <c r="D6" s="31"/>
      <c r="E6" s="31"/>
      <c r="F6" s="31"/>
      <c r="G6" s="31"/>
      <c r="H6" s="31"/>
      <c r="I6" s="31"/>
      <c r="J6" s="31"/>
    </row>
    <row r="7" spans="1:11" s="36" customFormat="1" ht="39" customHeight="1">
      <c r="A7" s="319" t="s">
        <v>332</v>
      </c>
      <c r="B7" s="35"/>
      <c r="C7" s="35"/>
      <c r="D7" s="35"/>
      <c r="E7" s="35"/>
      <c r="F7" s="35"/>
      <c r="G7" s="35"/>
      <c r="H7" s="35"/>
      <c r="I7" s="35"/>
      <c r="J7" s="35"/>
      <c r="K7" s="35"/>
    </row>
    <row r="8" spans="1:11" s="36" customFormat="1" ht="39" customHeight="1">
      <c r="A8" s="319" t="s">
        <v>333</v>
      </c>
      <c r="B8" s="35"/>
      <c r="C8" s="35"/>
      <c r="D8" s="35"/>
      <c r="E8" s="35"/>
      <c r="F8" s="35"/>
      <c r="G8" s="35"/>
      <c r="H8" s="35"/>
      <c r="I8" s="35"/>
      <c r="J8" s="35"/>
      <c r="K8" s="35"/>
    </row>
    <row r="9" spans="1:11" s="36" customFormat="1" ht="19.5" customHeight="1">
      <c r="A9" s="320" t="s">
        <v>334</v>
      </c>
      <c r="B9" s="35"/>
      <c r="C9" s="35"/>
      <c r="D9" s="35"/>
      <c r="E9" s="35"/>
      <c r="F9" s="35"/>
      <c r="G9" s="35"/>
      <c r="H9" s="35"/>
      <c r="I9" s="35"/>
      <c r="J9" s="35"/>
      <c r="K9" s="35"/>
    </row>
    <row r="10" spans="1:11" s="20" customFormat="1" ht="15" customHeight="1">
      <c r="A10" s="29"/>
      <c r="B10" s="21"/>
      <c r="C10" s="21"/>
      <c r="D10" s="21"/>
      <c r="E10" s="21"/>
      <c r="F10" s="21"/>
      <c r="G10" s="21"/>
      <c r="H10" s="21"/>
      <c r="I10" s="21"/>
      <c r="J10" s="21"/>
      <c r="K10" s="21"/>
    </row>
    <row r="11" spans="1:11" s="20" customFormat="1" ht="15" customHeight="1">
      <c r="A11" s="23"/>
      <c r="B11" s="21"/>
      <c r="C11" s="21"/>
      <c r="D11" s="21"/>
      <c r="E11" s="21"/>
      <c r="F11" s="21"/>
      <c r="G11" s="21"/>
      <c r="H11" s="21"/>
      <c r="I11" s="21"/>
      <c r="J11" s="21"/>
      <c r="K11" s="21"/>
    </row>
    <row r="12" spans="1:11" s="20" customFormat="1" ht="15" customHeight="1">
      <c r="A12" s="21"/>
      <c r="B12" s="21"/>
      <c r="C12" s="21"/>
      <c r="D12" s="21"/>
      <c r="E12" s="21"/>
      <c r="F12" s="21"/>
      <c r="G12" s="21"/>
      <c r="H12" s="21"/>
      <c r="I12" s="21"/>
      <c r="J12" s="21"/>
      <c r="K12" s="21"/>
    </row>
    <row r="13" spans="1:11" s="20" customFormat="1" ht="15" customHeight="1">
      <c r="A13" s="22"/>
      <c r="B13" s="21"/>
      <c r="C13" s="21"/>
      <c r="D13" s="21"/>
      <c r="E13" s="21"/>
      <c r="F13" s="21"/>
      <c r="G13" s="21"/>
      <c r="H13" s="21"/>
      <c r="I13" s="21"/>
      <c r="J13" s="21"/>
      <c r="K13" s="21"/>
    </row>
    <row r="14" spans="1:11" s="20" customFormat="1" ht="15" customHeight="1">
      <c r="A14" s="21"/>
      <c r="B14" s="21"/>
      <c r="C14" s="21"/>
      <c r="D14" s="21"/>
      <c r="E14" s="21"/>
      <c r="F14" s="21"/>
      <c r="G14" s="21"/>
      <c r="H14" s="21"/>
      <c r="I14" s="21"/>
      <c r="J14" s="21"/>
      <c r="K14" s="21"/>
    </row>
    <row r="15" spans="1:11" s="20" customFormat="1" ht="15" customHeight="1">
      <c r="A15" s="22"/>
      <c r="B15" s="21"/>
      <c r="C15" s="21"/>
      <c r="D15" s="21"/>
      <c r="E15" s="21"/>
      <c r="F15" s="21"/>
      <c r="G15" s="21"/>
      <c r="H15" s="21"/>
      <c r="I15" s="21"/>
      <c r="J15" s="21"/>
      <c r="K15" s="21"/>
    </row>
    <row r="16" spans="1:11" s="20" customFormat="1" ht="15" customHeight="1">
      <c r="A16" s="21"/>
      <c r="B16" s="21"/>
      <c r="C16" s="21"/>
      <c r="D16" s="21"/>
      <c r="E16" s="21"/>
      <c r="F16" s="21"/>
      <c r="G16" s="21"/>
      <c r="H16" s="21"/>
      <c r="I16" s="21"/>
      <c r="J16" s="21"/>
      <c r="K16" s="21"/>
    </row>
    <row r="17" spans="1:11" s="20" customFormat="1" ht="15" customHeight="1">
      <c r="A17" s="22"/>
      <c r="B17" s="21"/>
      <c r="C17" s="21"/>
      <c r="D17" s="21"/>
      <c r="E17" s="21"/>
      <c r="F17" s="21"/>
      <c r="G17" s="21"/>
      <c r="H17" s="21"/>
      <c r="I17" s="21"/>
      <c r="J17" s="21"/>
      <c r="K17" s="21"/>
    </row>
    <row r="18" spans="1:11" s="20" customFormat="1" ht="15" customHeight="1"/>
    <row r="19" spans="1:11" s="20" customFormat="1" ht="15" customHeight="1"/>
    <row r="20" spans="1:11" s="20" customFormat="1" ht="15" customHeight="1"/>
    <row r="21" spans="1:11" s="20" customFormat="1" ht="15" customHeight="1"/>
    <row r="22" spans="1:11" s="20" customFormat="1" ht="15" customHeight="1"/>
    <row r="23" spans="1:11" s="20" customFormat="1" ht="15" customHeight="1"/>
    <row r="24" spans="1:11" s="20" customFormat="1" ht="15" customHeight="1"/>
    <row r="25" spans="1:11" s="20" customFormat="1" ht="15" customHeight="1"/>
  </sheetData>
  <hyperlinks>
    <hyperlink ref="A2" location="'1 General Hosp'!A1" display="Table 1: Volume and Length of Stay Statistics, by Diagnosis Category, in General Hospitals, Canada, FY 2014-2015"/>
    <hyperlink ref="A3" location="'2 Psych Hosp'!A1" display="Table 2: Volume and Length of Stay Statistics, by Diagnosis Category, in Psychiatric Hospitals, Canada, FY 2014-2015"/>
    <hyperlink ref="A4" location="'3 Combined stats prov terr'!A1" display="Table 3: Discharges and discharge rates for mental illness or addiction, by province/territory and Canada, 2016–2017"/>
    <hyperlink ref="A5" location="'4 Combined LOS prov terr'!A1" display="Table 4: Lengths of stay (median, average, total) for mental illness or addiction, by hospital type, province/territory and Canada, 2016–2017"/>
    <hyperlink ref="A6" location="'5 Combined stats by Sex'!A1" display="Table 5: Separations, Lengths of Stay (Median, Average, Total), by Sex and Diagnosis Category, Canada, FY 2014-2015"/>
    <hyperlink ref="A9" location="'8 30-day readmission'!A1" display="Table 8: 30-day readmission for mood disorders, 2017–2018"/>
    <hyperlink ref="A7" location="'6 Eating disorders, rate LOS'!A1" display="Table 6: Discharge statistics for eating disorders as a primary diagnosis, by sex and age group, Canada, 2017–2018"/>
    <hyperlink ref="A8" location="'7 Eating disorders hosp trend'!A1" display="Table 7: Crude discharge rates per 100,000 population for eating disorders as a primary diagnosis, Canada, 2013–2014 to 2017–2018"/>
  </hyperlinks>
  <pageMargins left="0.75" right="0.75" top="0.75" bottom="0.75" header="0.3" footer="0.3"/>
  <pageSetup fitToWidth="0" fitToHeight="0" orientation="portrait" r:id="rId1"/>
  <headerFooter>
    <oddFooter>&amp;L&amp;9© 2020 CIHI&amp;R&amp;9&amp;P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22"/>
  <sheetViews>
    <sheetView showGridLines="0" topLeftCell="A2" zoomScaleNormal="100" zoomScaleSheetLayoutView="80" workbookViewId="0"/>
  </sheetViews>
  <sheetFormatPr defaultRowHeight="13.8"/>
  <cols>
    <col min="1" max="1" width="39.69921875" customWidth="1"/>
    <col min="2" max="2" width="11.59765625" customWidth="1"/>
    <col min="3" max="3" width="13.59765625" customWidth="1"/>
    <col min="4" max="4" width="13" customWidth="1"/>
    <col min="5" max="7" width="11.59765625" customWidth="1"/>
  </cols>
  <sheetData>
    <row r="1" spans="1:13" s="306" customFormat="1" ht="18.75" hidden="1" customHeight="1">
      <c r="A1" s="307" t="s">
        <v>208</v>
      </c>
      <c r="B1" s="307"/>
      <c r="C1" s="307"/>
      <c r="D1" s="307"/>
      <c r="E1" s="307"/>
      <c r="F1" s="307"/>
      <c r="G1" s="307"/>
      <c r="H1" s="307"/>
      <c r="I1" s="307"/>
      <c r="J1" s="307"/>
      <c r="K1" s="307"/>
    </row>
    <row r="2" spans="1:13" s="151" customFormat="1" ht="24" customHeight="1">
      <c r="A2" s="289" t="s">
        <v>5</v>
      </c>
      <c r="B2" s="289"/>
      <c r="C2" s="289"/>
      <c r="D2" s="150"/>
      <c r="K2" s="152"/>
      <c r="L2" s="152"/>
      <c r="M2" s="152"/>
    </row>
    <row r="3" spans="1:13" s="246" customFormat="1" ht="18" customHeight="1">
      <c r="A3" s="248" t="s">
        <v>152</v>
      </c>
      <c r="B3" s="259" t="s">
        <v>25</v>
      </c>
      <c r="C3" s="249"/>
      <c r="D3" s="245"/>
      <c r="K3" s="247"/>
      <c r="L3" s="247"/>
      <c r="M3" s="247"/>
    </row>
    <row r="4" spans="1:13" s="258" customFormat="1" ht="25.2" customHeight="1">
      <c r="A4" s="321" t="s">
        <v>311</v>
      </c>
      <c r="B4" s="257"/>
      <c r="C4" s="257"/>
      <c r="D4" s="257"/>
      <c r="E4" s="257"/>
      <c r="F4" s="257"/>
      <c r="G4" s="257"/>
      <c r="H4" s="257"/>
      <c r="I4" s="247"/>
      <c r="J4" s="247"/>
      <c r="K4" s="247"/>
      <c r="L4" s="247"/>
      <c r="M4" s="247"/>
    </row>
    <row r="5" spans="1:13" s="46" customFormat="1" ht="55.2">
      <c r="A5" s="275" t="s">
        <v>196</v>
      </c>
      <c r="B5" s="276" t="s">
        <v>11</v>
      </c>
      <c r="C5" s="276" t="s">
        <v>197</v>
      </c>
      <c r="D5" s="276" t="s">
        <v>180</v>
      </c>
      <c r="E5" s="277" t="s">
        <v>181</v>
      </c>
      <c r="F5" s="277" t="s">
        <v>182</v>
      </c>
      <c r="G5" s="278" t="s">
        <v>183</v>
      </c>
      <c r="J5" s="149"/>
      <c r="K5" s="45"/>
      <c r="L5" s="45"/>
      <c r="M5" s="45"/>
    </row>
    <row r="6" spans="1:13" s="48" customFormat="1" ht="15" customHeight="1">
      <c r="A6" s="55" t="s">
        <v>162</v>
      </c>
      <c r="B6" s="38">
        <f>INDEX(Data!$A$3:$G$18,(MATCH($B$3,Data!$B$1:$C$1, 0)-1)*8+1,2)</f>
        <v>36985</v>
      </c>
      <c r="C6" s="39">
        <f>INDEX(Data!$A$3:$G$18,(MATCH($B$3,Data!$B$1:$C$1, 0)-1)*8+1,3)</f>
        <v>16.23</v>
      </c>
      <c r="D6" s="40">
        <f>INDEX(Data!$A$3:$G$18,(MATCH($B$3,Data!$B$1:$C$1, 0)-1)*8+1,4)</f>
        <v>16</v>
      </c>
      <c r="E6" s="39">
        <f>INDEX(Data!$A$3:$G$18,(MATCH($B$3,Data!$B$1:$C$1, 0)-1)*8+1,5)</f>
        <v>32.32</v>
      </c>
      <c r="F6" s="39">
        <f>INDEX(Data!$A$3:$G$18,(MATCH($B$3,Data!$B$1:$C$1, 0)-1)*8+1,6)</f>
        <v>29.71</v>
      </c>
      <c r="G6" s="41">
        <f>INDEX(Data!$A$3:$G$18,(MATCH($B$3,Data!$B$1:$C$1, 0)-1)*8+1,7)</f>
        <v>1195246</v>
      </c>
      <c r="H6" s="46"/>
      <c r="I6" s="47"/>
      <c r="K6" s="153"/>
      <c r="L6" s="153"/>
      <c r="M6" s="45"/>
    </row>
    <row r="7" spans="1:13" s="48" customFormat="1" ht="15" customHeight="1">
      <c r="A7" s="55" t="s">
        <v>163</v>
      </c>
      <c r="B7" s="38">
        <f>INDEX(Data!$A$3:$G$18,(MATCH($B$3,Data!$B$1:$C$1, 0)-1)*8+2,2)</f>
        <v>46787</v>
      </c>
      <c r="C7" s="39">
        <f>INDEX(Data!$A$3:$G$18,(MATCH($B$3,Data!$B$1:$C$1, 0)-1)*8+2,3)</f>
        <v>20.53</v>
      </c>
      <c r="D7" s="40">
        <f>INDEX(Data!$A$3:$G$18,(MATCH($B$3,Data!$B$1:$C$1, 0)-1)*8+2,4)</f>
        <v>3</v>
      </c>
      <c r="E7" s="39">
        <f>INDEX(Data!$A$3:$G$18,(MATCH($B$3,Data!$B$1:$C$1, 0)-1)*8+2,5)</f>
        <v>6.38</v>
      </c>
      <c r="F7" s="39">
        <f>INDEX(Data!$A$3:$G$18,(MATCH($B$3,Data!$B$1:$C$1, 0)-1)*8+2,6)</f>
        <v>5.65</v>
      </c>
      <c r="G7" s="41">
        <f>INDEX(Data!$A$3:$G$18,(MATCH($B$3,Data!$B$1:$C$1, 0)-1)*8+2,7)</f>
        <v>298407</v>
      </c>
      <c r="H7" s="46"/>
      <c r="I7" s="47"/>
      <c r="K7" s="47"/>
      <c r="L7" s="47"/>
    </row>
    <row r="8" spans="1:13" s="48" customFormat="1" ht="15" customHeight="1">
      <c r="A8" s="55" t="s">
        <v>18</v>
      </c>
      <c r="B8" s="38">
        <f>INDEX(Data!$A$3:$G$18,(MATCH($B$3,Data!$B$1:$C$1, 0)-1)*8+3,2)</f>
        <v>41425</v>
      </c>
      <c r="C8" s="39">
        <f>INDEX(Data!$A$3:$G$18,(MATCH($B$3,Data!$B$1:$C$1, 0)-1)*8+3,3)</f>
        <v>18.170000000000002</v>
      </c>
      <c r="D8" s="40">
        <f>INDEX(Data!$A$3:$G$18,(MATCH($B$3,Data!$B$1:$C$1, 0)-1)*8+3,4)</f>
        <v>12</v>
      </c>
      <c r="E8" s="39">
        <f>INDEX(Data!$A$3:$G$18,(MATCH($B$3,Data!$B$1:$C$1, 0)-1)*8+3,5)</f>
        <v>22.16</v>
      </c>
      <c r="F8" s="39">
        <f>INDEX(Data!$A$3:$G$18,(MATCH($B$3,Data!$B$1:$C$1, 0)-1)*8+3,6)</f>
        <v>20.34</v>
      </c>
      <c r="G8" s="41">
        <f>INDEX(Data!$A$3:$G$18,(MATCH($B$3,Data!$B$1:$C$1, 0)-1)*8+3,7)</f>
        <v>918099</v>
      </c>
      <c r="H8" s="46"/>
      <c r="I8" s="47"/>
      <c r="K8" s="47"/>
      <c r="L8" s="47"/>
    </row>
    <row r="9" spans="1:13" s="48" customFormat="1" ht="15" customHeight="1">
      <c r="A9" s="55" t="s">
        <v>19</v>
      </c>
      <c r="B9" s="38">
        <f>INDEX(Data!$A$3:$G$18,(MATCH($B$3,Data!$B$1:$C$1, 0)-1)*8+4,2)</f>
        <v>51757</v>
      </c>
      <c r="C9" s="39">
        <f>INDEX(Data!$A$3:$G$18,(MATCH($B$3,Data!$B$1:$C$1, 0)-1)*8+4,3)</f>
        <v>22.71</v>
      </c>
      <c r="D9" s="40">
        <f>INDEX(Data!$A$3:$G$18,(MATCH($B$3,Data!$B$1:$C$1, 0)-1)*8+4,4)</f>
        <v>8</v>
      </c>
      <c r="E9" s="39">
        <f>INDEX(Data!$A$3:$G$18,(MATCH($B$3,Data!$B$1:$C$1, 0)-1)*8+4,5)</f>
        <v>14.93</v>
      </c>
      <c r="F9" s="39">
        <f>INDEX(Data!$A$3:$G$18,(MATCH($B$3,Data!$B$1:$C$1, 0)-1)*8+4,6)</f>
        <v>14.03</v>
      </c>
      <c r="G9" s="41">
        <f>INDEX(Data!$A$3:$G$18,(MATCH($B$3,Data!$B$1:$C$1, 0)-1)*8+4,7)</f>
        <v>772860</v>
      </c>
      <c r="H9" s="46"/>
      <c r="I9" s="47"/>
      <c r="K9" s="47"/>
      <c r="L9" s="47"/>
    </row>
    <row r="10" spans="1:13" s="48" customFormat="1" ht="15" customHeight="1">
      <c r="A10" s="55" t="s">
        <v>20</v>
      </c>
      <c r="B10" s="38">
        <f>INDEX(Data!$A$3:$G$18,(MATCH($B$3,Data!$B$1:$C$1, 0)-1)*8+5,2)</f>
        <v>8241</v>
      </c>
      <c r="C10" s="39">
        <f>INDEX(Data!$A$3:$G$18,(MATCH($B$3,Data!$B$1:$C$1, 0)-1)*8+5,3)</f>
        <v>3.62</v>
      </c>
      <c r="D10" s="40">
        <f>INDEX(Data!$A$3:$G$18,(MATCH($B$3,Data!$B$1:$C$1, 0)-1)*8+5,4)</f>
        <v>4</v>
      </c>
      <c r="E10" s="39">
        <f>INDEX(Data!$A$3:$G$18,(MATCH($B$3,Data!$B$1:$C$1, 0)-1)*8+5,5)</f>
        <v>9.2799999999999994</v>
      </c>
      <c r="F10" s="39">
        <f>INDEX(Data!$A$3:$G$18,(MATCH($B$3,Data!$B$1:$C$1, 0)-1)*8+5,6)</f>
        <v>8.58</v>
      </c>
      <c r="G10" s="41">
        <f>INDEX(Data!$A$3:$G$18,(MATCH($B$3,Data!$B$1:$C$1, 0)-1)*8+5,7)</f>
        <v>76460</v>
      </c>
      <c r="H10" s="46"/>
      <c r="I10" s="47"/>
      <c r="K10" s="47"/>
      <c r="L10" s="47"/>
    </row>
    <row r="11" spans="1:13" s="48" customFormat="1" ht="15" customHeight="1">
      <c r="A11" s="55" t="s">
        <v>21</v>
      </c>
      <c r="B11" s="38">
        <f>INDEX(Data!$A$3:$G$18,(MATCH($B$3,Data!$B$1:$C$1, 0)-1)*8+6,2)</f>
        <v>11369</v>
      </c>
      <c r="C11" s="39">
        <f>INDEX(Data!$A$3:$G$18,(MATCH($B$3,Data!$B$1:$C$1, 0)-1)*8+6,3)</f>
        <v>4.99</v>
      </c>
      <c r="D11" s="40">
        <f>INDEX(Data!$A$3:$G$18,(MATCH($B$3,Data!$B$1:$C$1, 0)-1)*8+6,4)</f>
        <v>3</v>
      </c>
      <c r="E11" s="39">
        <f>INDEX(Data!$A$3:$G$18,(MATCH($B$3,Data!$B$1:$C$1, 0)-1)*8+6,5)</f>
        <v>8.86</v>
      </c>
      <c r="F11" s="39">
        <f>INDEX(Data!$A$3:$G$18,(MATCH($B$3,Data!$B$1:$C$1, 0)-1)*8+6,6)</f>
        <v>7.82</v>
      </c>
      <c r="G11" s="41">
        <f>INDEX(Data!$A$3:$G$18,(MATCH($B$3,Data!$B$1:$C$1, 0)-1)*8+6,7)</f>
        <v>100724</v>
      </c>
      <c r="H11" s="46"/>
      <c r="I11" s="47"/>
      <c r="K11" s="47"/>
      <c r="L11" s="47"/>
    </row>
    <row r="12" spans="1:13" s="48" customFormat="1" ht="15" customHeight="1">
      <c r="A12" s="55" t="s">
        <v>22</v>
      </c>
      <c r="B12" s="38">
        <f>INDEX(Data!$A$3:$G$18,(MATCH($B$3,Data!$B$1:$C$1, 0)-1)*8+7,2)</f>
        <v>31382</v>
      </c>
      <c r="C12" s="39">
        <f>INDEX(Data!$A$3:$G$18,(MATCH($B$3,Data!$B$1:$C$1, 0)-1)*8+7,3)</f>
        <v>13.77</v>
      </c>
      <c r="D12" s="40">
        <f>INDEX(Data!$A$3:$G$18,(MATCH($B$3,Data!$B$1:$C$1, 0)-1)*8+7,4)</f>
        <v>4</v>
      </c>
      <c r="E12" s="39">
        <f>INDEX(Data!$A$3:$G$18,(MATCH($B$3,Data!$B$1:$C$1, 0)-1)*8+7,5)</f>
        <v>9.67</v>
      </c>
      <c r="F12" s="39">
        <f>INDEX(Data!$A$3:$G$18,(MATCH($B$3,Data!$B$1:$C$1, 0)-1)*8+7,6)</f>
        <v>8.4499999999999993</v>
      </c>
      <c r="G12" s="41">
        <f>INDEX(Data!$A$3:$G$18,(MATCH($B$3,Data!$B$1:$C$1, 0)-1)*8+7,7)</f>
        <v>303480</v>
      </c>
      <c r="H12" s="46"/>
      <c r="I12" s="47"/>
      <c r="K12" s="47"/>
      <c r="L12" s="47"/>
      <c r="M12" s="149"/>
    </row>
    <row r="13" spans="1:13" s="28" customFormat="1" ht="15" customHeight="1">
      <c r="A13" s="55" t="str">
        <f>INDEX(Data!$A$3:$G$18,(MATCH($B$3,Data!$B$1:$C$1, 0)-1)*8+8,1)</f>
        <v>Total (Organic disorders included)</v>
      </c>
      <c r="B13" s="56">
        <f>INDEX(Data!$A$3:$G$18,(MATCH($B$3,Data!$B$1:$C$1, 0)-1)*8+8,2)</f>
        <v>227946</v>
      </c>
      <c r="C13" s="42">
        <f>INDEX(Data!$A$3:$G$18,(MATCH($B$3,Data!$B$1:$C$1, 0)-1)*8+8,3)</f>
        <v>100</v>
      </c>
      <c r="D13" s="43">
        <f>INDEX(Data!$A$3:$G$18,(MATCH($B$3,Data!$B$1:$C$1, 0)-1)*8+8,4)</f>
        <v>6</v>
      </c>
      <c r="E13" s="42">
        <f>INDEX(Data!$A$3:$G$18,(MATCH($B$3,Data!$B$1:$C$1, 0)-1)*8+8,5)</f>
        <v>16.079999999999998</v>
      </c>
      <c r="F13" s="42">
        <f>INDEX(Data!$A$3:$G$18,(MATCH($B$3,Data!$B$1:$C$1, 0)-1)*8+8,6)</f>
        <v>14.47</v>
      </c>
      <c r="G13" s="44">
        <f>INDEX(Data!$A$3:$G$18,(MATCH($B$3,Data!$B$1:$C$1, 0)-1)*8+8,7)</f>
        <v>3665276</v>
      </c>
      <c r="H13" s="26"/>
      <c r="I13" s="27"/>
      <c r="K13" s="27"/>
      <c r="L13" s="27"/>
    </row>
    <row r="14" spans="1:13" s="48" customFormat="1" ht="17.25" customHeight="1">
      <c r="A14" s="204" t="s">
        <v>9</v>
      </c>
      <c r="B14" s="198"/>
      <c r="C14" s="223"/>
      <c r="D14" s="223"/>
      <c r="E14" s="215"/>
      <c r="F14" s="223"/>
      <c r="G14" s="223"/>
      <c r="I14" s="46"/>
      <c r="J14" s="46"/>
    </row>
    <row r="15" spans="1:13" s="48" customFormat="1" ht="24" customHeight="1">
      <c r="A15" s="328" t="s">
        <v>192</v>
      </c>
      <c r="B15" s="328"/>
      <c r="C15" s="328"/>
      <c r="D15" s="328"/>
      <c r="E15" s="328"/>
      <c r="F15" s="328"/>
      <c r="G15" s="328"/>
      <c r="I15" s="46"/>
      <c r="J15" s="46"/>
    </row>
    <row r="16" spans="1:13" s="48" customFormat="1" ht="37.5" customHeight="1">
      <c r="A16" s="330" t="s">
        <v>199</v>
      </c>
      <c r="B16" s="330"/>
      <c r="C16" s="330"/>
      <c r="D16" s="330"/>
      <c r="E16" s="330"/>
      <c r="F16" s="330"/>
      <c r="G16" s="330"/>
      <c r="I16" s="46"/>
      <c r="J16" s="46"/>
    </row>
    <row r="17" spans="1:10" s="48" customFormat="1" ht="12" customHeight="1">
      <c r="A17" s="281" t="s">
        <v>10</v>
      </c>
      <c r="B17" s="281"/>
      <c r="C17" s="281"/>
      <c r="D17" s="281"/>
      <c r="E17" s="281"/>
      <c r="F17" s="281"/>
      <c r="G17" s="281"/>
      <c r="I17" s="46"/>
      <c r="J17" s="46"/>
    </row>
    <row r="18" spans="1:10" s="48" customFormat="1" ht="24" customHeight="1">
      <c r="A18" s="329" t="s">
        <v>150</v>
      </c>
      <c r="B18" s="329"/>
      <c r="C18" s="329"/>
      <c r="D18" s="329"/>
      <c r="E18" s="329"/>
      <c r="F18" s="329"/>
      <c r="G18" s="329"/>
      <c r="I18" s="46"/>
      <c r="J18" s="46"/>
    </row>
    <row r="19" spans="1:10" s="48" customFormat="1" ht="12" customHeight="1">
      <c r="A19" s="322" t="s">
        <v>12</v>
      </c>
      <c r="B19" s="148"/>
      <c r="C19" s="148"/>
      <c r="D19" s="148"/>
      <c r="E19" s="148"/>
      <c r="F19" s="148"/>
      <c r="G19" s="148"/>
      <c r="I19" s="46"/>
      <c r="J19" s="46"/>
    </row>
    <row r="20" spans="1:10" s="48" customFormat="1" ht="12" customHeight="1">
      <c r="A20" s="322" t="s">
        <v>312</v>
      </c>
      <c r="B20" s="148"/>
      <c r="C20" s="148"/>
      <c r="D20" s="148"/>
      <c r="E20" s="148"/>
      <c r="F20" s="148"/>
      <c r="G20" s="148"/>
      <c r="I20" s="46"/>
      <c r="J20" s="46"/>
    </row>
    <row r="21" spans="1:10" s="48" customFormat="1" ht="12" customHeight="1">
      <c r="A21" s="323" t="s">
        <v>313</v>
      </c>
      <c r="B21" s="224"/>
      <c r="C21" s="223"/>
      <c r="D21" s="223"/>
      <c r="E21" s="215"/>
      <c r="F21" s="223"/>
      <c r="G21" s="223"/>
      <c r="I21" s="46"/>
      <c r="J21" s="46"/>
    </row>
    <row r="22" spans="1:10" s="48" customFormat="1" ht="12" customHeight="1">
      <c r="A22" s="322" t="s">
        <v>314</v>
      </c>
      <c r="B22" s="148"/>
      <c r="C22" s="148"/>
      <c r="D22" s="148"/>
      <c r="E22" s="148"/>
      <c r="F22" s="148"/>
      <c r="G22" s="148"/>
      <c r="I22" s="46"/>
      <c r="J22" s="46"/>
    </row>
  </sheetData>
  <mergeCells count="3">
    <mergeCell ref="A15:G15"/>
    <mergeCell ref="A18:G18"/>
    <mergeCell ref="A16:G16"/>
  </mergeCells>
  <hyperlinks>
    <hyperlink ref="A2" location="'Table of Contents'!A1" display="Table of Contents"/>
    <hyperlink ref="A16:G16" r:id="rId1" display="† Substance-related disorders presented in this table are mental and behavioural disorders. Users are cautioned not to compare these results with those of the indicator Hospital Stays for Harm Caused by Substance Use reported in the Your Health System web"/>
  </hyperlinks>
  <pageMargins left="0.7" right="0.7" top="0.75" bottom="0.75" header="0.3" footer="0.3"/>
  <pageSetup scale="99" orientation="landscape" r:id="rId2"/>
  <headerFooter>
    <oddFooter>&amp;L&amp;9© 2020 CIHI&amp;R&amp;9&amp;P</oddFooter>
  </headerFooter>
  <colBreaks count="1" manualBreakCount="1">
    <brk id="7" max="1048575" man="1"/>
  </colBreaks>
  <ignoredErrors>
    <ignoredError sqref="C7"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Data!$B$1:$C$1</xm:f>
          </x14:formula1>
          <xm:sqref>B3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FD23"/>
  <sheetViews>
    <sheetView showGridLines="0" topLeftCell="A2" zoomScaleNormal="100" zoomScaleSheetLayoutView="50" workbookViewId="0"/>
  </sheetViews>
  <sheetFormatPr defaultColWidth="9" defaultRowHeight="13.8"/>
  <cols>
    <col min="1" max="1" width="40" style="49" customWidth="1"/>
    <col min="2" max="2" width="11.59765625" style="49" customWidth="1"/>
    <col min="3" max="3" width="13.59765625" style="54" customWidth="1"/>
    <col min="4" max="4" width="13.19921875" style="49" customWidth="1"/>
    <col min="5" max="6" width="11.59765625" style="54" customWidth="1"/>
    <col min="7" max="7" width="11.59765625" style="49" customWidth="1"/>
    <col min="8" max="8" width="9" style="158"/>
    <col min="9" max="9" width="10.19921875" style="158" bestFit="1" customWidth="1"/>
    <col min="10" max="10" width="7.19921875" style="163" customWidth="1"/>
    <col min="11" max="16384" width="9" style="163"/>
  </cols>
  <sheetData>
    <row r="1" spans="1:12" s="311" customFormat="1" ht="20.25" hidden="1" customHeight="1">
      <c r="A1" s="308" t="s">
        <v>209</v>
      </c>
      <c r="B1" s="309"/>
      <c r="C1" s="309"/>
      <c r="D1" s="309"/>
      <c r="E1" s="309"/>
      <c r="F1" s="309"/>
      <c r="G1" s="309"/>
      <c r="H1" s="310"/>
      <c r="I1" s="310"/>
      <c r="J1" s="310"/>
    </row>
    <row r="2" spans="1:12" s="13" customFormat="1" ht="24" customHeight="1">
      <c r="A2" s="16" t="s">
        <v>5</v>
      </c>
      <c r="B2" s="16"/>
      <c r="C2" s="16"/>
    </row>
    <row r="3" spans="1:12" s="243" customFormat="1" ht="18" customHeight="1">
      <c r="A3" s="261" t="s">
        <v>152</v>
      </c>
      <c r="B3" s="259" t="s">
        <v>25</v>
      </c>
      <c r="C3" s="249"/>
    </row>
    <row r="4" spans="1:12" s="60" customFormat="1" ht="25.2" customHeight="1">
      <c r="A4" s="321" t="s">
        <v>315</v>
      </c>
      <c r="B4" s="113"/>
      <c r="C4" s="113"/>
      <c r="D4" s="113"/>
      <c r="E4" s="113"/>
      <c r="F4" s="113"/>
      <c r="G4" s="58"/>
      <c r="H4" s="59"/>
      <c r="I4" s="59"/>
    </row>
    <row r="5" spans="1:12" ht="55.2">
      <c r="A5" s="275" t="s">
        <v>196</v>
      </c>
      <c r="B5" s="276" t="s">
        <v>11</v>
      </c>
      <c r="C5" s="276" t="s">
        <v>197</v>
      </c>
      <c r="D5" s="276" t="s">
        <v>180</v>
      </c>
      <c r="E5" s="277" t="s">
        <v>181</v>
      </c>
      <c r="F5" s="277" t="s">
        <v>184</v>
      </c>
      <c r="G5" s="278" t="s">
        <v>183</v>
      </c>
    </row>
    <row r="6" spans="1:12" ht="15" customHeight="1">
      <c r="A6" s="171" t="s">
        <v>162</v>
      </c>
      <c r="B6" s="50">
        <f>INDEX(Data!$A$21:$G$38,(MATCH($B$3,Data!$B$19:$C$19, 0)-1)*9+1,2)</f>
        <v>1332</v>
      </c>
      <c r="C6" s="72">
        <f>INDEX(Data!$A$21:$G$38,(MATCH($B$3,Data!$B$19:$C$19, 0)-1)*9+1,3)</f>
        <v>4.5</v>
      </c>
      <c r="D6" s="51">
        <f>INDEX(Data!$A$21:$G$38,(MATCH($B$3,Data!$B$19:$C$19, 0)-1)*9+1,4)</f>
        <v>62</v>
      </c>
      <c r="E6" s="52">
        <f>INDEX(Data!$A$21:$G$38,(MATCH($B$3,Data!$B$19:$C$19, 0)-1)*9+1,5)</f>
        <v>179.17</v>
      </c>
      <c r="F6" s="52">
        <f>INDEX(Data!$A$21:$G$38,(MATCH($B$3,Data!$B$19:$C$19, 0)-1)*9+1,6)</f>
        <v>166.64</v>
      </c>
      <c r="G6" s="53">
        <f>INDEX(Data!$A$21:$G$38,(MATCH($B$3,Data!$B$19:$C$19, 0)-1)*9+1,7)</f>
        <v>238656</v>
      </c>
      <c r="I6" s="92"/>
      <c r="K6" s="92"/>
      <c r="L6" s="92"/>
    </row>
    <row r="7" spans="1:12" ht="15" customHeight="1">
      <c r="A7" s="171" t="s">
        <v>163</v>
      </c>
      <c r="B7" s="50">
        <f>INDEX(Data!$A$21:$G$38,(MATCH($B$3,Data!$B$19:$C$19, 0)-1)*9+2,2)</f>
        <v>6107</v>
      </c>
      <c r="C7" s="72">
        <f>INDEX(Data!$A$21:$G$38,(MATCH($B$3,Data!$B$19:$C$19, 0)-1)*9+2,3)</f>
        <v>20.63</v>
      </c>
      <c r="D7" s="51">
        <f>INDEX(Data!$A$21:$G$38,(MATCH($B$3,Data!$B$19:$C$19, 0)-1)*9+2,4)</f>
        <v>14</v>
      </c>
      <c r="E7" s="52">
        <f>INDEX(Data!$A$21:$G$38,(MATCH($B$3,Data!$B$19:$C$19, 0)-1)*9+2,5)</f>
        <v>21.8</v>
      </c>
      <c r="F7" s="52">
        <f>INDEX(Data!$A$21:$G$38,(MATCH($B$3,Data!$B$19:$C$19, 0)-1)*9+2,6)</f>
        <v>20.149999999999999</v>
      </c>
      <c r="G7" s="53">
        <f>INDEX(Data!$A$21:$G$38,(MATCH($B$3,Data!$B$19:$C$19, 0)-1)*9+2,7)</f>
        <v>133161</v>
      </c>
      <c r="I7" s="92"/>
      <c r="K7" s="92"/>
      <c r="L7" s="92"/>
    </row>
    <row r="8" spans="1:12" ht="15" customHeight="1">
      <c r="A8" s="171" t="s">
        <v>18</v>
      </c>
      <c r="B8" s="50">
        <f>INDEX(Data!$A$21:$G$38,(MATCH($B$3,Data!$B$19:$C$19, 0)-1)*9+3,2)</f>
        <v>8918</v>
      </c>
      <c r="C8" s="72">
        <f>INDEX(Data!$A$21:$G$38,(MATCH($B$3,Data!$B$19:$C$19, 0)-1)*9+3,3)</f>
        <v>30.12</v>
      </c>
      <c r="D8" s="51">
        <f>INDEX(Data!$A$21:$G$38,(MATCH($B$3,Data!$B$19:$C$19, 0)-1)*9+3,4)</f>
        <v>31</v>
      </c>
      <c r="E8" s="52">
        <f>INDEX(Data!$A$21:$G$38,(MATCH($B$3,Data!$B$19:$C$19, 0)-1)*9+3,5)</f>
        <v>112.33</v>
      </c>
      <c r="F8" s="52">
        <f>INDEX(Data!$A$21:$G$38,(MATCH($B$3,Data!$B$19:$C$19, 0)-1)*9+3,6)</f>
        <v>88.82</v>
      </c>
      <c r="G8" s="53">
        <f>INDEX(Data!$A$21:$G$38,(MATCH($B$3,Data!$B$19:$C$19, 0)-1)*9+3,7)</f>
        <v>1001749</v>
      </c>
      <c r="I8" s="92"/>
      <c r="K8" s="92"/>
      <c r="L8" s="92"/>
    </row>
    <row r="9" spans="1:12" ht="15" customHeight="1">
      <c r="A9" s="171" t="s">
        <v>19</v>
      </c>
      <c r="B9" s="50">
        <f>INDEX(Data!$A$21:$G$38,(MATCH($B$3,Data!$B$19:$C$19, 0)-1)*9+4,2)</f>
        <v>6555</v>
      </c>
      <c r="C9" s="72">
        <f>INDEX(Data!$A$21:$G$38,(MATCH($B$3,Data!$B$19:$C$19, 0)-1)*9+4,3)</f>
        <v>22.14</v>
      </c>
      <c r="D9" s="51">
        <f>INDEX(Data!$A$21:$G$38,(MATCH($B$3,Data!$B$19:$C$19, 0)-1)*9+4,4)</f>
        <v>20</v>
      </c>
      <c r="E9" s="52">
        <f>INDEX(Data!$A$21:$G$38,(MATCH($B$3,Data!$B$19:$C$19, 0)-1)*9+4,5)</f>
        <v>39.590000000000003</v>
      </c>
      <c r="F9" s="52">
        <f>INDEX(Data!$A$21:$G$38,(MATCH($B$3,Data!$B$19:$C$19, 0)-1)*9+4,6)</f>
        <v>35.67</v>
      </c>
      <c r="G9" s="53">
        <f>INDEX(Data!$A$21:$G$38,(MATCH($B$3,Data!$B$19:$C$19, 0)-1)*9+4,7)</f>
        <v>259536</v>
      </c>
      <c r="I9" s="92"/>
      <c r="K9" s="92"/>
      <c r="L9" s="92"/>
    </row>
    <row r="10" spans="1:12" ht="15" customHeight="1">
      <c r="A10" s="171" t="s">
        <v>20</v>
      </c>
      <c r="B10" s="50">
        <f>INDEX(Data!$A$21:$G$38,(MATCH($B$3,Data!$B$19:$C$19, 0)-1)*9+5,2)</f>
        <v>608</v>
      </c>
      <c r="C10" s="72">
        <f>INDEX(Data!$A$21:$G$38,(MATCH($B$3,Data!$B$19:$C$19, 0)-1)*9+5,3)</f>
        <v>2.0499999999999998</v>
      </c>
      <c r="D10" s="51">
        <f>INDEX(Data!$A$21:$G$38,(MATCH($B$3,Data!$B$19:$C$19, 0)-1)*9+5,4)</f>
        <v>10</v>
      </c>
      <c r="E10" s="52">
        <f>INDEX(Data!$A$21:$G$38,(MATCH($B$3,Data!$B$19:$C$19, 0)-1)*9+5,5)</f>
        <v>31.77</v>
      </c>
      <c r="F10" s="52">
        <f>INDEX(Data!$A$21:$G$38,(MATCH($B$3,Data!$B$19:$C$19, 0)-1)*9+5,6)</f>
        <v>22.43</v>
      </c>
      <c r="G10" s="53">
        <f>INDEX(Data!$A$21:$G$38,(MATCH($B$3,Data!$B$19:$C$19, 0)-1)*9+5,7)</f>
        <v>19317</v>
      </c>
      <c r="I10" s="92"/>
      <c r="K10" s="92"/>
      <c r="L10" s="92"/>
    </row>
    <row r="11" spans="1:12" ht="15" customHeight="1">
      <c r="A11" s="171" t="s">
        <v>21</v>
      </c>
      <c r="B11" s="50">
        <f>INDEX(Data!$A$21:$G$38,(MATCH($B$3,Data!$B$19:$C$19, 0)-1)*9+6,2)</f>
        <v>2149</v>
      </c>
      <c r="C11" s="72">
        <f>INDEX(Data!$A$21:$G$38,(MATCH($B$3,Data!$B$19:$C$19, 0)-1)*9+6,3)</f>
        <v>7.26</v>
      </c>
      <c r="D11" s="51">
        <f>INDEX(Data!$A$21:$G$38,(MATCH($B$3,Data!$B$19:$C$19, 0)-1)*9+6,4)</f>
        <v>6</v>
      </c>
      <c r="E11" s="52">
        <f>INDEX(Data!$A$21:$G$38,(MATCH($B$3,Data!$B$19:$C$19, 0)-1)*9+6,5)</f>
        <v>25.47</v>
      </c>
      <c r="F11" s="52">
        <f>INDEX(Data!$A$21:$G$38,(MATCH($B$3,Data!$B$19:$C$19, 0)-1)*9+6,6)</f>
        <v>18.63</v>
      </c>
      <c r="G11" s="53">
        <f>INDEX(Data!$A$21:$G$38,(MATCH($B$3,Data!$B$19:$C$19, 0)-1)*9+6,7)</f>
        <v>54731</v>
      </c>
      <c r="I11" s="92"/>
      <c r="K11" s="92"/>
      <c r="L11" s="92"/>
    </row>
    <row r="12" spans="1:12" ht="15" customHeight="1">
      <c r="A12" s="171" t="s">
        <v>22</v>
      </c>
      <c r="B12" s="50">
        <f>INDEX(Data!$A$21:$G$38,(MATCH($B$3,Data!$B$19:$C$19, 0)-1)*9+7,2)</f>
        <v>3929</v>
      </c>
      <c r="C12" s="72">
        <f>INDEX(Data!$A$21:$G$38,(MATCH($B$3,Data!$B$19:$C$19, 0)-1)*9+7,3)</f>
        <v>13.27</v>
      </c>
      <c r="D12" s="51">
        <f>INDEX(Data!$A$21:$G$38,(MATCH($B$3,Data!$B$19:$C$19, 0)-1)*9+7,4)</f>
        <v>10</v>
      </c>
      <c r="E12" s="52">
        <f>INDEX(Data!$A$21:$G$38,(MATCH($B$3,Data!$B$19:$C$19, 0)-1)*9+7,5)</f>
        <v>53.19</v>
      </c>
      <c r="F12" s="52">
        <f>INDEX(Data!$A$21:$G$38,(MATCH($B$3,Data!$B$19:$C$19, 0)-1)*9+7,6)</f>
        <v>34.450000000000003</v>
      </c>
      <c r="G12" s="53">
        <f>INDEX(Data!$A$21:$G$38,(MATCH($B$3,Data!$B$19:$C$19, 0)-1)*9+7,7)</f>
        <v>208971</v>
      </c>
      <c r="I12" s="92"/>
      <c r="K12" s="92"/>
      <c r="L12" s="92"/>
    </row>
    <row r="13" spans="1:12" ht="15" customHeight="1">
      <c r="A13" s="55" t="s">
        <v>29</v>
      </c>
      <c r="B13" s="50">
        <f>INDEX(Data!$A$21:$G$38,(MATCH($B$3,Data!$B$19:$C$19, 0)-1)*9+8,2)</f>
        <v>8</v>
      </c>
      <c r="C13" s="72">
        <f>INDEX(Data!$A$21:$G$38,(MATCH($B$3,Data!$B$19:$C$19, 0)-1)*9+8,3)</f>
        <v>0.03</v>
      </c>
      <c r="D13" s="51">
        <f>INDEX(Data!$A$21:$G$38,(MATCH($B$3,Data!$B$19:$C$19, 0)-1)*9+8,4)</f>
        <v>11.5</v>
      </c>
      <c r="E13" s="52">
        <f>INDEX(Data!$A$21:$G$38,(MATCH($B$3,Data!$B$19:$C$19, 0)-1)*9+8,5)</f>
        <v>354.63</v>
      </c>
      <c r="F13" s="52">
        <f>INDEX(Data!$A$21:$G$38,(MATCH($B$3,Data!$B$19:$C$19, 0)-1)*9+8,6)</f>
        <v>115.83</v>
      </c>
      <c r="G13" s="53">
        <f>INDEX(Data!$A$21:$G$38,(MATCH($B$3,Data!$B$19:$C$19, 0)-1)*9+8,7)</f>
        <v>2837</v>
      </c>
      <c r="I13" s="92"/>
      <c r="K13" s="92"/>
      <c r="L13" s="92"/>
    </row>
    <row r="14" spans="1:12" s="62" customFormat="1" ht="15" customHeight="1">
      <c r="A14" s="55" t="str">
        <f>INDEX(Data!$A$21:$G$38,(MATCH($B$3,Data!$B$19:$C$19, 0)-1)*9+9,1)</f>
        <v>Total (Organic disorders included)</v>
      </c>
      <c r="B14" s="56">
        <f>INDEX(Data!$A$21:$G$38,(MATCH($B$3,Data!$B$19:$C$19, 0)-1)*9+9,2)</f>
        <v>29606</v>
      </c>
      <c r="C14" s="66">
        <f>INDEX(Data!$A$21:$G$38,(MATCH($B$3,Data!$B$19:$C$19, 0)-1)*9+9,3)</f>
        <v>100</v>
      </c>
      <c r="D14" s="228">
        <f>INDEX(Data!$A$21:$G$38,(MATCH($B$3,Data!$B$19:$C$19, 0)-1)*9+9,4)</f>
        <v>19</v>
      </c>
      <c r="E14" s="66">
        <f>INDEX(Data!$A$21:$G$38,(MATCH($B$3,Data!$B$19:$C$19, 0)-1)*9+9,5)</f>
        <v>64.819999999999993</v>
      </c>
      <c r="F14" s="66">
        <f>INDEX(Data!$A$21:$G$38,(MATCH($B$3,Data!$B$19:$C$19, 0)-1)*9+9,6)</f>
        <v>50.31</v>
      </c>
      <c r="G14" s="57">
        <f>INDEX(Data!$A$21:$G$38,(MATCH($B$3,Data!$B$19:$C$19, 0)-1)*9+9,7)</f>
        <v>1918958</v>
      </c>
      <c r="H14" s="120"/>
      <c r="I14" s="63"/>
      <c r="K14" s="63"/>
      <c r="L14" s="63"/>
    </row>
    <row r="15" spans="1:12" ht="17.25" customHeight="1">
      <c r="A15" s="204" t="s">
        <v>9</v>
      </c>
      <c r="B15" s="61"/>
      <c r="C15" s="61"/>
      <c r="D15" s="61"/>
      <c r="E15" s="61"/>
      <c r="F15" s="61"/>
      <c r="G15" s="61"/>
    </row>
    <row r="16" spans="1:12" ht="24" customHeight="1">
      <c r="A16" s="328" t="s">
        <v>192</v>
      </c>
      <c r="B16" s="328"/>
      <c r="C16" s="328"/>
      <c r="D16" s="328"/>
      <c r="E16" s="328"/>
      <c r="F16" s="328"/>
      <c r="G16" s="328"/>
    </row>
    <row r="17" spans="1:16384" s="240" customFormat="1" ht="37.5" customHeight="1">
      <c r="A17" s="330" t="s">
        <v>199</v>
      </c>
      <c r="B17" s="330"/>
      <c r="C17" s="330"/>
      <c r="D17" s="330"/>
      <c r="E17" s="330"/>
      <c r="F17" s="330"/>
      <c r="G17" s="330"/>
      <c r="H17" s="235"/>
      <c r="I17" s="235"/>
      <c r="J17" s="235"/>
      <c r="K17" s="235"/>
      <c r="L17" s="235"/>
      <c r="M17" s="235"/>
      <c r="N17" s="235"/>
      <c r="O17" s="235"/>
      <c r="P17" s="235"/>
      <c r="Q17" s="235"/>
      <c r="R17" s="235"/>
      <c r="S17" s="235"/>
      <c r="T17" s="235"/>
      <c r="U17" s="235"/>
      <c r="V17" s="235"/>
      <c r="W17" s="235"/>
      <c r="X17" s="235"/>
      <c r="Y17" s="235"/>
      <c r="Z17" s="235"/>
      <c r="AA17" s="235"/>
      <c r="AB17" s="235"/>
      <c r="AC17" s="235"/>
      <c r="AD17" s="235"/>
      <c r="AE17" s="235"/>
      <c r="AF17" s="235"/>
      <c r="AG17" s="235"/>
      <c r="AH17" s="235"/>
      <c r="AI17" s="235"/>
      <c r="AJ17" s="235"/>
      <c r="AK17" s="235"/>
      <c r="AL17" s="235"/>
      <c r="AM17" s="235"/>
      <c r="AN17" s="235"/>
      <c r="AO17" s="235"/>
      <c r="AP17" s="235"/>
      <c r="AQ17" s="235"/>
      <c r="AR17" s="235"/>
      <c r="AS17" s="235"/>
      <c r="AT17" s="235"/>
      <c r="AU17" s="235"/>
      <c r="AV17" s="235"/>
      <c r="AW17" s="235"/>
      <c r="AX17" s="235"/>
      <c r="AY17" s="235"/>
      <c r="AZ17" s="235"/>
      <c r="BA17" s="235"/>
      <c r="BB17" s="235"/>
      <c r="BC17" s="235"/>
      <c r="BD17" s="235"/>
      <c r="BE17" s="235"/>
      <c r="BF17" s="235"/>
      <c r="BG17" s="235"/>
      <c r="BH17" s="235"/>
      <c r="BI17" s="235"/>
      <c r="BJ17" s="235"/>
      <c r="BK17" s="235"/>
      <c r="BL17" s="235"/>
      <c r="BM17" s="235"/>
      <c r="BN17" s="235"/>
      <c r="BO17" s="235"/>
      <c r="BP17" s="235"/>
      <c r="BQ17" s="235"/>
      <c r="BR17" s="235"/>
      <c r="BS17" s="235"/>
      <c r="BT17" s="235"/>
      <c r="BU17" s="235"/>
      <c r="BV17" s="235"/>
      <c r="BW17" s="235"/>
      <c r="BX17" s="235"/>
      <c r="BY17" s="235"/>
      <c r="BZ17" s="235"/>
      <c r="CA17" s="235"/>
      <c r="CB17" s="235"/>
      <c r="CC17" s="235"/>
      <c r="CD17" s="235"/>
      <c r="CE17" s="235"/>
      <c r="CF17" s="235"/>
      <c r="CG17" s="235"/>
      <c r="CH17" s="235"/>
      <c r="CI17" s="235"/>
      <c r="CJ17" s="235"/>
      <c r="CK17" s="235"/>
      <c r="CL17" s="235"/>
      <c r="CM17" s="235"/>
      <c r="CN17" s="235"/>
      <c r="CO17" s="235"/>
      <c r="CP17" s="235"/>
      <c r="CQ17" s="235"/>
      <c r="CR17" s="235"/>
      <c r="CS17" s="235"/>
      <c r="CT17" s="235"/>
      <c r="CU17" s="235"/>
      <c r="CV17" s="235"/>
      <c r="CW17" s="235"/>
      <c r="CX17" s="235"/>
      <c r="CY17" s="235"/>
      <c r="CZ17" s="235"/>
      <c r="DA17" s="235"/>
      <c r="DB17" s="235"/>
      <c r="DC17" s="235"/>
      <c r="DD17" s="235"/>
      <c r="DE17" s="235"/>
      <c r="DF17" s="235"/>
      <c r="DG17" s="235"/>
      <c r="DH17" s="235"/>
      <c r="DI17" s="235"/>
      <c r="DJ17" s="235"/>
      <c r="DK17" s="235"/>
      <c r="DL17" s="235"/>
      <c r="DM17" s="235"/>
      <c r="DN17" s="235"/>
      <c r="DO17" s="235"/>
      <c r="DP17" s="235"/>
      <c r="DQ17" s="235"/>
      <c r="DR17" s="235"/>
      <c r="DS17" s="235"/>
      <c r="DT17" s="235"/>
      <c r="DU17" s="235"/>
      <c r="DV17" s="235"/>
      <c r="DW17" s="235"/>
      <c r="DX17" s="235"/>
      <c r="DY17" s="235"/>
      <c r="DZ17" s="235"/>
      <c r="EA17" s="235"/>
      <c r="EB17" s="235"/>
      <c r="EC17" s="235"/>
      <c r="ED17" s="235"/>
      <c r="EE17" s="235"/>
      <c r="EF17" s="235"/>
      <c r="EG17" s="235"/>
      <c r="EH17" s="235"/>
      <c r="EI17" s="235"/>
      <c r="EJ17" s="235"/>
      <c r="EK17" s="235"/>
      <c r="EL17" s="235"/>
      <c r="EM17" s="235"/>
      <c r="EN17" s="235"/>
      <c r="EO17" s="235"/>
      <c r="EP17" s="235"/>
      <c r="EQ17" s="235"/>
      <c r="ER17" s="235"/>
      <c r="ES17" s="235"/>
      <c r="ET17" s="235"/>
      <c r="EU17" s="235"/>
      <c r="EV17" s="235"/>
      <c r="EW17" s="235"/>
      <c r="EX17" s="235"/>
      <c r="EY17" s="235"/>
      <c r="EZ17" s="235"/>
      <c r="FA17" s="235"/>
      <c r="FB17" s="235"/>
      <c r="FC17" s="235"/>
      <c r="FD17" s="235"/>
      <c r="FE17" s="235"/>
      <c r="FF17" s="235"/>
      <c r="FG17" s="235"/>
      <c r="FH17" s="235"/>
      <c r="FI17" s="235"/>
      <c r="FJ17" s="235"/>
      <c r="FK17" s="235"/>
      <c r="FL17" s="235"/>
      <c r="FM17" s="235"/>
      <c r="FN17" s="235"/>
      <c r="FO17" s="235"/>
      <c r="FP17" s="235"/>
      <c r="FQ17" s="235"/>
      <c r="FR17" s="235"/>
      <c r="FS17" s="235"/>
      <c r="FT17" s="235"/>
      <c r="FU17" s="235"/>
      <c r="FV17" s="235"/>
      <c r="FW17" s="235"/>
      <c r="FX17" s="235"/>
      <c r="FY17" s="235"/>
      <c r="FZ17" s="235"/>
      <c r="GA17" s="235"/>
      <c r="GB17" s="235"/>
      <c r="GC17" s="235"/>
      <c r="GD17" s="235"/>
      <c r="GE17" s="235"/>
      <c r="GF17" s="235"/>
      <c r="GG17" s="235"/>
      <c r="GH17" s="235"/>
      <c r="GI17" s="235"/>
      <c r="GJ17" s="235"/>
      <c r="GK17" s="235"/>
      <c r="GL17" s="235"/>
      <c r="GM17" s="235"/>
      <c r="GN17" s="235"/>
      <c r="GO17" s="235"/>
      <c r="GP17" s="235"/>
      <c r="GQ17" s="235"/>
      <c r="GR17" s="235"/>
      <c r="GS17" s="235"/>
      <c r="GT17" s="235"/>
      <c r="GU17" s="235"/>
      <c r="GV17" s="235"/>
      <c r="GW17" s="235"/>
      <c r="GX17" s="235"/>
      <c r="GY17" s="235"/>
      <c r="GZ17" s="235"/>
      <c r="HA17" s="235"/>
      <c r="HB17" s="235"/>
      <c r="HC17" s="235"/>
      <c r="HD17" s="235"/>
      <c r="HE17" s="235"/>
      <c r="HF17" s="235"/>
      <c r="HG17" s="235"/>
      <c r="HH17" s="235"/>
      <c r="HI17" s="235"/>
      <c r="HJ17" s="235"/>
      <c r="HK17" s="235"/>
      <c r="HL17" s="235"/>
      <c r="HM17" s="235"/>
      <c r="HN17" s="235"/>
      <c r="HO17" s="235"/>
      <c r="HP17" s="235"/>
      <c r="HQ17" s="235"/>
      <c r="HR17" s="235"/>
      <c r="HS17" s="235"/>
      <c r="HT17" s="235"/>
      <c r="HU17" s="235"/>
      <c r="HV17" s="235"/>
      <c r="HW17" s="235"/>
      <c r="HX17" s="235"/>
      <c r="HY17" s="235"/>
      <c r="HZ17" s="235"/>
      <c r="IA17" s="235"/>
      <c r="IB17" s="235"/>
      <c r="IC17" s="235"/>
      <c r="ID17" s="235"/>
      <c r="IE17" s="235"/>
      <c r="IF17" s="235"/>
      <c r="IG17" s="235"/>
      <c r="IH17" s="235"/>
      <c r="II17" s="235"/>
      <c r="IJ17" s="235"/>
      <c r="IK17" s="235"/>
      <c r="IL17" s="235"/>
      <c r="IM17" s="235"/>
      <c r="IN17" s="235"/>
      <c r="IO17" s="235"/>
      <c r="IP17" s="235"/>
      <c r="IQ17" s="235"/>
      <c r="IR17" s="235"/>
      <c r="IS17" s="235"/>
      <c r="IT17" s="235"/>
      <c r="IU17" s="235"/>
      <c r="IV17" s="235"/>
      <c r="IW17" s="235"/>
      <c r="IX17" s="235"/>
      <c r="IY17" s="235"/>
      <c r="IZ17" s="235"/>
      <c r="JA17" s="235"/>
      <c r="JB17" s="235"/>
      <c r="JC17" s="235"/>
      <c r="JD17" s="235"/>
      <c r="JE17" s="235"/>
      <c r="JF17" s="235"/>
      <c r="JG17" s="235"/>
      <c r="JH17" s="235"/>
      <c r="JI17" s="235"/>
      <c r="JJ17" s="235"/>
      <c r="JK17" s="235"/>
      <c r="JL17" s="235"/>
      <c r="JM17" s="235"/>
      <c r="JN17" s="235"/>
      <c r="JO17" s="235"/>
      <c r="JP17" s="235"/>
      <c r="JQ17" s="235"/>
      <c r="JR17" s="235"/>
      <c r="JS17" s="235"/>
      <c r="JT17" s="235"/>
      <c r="JU17" s="235"/>
      <c r="JV17" s="235"/>
      <c r="JW17" s="235"/>
      <c r="JX17" s="235"/>
      <c r="JY17" s="235"/>
      <c r="JZ17" s="235"/>
      <c r="KA17" s="235"/>
      <c r="KB17" s="235"/>
      <c r="KC17" s="235"/>
      <c r="KD17" s="235"/>
      <c r="KE17" s="235"/>
      <c r="KF17" s="235"/>
      <c r="KG17" s="235"/>
      <c r="KH17" s="235"/>
      <c r="KI17" s="235"/>
      <c r="KJ17" s="235"/>
      <c r="KK17" s="235"/>
      <c r="KL17" s="235"/>
      <c r="KM17" s="235"/>
      <c r="KN17" s="235"/>
      <c r="KO17" s="235"/>
      <c r="KP17" s="235"/>
      <c r="KQ17" s="235"/>
      <c r="KR17" s="235"/>
      <c r="KS17" s="235"/>
      <c r="KT17" s="235"/>
      <c r="KU17" s="235"/>
      <c r="KV17" s="235"/>
      <c r="KW17" s="235"/>
      <c r="KX17" s="235"/>
      <c r="KY17" s="235"/>
      <c r="KZ17" s="235"/>
      <c r="LA17" s="235"/>
      <c r="LB17" s="235"/>
      <c r="LC17" s="235"/>
      <c r="LD17" s="235"/>
      <c r="LE17" s="235"/>
      <c r="LF17" s="235"/>
      <c r="LG17" s="235"/>
      <c r="LH17" s="235"/>
      <c r="LI17" s="235"/>
      <c r="LJ17" s="235"/>
      <c r="LK17" s="235"/>
      <c r="LL17" s="235"/>
      <c r="LM17" s="235"/>
      <c r="LN17" s="235"/>
      <c r="LO17" s="235"/>
      <c r="LP17" s="235"/>
      <c r="LQ17" s="235"/>
      <c r="LR17" s="235"/>
      <c r="LS17" s="235"/>
      <c r="LT17" s="235"/>
      <c r="LU17" s="235"/>
      <c r="LV17" s="235"/>
      <c r="LW17" s="235"/>
      <c r="LX17" s="235"/>
      <c r="LY17" s="235"/>
      <c r="LZ17" s="235"/>
      <c r="MA17" s="235"/>
      <c r="MB17" s="235"/>
      <c r="MC17" s="235"/>
      <c r="MD17" s="235"/>
      <c r="ME17" s="235"/>
      <c r="MF17" s="235"/>
      <c r="MG17" s="235"/>
      <c r="MH17" s="235"/>
      <c r="MI17" s="235"/>
      <c r="MJ17" s="235"/>
      <c r="MK17" s="235"/>
      <c r="ML17" s="235"/>
      <c r="MM17" s="235"/>
      <c r="MN17" s="235"/>
      <c r="MO17" s="235"/>
      <c r="MP17" s="235"/>
      <c r="MQ17" s="235"/>
      <c r="MR17" s="235"/>
      <c r="MS17" s="235"/>
      <c r="MT17" s="235"/>
      <c r="MU17" s="235"/>
      <c r="MV17" s="235"/>
      <c r="MW17" s="235"/>
      <c r="MX17" s="235"/>
      <c r="MY17" s="235"/>
      <c r="MZ17" s="235"/>
      <c r="NA17" s="235"/>
      <c r="NB17" s="235"/>
      <c r="NC17" s="235"/>
      <c r="ND17" s="235"/>
      <c r="NE17" s="235"/>
      <c r="NF17" s="235"/>
      <c r="NG17" s="235"/>
      <c r="NH17" s="235"/>
      <c r="NI17" s="235"/>
      <c r="NJ17" s="235"/>
      <c r="NK17" s="235"/>
      <c r="NL17" s="235"/>
      <c r="NM17" s="235"/>
      <c r="NN17" s="235"/>
      <c r="NO17" s="235"/>
      <c r="NP17" s="235"/>
      <c r="NQ17" s="235"/>
      <c r="NR17" s="235"/>
      <c r="NS17" s="235"/>
      <c r="NT17" s="235"/>
      <c r="NU17" s="235"/>
      <c r="NV17" s="235"/>
      <c r="NW17" s="235"/>
      <c r="NX17" s="235"/>
      <c r="NY17" s="235"/>
      <c r="NZ17" s="235"/>
      <c r="OA17" s="235"/>
      <c r="OB17" s="235"/>
      <c r="OC17" s="235"/>
      <c r="OD17" s="235"/>
      <c r="OE17" s="235"/>
      <c r="OF17" s="235"/>
      <c r="OG17" s="235"/>
      <c r="OH17" s="235"/>
      <c r="OI17" s="235"/>
      <c r="OJ17" s="235"/>
      <c r="OK17" s="235"/>
      <c r="OL17" s="235"/>
      <c r="OM17" s="235"/>
      <c r="ON17" s="235"/>
      <c r="OO17" s="235"/>
      <c r="OP17" s="235"/>
      <c r="OQ17" s="235"/>
      <c r="OR17" s="235"/>
      <c r="OS17" s="235"/>
      <c r="OT17" s="235"/>
      <c r="OU17" s="235"/>
      <c r="OV17" s="235"/>
      <c r="OW17" s="235"/>
      <c r="OX17" s="235"/>
      <c r="OY17" s="235"/>
      <c r="OZ17" s="235"/>
      <c r="PA17" s="235"/>
      <c r="PB17" s="235"/>
      <c r="PC17" s="235"/>
      <c r="PD17" s="235"/>
      <c r="PE17" s="235"/>
      <c r="PF17" s="235"/>
      <c r="PG17" s="235"/>
      <c r="PH17" s="235"/>
      <c r="PI17" s="235"/>
      <c r="PJ17" s="235"/>
      <c r="PK17" s="235"/>
      <c r="PL17" s="235"/>
      <c r="PM17" s="235"/>
      <c r="PN17" s="235"/>
      <c r="PO17" s="235"/>
      <c r="PP17" s="235"/>
      <c r="PQ17" s="235"/>
      <c r="PR17" s="235"/>
      <c r="PS17" s="235"/>
      <c r="PT17" s="235"/>
      <c r="PU17" s="235"/>
      <c r="PV17" s="235"/>
      <c r="PW17" s="235"/>
      <c r="PX17" s="235"/>
      <c r="PY17" s="235"/>
      <c r="PZ17" s="235"/>
      <c r="QA17" s="235"/>
      <c r="QB17" s="235"/>
      <c r="QC17" s="235"/>
      <c r="QD17" s="235"/>
      <c r="QE17" s="235"/>
      <c r="QF17" s="235"/>
      <c r="QG17" s="235"/>
      <c r="QH17" s="235"/>
      <c r="QI17" s="235"/>
      <c r="QJ17" s="235"/>
      <c r="QK17" s="235"/>
      <c r="QL17" s="235"/>
      <c r="QM17" s="235"/>
      <c r="QN17" s="235"/>
      <c r="QO17" s="235"/>
      <c r="QP17" s="235"/>
      <c r="QQ17" s="235"/>
      <c r="QR17" s="235"/>
      <c r="QS17" s="235"/>
      <c r="QT17" s="235"/>
      <c r="QU17" s="235"/>
      <c r="QV17" s="235"/>
      <c r="QW17" s="235"/>
      <c r="QX17" s="235"/>
      <c r="QY17" s="235"/>
      <c r="QZ17" s="235"/>
      <c r="RA17" s="235"/>
      <c r="RB17" s="235"/>
      <c r="RC17" s="235"/>
      <c r="RD17" s="235"/>
      <c r="RE17" s="235"/>
      <c r="RF17" s="235"/>
      <c r="RG17" s="235"/>
      <c r="RH17" s="235"/>
      <c r="RI17" s="235"/>
      <c r="RJ17" s="235"/>
      <c r="RK17" s="235"/>
      <c r="RL17" s="235"/>
      <c r="RM17" s="235"/>
      <c r="RN17" s="235"/>
      <c r="RO17" s="235"/>
      <c r="RP17" s="235"/>
      <c r="RQ17" s="235"/>
      <c r="RR17" s="235"/>
      <c r="RS17" s="235"/>
      <c r="RT17" s="235"/>
      <c r="RU17" s="235"/>
      <c r="RV17" s="235"/>
      <c r="RW17" s="235"/>
      <c r="RX17" s="235"/>
      <c r="RY17" s="235"/>
      <c r="RZ17" s="235"/>
      <c r="SA17" s="235"/>
      <c r="SB17" s="235"/>
      <c r="SC17" s="235"/>
      <c r="SD17" s="235"/>
      <c r="SE17" s="235"/>
      <c r="SF17" s="235"/>
      <c r="SG17" s="235"/>
      <c r="SH17" s="235"/>
      <c r="SI17" s="235"/>
      <c r="SJ17" s="235"/>
      <c r="SK17" s="235"/>
      <c r="SL17" s="235"/>
      <c r="SM17" s="235"/>
      <c r="SN17" s="235"/>
      <c r="SO17" s="235"/>
      <c r="SP17" s="235"/>
      <c r="SQ17" s="235"/>
      <c r="SR17" s="235"/>
      <c r="SS17" s="235"/>
      <c r="ST17" s="235"/>
      <c r="SU17" s="235"/>
      <c r="SV17" s="235"/>
      <c r="SW17" s="235"/>
      <c r="SX17" s="235"/>
      <c r="SY17" s="235"/>
      <c r="SZ17" s="235"/>
      <c r="TA17" s="235"/>
      <c r="TB17" s="235"/>
      <c r="TC17" s="235"/>
      <c r="TD17" s="235"/>
      <c r="TE17" s="235"/>
      <c r="TF17" s="235"/>
      <c r="TG17" s="235"/>
      <c r="TH17" s="235"/>
      <c r="TI17" s="235"/>
      <c r="TJ17" s="235"/>
      <c r="TK17" s="235"/>
      <c r="TL17" s="235"/>
      <c r="TM17" s="235"/>
      <c r="TN17" s="235"/>
      <c r="TO17" s="235"/>
      <c r="TP17" s="235"/>
      <c r="TQ17" s="235"/>
      <c r="TR17" s="235"/>
      <c r="TS17" s="235"/>
      <c r="TT17" s="235"/>
      <c r="TU17" s="235"/>
      <c r="TV17" s="235"/>
      <c r="TW17" s="235"/>
      <c r="TX17" s="235"/>
      <c r="TY17" s="235"/>
      <c r="TZ17" s="235"/>
      <c r="UA17" s="235"/>
      <c r="UB17" s="235"/>
      <c r="UC17" s="235"/>
      <c r="UD17" s="235"/>
      <c r="UE17" s="235"/>
      <c r="UF17" s="235"/>
      <c r="UG17" s="235"/>
      <c r="UH17" s="235"/>
      <c r="UI17" s="235"/>
      <c r="UJ17" s="235"/>
      <c r="UK17" s="235"/>
      <c r="UL17" s="235"/>
      <c r="UM17" s="235"/>
      <c r="UN17" s="235"/>
      <c r="UO17" s="235"/>
      <c r="UP17" s="235"/>
      <c r="UQ17" s="235"/>
      <c r="UR17" s="235"/>
      <c r="US17" s="235"/>
      <c r="UT17" s="235"/>
      <c r="UU17" s="235"/>
      <c r="UV17" s="235"/>
      <c r="UW17" s="235"/>
      <c r="UX17" s="235"/>
      <c r="UY17" s="235"/>
      <c r="UZ17" s="235"/>
      <c r="VA17" s="235"/>
      <c r="VB17" s="235"/>
      <c r="VC17" s="235"/>
      <c r="VD17" s="235"/>
      <c r="VE17" s="235"/>
      <c r="VF17" s="235"/>
      <c r="VG17" s="235"/>
      <c r="VH17" s="235"/>
      <c r="VI17" s="235"/>
      <c r="VJ17" s="235"/>
      <c r="VK17" s="235"/>
      <c r="VL17" s="235"/>
      <c r="VM17" s="235"/>
      <c r="VN17" s="235"/>
      <c r="VO17" s="235"/>
      <c r="VP17" s="235"/>
      <c r="VQ17" s="235"/>
      <c r="VR17" s="235"/>
      <c r="VS17" s="235"/>
      <c r="VT17" s="235"/>
      <c r="VU17" s="235"/>
      <c r="VV17" s="235"/>
      <c r="VW17" s="235"/>
      <c r="VX17" s="235"/>
      <c r="VY17" s="235"/>
      <c r="VZ17" s="235"/>
      <c r="WA17" s="235"/>
      <c r="WB17" s="235"/>
      <c r="WC17" s="235"/>
      <c r="WD17" s="235"/>
      <c r="WE17" s="235"/>
      <c r="WF17" s="235"/>
      <c r="WG17" s="235"/>
      <c r="WH17" s="235"/>
      <c r="WI17" s="235"/>
      <c r="WJ17" s="235"/>
      <c r="WK17" s="235"/>
      <c r="WL17" s="235"/>
      <c r="WM17" s="235"/>
      <c r="WN17" s="235"/>
      <c r="WO17" s="235"/>
      <c r="WP17" s="235"/>
      <c r="WQ17" s="235"/>
      <c r="WR17" s="235"/>
      <c r="WS17" s="235"/>
      <c r="WT17" s="235"/>
      <c r="WU17" s="235"/>
      <c r="WV17" s="235"/>
      <c r="WW17" s="235"/>
      <c r="WX17" s="235"/>
      <c r="WY17" s="235"/>
      <c r="WZ17" s="235"/>
      <c r="XA17" s="235"/>
      <c r="XB17" s="235"/>
      <c r="XC17" s="235"/>
      <c r="XD17" s="235"/>
      <c r="XE17" s="235"/>
      <c r="XF17" s="235"/>
      <c r="XG17" s="235"/>
      <c r="XH17" s="235"/>
      <c r="XI17" s="235"/>
      <c r="XJ17" s="235"/>
      <c r="XK17" s="235"/>
      <c r="XL17" s="235"/>
      <c r="XM17" s="235"/>
      <c r="XN17" s="235"/>
      <c r="XO17" s="235"/>
      <c r="XP17" s="235"/>
      <c r="XQ17" s="235"/>
      <c r="XR17" s="235"/>
      <c r="XS17" s="235"/>
      <c r="XT17" s="235"/>
      <c r="XU17" s="235"/>
      <c r="XV17" s="235"/>
      <c r="XW17" s="235"/>
      <c r="XX17" s="235"/>
      <c r="XY17" s="235"/>
      <c r="XZ17" s="235"/>
      <c r="YA17" s="235"/>
      <c r="YB17" s="235"/>
      <c r="YC17" s="235"/>
      <c r="YD17" s="235"/>
      <c r="YE17" s="235"/>
      <c r="YF17" s="235"/>
      <c r="YG17" s="235"/>
      <c r="YH17" s="235"/>
      <c r="YI17" s="235"/>
      <c r="YJ17" s="235"/>
      <c r="YK17" s="235"/>
      <c r="YL17" s="235"/>
      <c r="YM17" s="235"/>
      <c r="YN17" s="235"/>
      <c r="YO17" s="235"/>
      <c r="YP17" s="235"/>
      <c r="YQ17" s="235"/>
      <c r="YR17" s="235"/>
      <c r="YS17" s="235"/>
      <c r="YT17" s="235"/>
      <c r="YU17" s="235"/>
      <c r="YV17" s="235"/>
      <c r="YW17" s="235"/>
      <c r="YX17" s="235"/>
      <c r="YY17" s="235"/>
      <c r="YZ17" s="235"/>
      <c r="ZA17" s="235"/>
      <c r="ZB17" s="235"/>
      <c r="ZC17" s="235"/>
      <c r="ZD17" s="235"/>
      <c r="ZE17" s="235"/>
      <c r="ZF17" s="235"/>
      <c r="ZG17" s="235"/>
      <c r="ZH17" s="235"/>
      <c r="ZI17" s="235"/>
      <c r="ZJ17" s="235"/>
      <c r="ZK17" s="235"/>
      <c r="ZL17" s="235"/>
      <c r="ZM17" s="235"/>
      <c r="ZN17" s="235"/>
      <c r="ZO17" s="235"/>
      <c r="ZP17" s="235"/>
      <c r="ZQ17" s="235"/>
      <c r="ZR17" s="235"/>
      <c r="ZS17" s="235"/>
      <c r="ZT17" s="235"/>
      <c r="ZU17" s="235"/>
      <c r="ZV17" s="235"/>
      <c r="ZW17" s="235"/>
      <c r="ZX17" s="235"/>
      <c r="ZY17" s="235"/>
      <c r="ZZ17" s="235"/>
      <c r="AAA17" s="235"/>
      <c r="AAB17" s="235"/>
      <c r="AAC17" s="235"/>
      <c r="AAD17" s="235"/>
      <c r="AAE17" s="235"/>
      <c r="AAF17" s="235"/>
      <c r="AAG17" s="235"/>
      <c r="AAH17" s="235"/>
      <c r="AAI17" s="235"/>
      <c r="AAJ17" s="235"/>
      <c r="AAK17" s="235"/>
      <c r="AAL17" s="235"/>
      <c r="AAM17" s="235"/>
      <c r="AAN17" s="235"/>
      <c r="AAO17" s="235"/>
      <c r="AAP17" s="235"/>
      <c r="AAQ17" s="235"/>
      <c r="AAR17" s="235"/>
      <c r="AAS17" s="235"/>
      <c r="AAT17" s="235"/>
      <c r="AAU17" s="235"/>
      <c r="AAV17" s="235"/>
      <c r="AAW17" s="235"/>
      <c r="AAX17" s="235"/>
      <c r="AAY17" s="235"/>
      <c r="AAZ17" s="235"/>
      <c r="ABA17" s="235"/>
      <c r="ABB17" s="235"/>
      <c r="ABC17" s="235"/>
      <c r="ABD17" s="235"/>
      <c r="ABE17" s="235"/>
      <c r="ABF17" s="235"/>
      <c r="ABG17" s="235"/>
      <c r="ABH17" s="235"/>
      <c r="ABI17" s="235"/>
      <c r="ABJ17" s="235"/>
      <c r="ABK17" s="235"/>
      <c r="ABL17" s="235"/>
      <c r="ABM17" s="235"/>
      <c r="ABN17" s="235"/>
      <c r="ABO17" s="235"/>
      <c r="ABP17" s="235"/>
      <c r="ABQ17" s="235"/>
      <c r="ABR17" s="235"/>
      <c r="ABS17" s="235"/>
      <c r="ABT17" s="235"/>
      <c r="ABU17" s="235"/>
      <c r="ABV17" s="235"/>
      <c r="ABW17" s="235"/>
      <c r="ABX17" s="235"/>
      <c r="ABY17" s="235"/>
      <c r="ABZ17" s="235"/>
      <c r="ACA17" s="235"/>
      <c r="ACB17" s="235"/>
      <c r="ACC17" s="235"/>
      <c r="ACD17" s="235"/>
      <c r="ACE17" s="235"/>
      <c r="ACF17" s="235"/>
      <c r="ACG17" s="235"/>
      <c r="ACH17" s="235"/>
      <c r="ACI17" s="235"/>
      <c r="ACJ17" s="235"/>
      <c r="ACK17" s="235"/>
      <c r="ACL17" s="235"/>
      <c r="ACM17" s="235"/>
      <c r="ACN17" s="235"/>
      <c r="ACO17" s="235"/>
      <c r="ACP17" s="235"/>
      <c r="ACQ17" s="235"/>
      <c r="ACR17" s="235"/>
      <c r="ACS17" s="235"/>
      <c r="ACT17" s="235"/>
      <c r="ACU17" s="235"/>
      <c r="ACV17" s="235"/>
      <c r="ACW17" s="235"/>
      <c r="ACX17" s="235"/>
      <c r="ACY17" s="235"/>
      <c r="ACZ17" s="235"/>
      <c r="ADA17" s="235"/>
      <c r="ADB17" s="235"/>
      <c r="ADC17" s="235"/>
      <c r="ADD17" s="235"/>
      <c r="ADE17" s="235"/>
      <c r="ADF17" s="235"/>
      <c r="ADG17" s="235"/>
      <c r="ADH17" s="235"/>
      <c r="ADI17" s="235"/>
      <c r="ADJ17" s="235"/>
      <c r="ADK17" s="235"/>
      <c r="ADL17" s="235"/>
      <c r="ADM17" s="235"/>
      <c r="ADN17" s="235"/>
      <c r="ADO17" s="235"/>
      <c r="ADP17" s="235"/>
      <c r="ADQ17" s="235"/>
      <c r="ADR17" s="235"/>
      <c r="ADS17" s="235"/>
      <c r="ADT17" s="235"/>
      <c r="ADU17" s="235"/>
      <c r="ADV17" s="235"/>
      <c r="ADW17" s="235"/>
      <c r="ADX17" s="235"/>
      <c r="ADY17" s="235"/>
      <c r="ADZ17" s="235"/>
      <c r="AEA17" s="235"/>
      <c r="AEB17" s="235"/>
      <c r="AEC17" s="235"/>
      <c r="AED17" s="235"/>
      <c r="AEE17" s="235"/>
      <c r="AEF17" s="235"/>
      <c r="AEG17" s="235"/>
      <c r="AEH17" s="235"/>
      <c r="AEI17" s="235"/>
      <c r="AEJ17" s="235"/>
      <c r="AEK17" s="235"/>
      <c r="AEL17" s="235"/>
      <c r="AEM17" s="235"/>
      <c r="AEN17" s="235"/>
      <c r="AEO17" s="235"/>
      <c r="AEP17" s="235"/>
      <c r="AEQ17" s="235"/>
      <c r="AER17" s="235"/>
      <c r="AES17" s="235"/>
      <c r="AET17" s="235"/>
      <c r="AEU17" s="235"/>
      <c r="AEV17" s="235"/>
      <c r="AEW17" s="235"/>
      <c r="AEX17" s="235"/>
      <c r="AEY17" s="235"/>
      <c r="AEZ17" s="235"/>
      <c r="AFA17" s="235"/>
      <c r="AFB17" s="235"/>
      <c r="AFC17" s="235"/>
      <c r="AFD17" s="235"/>
      <c r="AFE17" s="235"/>
      <c r="AFF17" s="235"/>
      <c r="AFG17" s="235"/>
      <c r="AFH17" s="235"/>
      <c r="AFI17" s="235"/>
      <c r="AFJ17" s="235"/>
      <c r="AFK17" s="235"/>
      <c r="AFL17" s="235"/>
      <c r="AFM17" s="235"/>
      <c r="AFN17" s="235"/>
      <c r="AFO17" s="235"/>
      <c r="AFP17" s="235"/>
      <c r="AFQ17" s="235"/>
      <c r="AFR17" s="235"/>
      <c r="AFS17" s="235"/>
      <c r="AFT17" s="235"/>
      <c r="AFU17" s="235"/>
      <c r="AFV17" s="235"/>
      <c r="AFW17" s="235"/>
      <c r="AFX17" s="235"/>
      <c r="AFY17" s="235"/>
      <c r="AFZ17" s="235"/>
      <c r="AGA17" s="235"/>
      <c r="AGB17" s="235"/>
      <c r="AGC17" s="235"/>
      <c r="AGD17" s="235"/>
      <c r="AGE17" s="235"/>
      <c r="AGF17" s="235"/>
      <c r="AGG17" s="235"/>
      <c r="AGH17" s="235"/>
      <c r="AGI17" s="235"/>
      <c r="AGJ17" s="235"/>
      <c r="AGK17" s="235"/>
      <c r="AGL17" s="235"/>
      <c r="AGM17" s="235"/>
      <c r="AGN17" s="235"/>
      <c r="AGO17" s="235"/>
      <c r="AGP17" s="235"/>
      <c r="AGQ17" s="235"/>
      <c r="AGR17" s="235"/>
      <c r="AGS17" s="235"/>
      <c r="AGT17" s="235"/>
      <c r="AGU17" s="235"/>
      <c r="AGV17" s="235"/>
      <c r="AGW17" s="235"/>
      <c r="AGX17" s="235"/>
      <c r="AGY17" s="235"/>
      <c r="AGZ17" s="235"/>
      <c r="AHA17" s="235"/>
      <c r="AHB17" s="235"/>
      <c r="AHC17" s="235"/>
      <c r="AHD17" s="235"/>
      <c r="AHE17" s="235"/>
      <c r="AHF17" s="235"/>
      <c r="AHG17" s="235"/>
      <c r="AHH17" s="235"/>
      <c r="AHI17" s="235"/>
      <c r="AHJ17" s="235"/>
      <c r="AHK17" s="235"/>
      <c r="AHL17" s="235"/>
      <c r="AHM17" s="235"/>
      <c r="AHN17" s="235"/>
      <c r="AHO17" s="235"/>
      <c r="AHP17" s="235"/>
      <c r="AHQ17" s="235"/>
      <c r="AHR17" s="235"/>
      <c r="AHS17" s="235"/>
      <c r="AHT17" s="235"/>
      <c r="AHU17" s="235"/>
      <c r="AHV17" s="235"/>
      <c r="AHW17" s="235"/>
      <c r="AHX17" s="235"/>
      <c r="AHY17" s="235"/>
      <c r="AHZ17" s="235"/>
      <c r="AIA17" s="235"/>
      <c r="AIB17" s="235"/>
      <c r="AIC17" s="235"/>
      <c r="AID17" s="235"/>
      <c r="AIE17" s="235"/>
      <c r="AIF17" s="235"/>
      <c r="AIG17" s="235"/>
      <c r="AIH17" s="235"/>
      <c r="AII17" s="235"/>
      <c r="AIJ17" s="235"/>
      <c r="AIK17" s="235"/>
      <c r="AIL17" s="235"/>
      <c r="AIM17" s="235"/>
      <c r="AIN17" s="235"/>
      <c r="AIO17" s="235"/>
      <c r="AIP17" s="235"/>
      <c r="AIQ17" s="235"/>
      <c r="AIR17" s="235"/>
      <c r="AIS17" s="235"/>
      <c r="AIT17" s="235"/>
      <c r="AIU17" s="235"/>
      <c r="AIV17" s="235"/>
      <c r="AIW17" s="235"/>
      <c r="AIX17" s="235"/>
      <c r="AIY17" s="235"/>
      <c r="AIZ17" s="235"/>
      <c r="AJA17" s="235"/>
      <c r="AJB17" s="235"/>
      <c r="AJC17" s="235"/>
      <c r="AJD17" s="235"/>
      <c r="AJE17" s="235"/>
      <c r="AJF17" s="235"/>
      <c r="AJG17" s="235"/>
      <c r="AJH17" s="235"/>
      <c r="AJI17" s="235"/>
      <c r="AJJ17" s="235"/>
      <c r="AJK17" s="235"/>
      <c r="AJL17" s="235"/>
      <c r="AJM17" s="235"/>
      <c r="AJN17" s="235"/>
      <c r="AJO17" s="235"/>
      <c r="AJP17" s="235"/>
      <c r="AJQ17" s="235"/>
      <c r="AJR17" s="235"/>
      <c r="AJS17" s="235"/>
      <c r="AJT17" s="235"/>
      <c r="AJU17" s="235"/>
      <c r="AJV17" s="235"/>
      <c r="AJW17" s="235"/>
      <c r="AJX17" s="235"/>
      <c r="AJY17" s="235"/>
      <c r="AJZ17" s="235"/>
      <c r="AKA17" s="235"/>
      <c r="AKB17" s="235"/>
      <c r="AKC17" s="235"/>
      <c r="AKD17" s="235"/>
      <c r="AKE17" s="235"/>
      <c r="AKF17" s="235"/>
      <c r="AKG17" s="235"/>
      <c r="AKH17" s="235"/>
      <c r="AKI17" s="235"/>
      <c r="AKJ17" s="235"/>
      <c r="AKK17" s="235"/>
      <c r="AKL17" s="235"/>
      <c r="AKM17" s="235"/>
      <c r="AKN17" s="235"/>
      <c r="AKO17" s="235"/>
      <c r="AKP17" s="235"/>
      <c r="AKQ17" s="235"/>
      <c r="AKR17" s="235"/>
      <c r="AKS17" s="235"/>
      <c r="AKT17" s="235"/>
      <c r="AKU17" s="235"/>
      <c r="AKV17" s="235"/>
      <c r="AKW17" s="235"/>
      <c r="AKX17" s="235"/>
      <c r="AKY17" s="235"/>
      <c r="AKZ17" s="235"/>
      <c r="ALA17" s="235"/>
      <c r="ALB17" s="235"/>
      <c r="ALC17" s="235"/>
      <c r="ALD17" s="235"/>
      <c r="ALE17" s="235"/>
      <c r="ALF17" s="235"/>
      <c r="ALG17" s="235"/>
      <c r="ALH17" s="235"/>
      <c r="ALI17" s="235"/>
      <c r="ALJ17" s="235"/>
      <c r="ALK17" s="235"/>
      <c r="ALL17" s="235"/>
      <c r="ALM17" s="235"/>
      <c r="ALN17" s="235"/>
      <c r="ALO17" s="235"/>
      <c r="ALP17" s="235"/>
      <c r="ALQ17" s="235"/>
      <c r="ALR17" s="235"/>
      <c r="ALS17" s="235"/>
      <c r="ALT17" s="235"/>
      <c r="ALU17" s="235"/>
      <c r="ALV17" s="235"/>
      <c r="ALW17" s="235"/>
      <c r="ALX17" s="235"/>
      <c r="ALY17" s="235"/>
      <c r="ALZ17" s="235"/>
      <c r="AMA17" s="235"/>
      <c r="AMB17" s="235"/>
      <c r="AMC17" s="235"/>
      <c r="AMD17" s="235"/>
      <c r="AME17" s="235"/>
      <c r="AMF17" s="235"/>
      <c r="AMG17" s="235"/>
      <c r="AMH17" s="235"/>
      <c r="AMI17" s="235"/>
      <c r="AMJ17" s="235"/>
      <c r="AMK17" s="235"/>
      <c r="AML17" s="235"/>
      <c r="AMM17" s="235"/>
      <c r="AMN17" s="235"/>
      <c r="AMO17" s="235"/>
      <c r="AMP17" s="235"/>
      <c r="AMQ17" s="235"/>
      <c r="AMR17" s="235"/>
      <c r="AMS17" s="235"/>
      <c r="AMT17" s="235"/>
      <c r="AMU17" s="235"/>
      <c r="AMV17" s="235"/>
      <c r="AMW17" s="235"/>
      <c r="AMX17" s="235"/>
      <c r="AMY17" s="235"/>
      <c r="AMZ17" s="235"/>
      <c r="ANA17" s="235"/>
      <c r="ANB17" s="235"/>
      <c r="ANC17" s="235"/>
      <c r="AND17" s="235"/>
      <c r="ANE17" s="235"/>
      <c r="ANF17" s="235"/>
      <c r="ANG17" s="235"/>
      <c r="ANH17" s="235"/>
      <c r="ANI17" s="235"/>
      <c r="ANJ17" s="235"/>
      <c r="ANK17" s="235"/>
      <c r="ANL17" s="235"/>
      <c r="ANM17" s="235"/>
      <c r="ANN17" s="235"/>
      <c r="ANO17" s="235"/>
      <c r="ANP17" s="235"/>
      <c r="ANQ17" s="235"/>
      <c r="ANR17" s="235"/>
      <c r="ANS17" s="235"/>
      <c r="ANT17" s="235"/>
      <c r="ANU17" s="235"/>
      <c r="ANV17" s="235"/>
      <c r="ANW17" s="235"/>
      <c r="ANX17" s="235"/>
      <c r="ANY17" s="235"/>
      <c r="ANZ17" s="235"/>
      <c r="AOA17" s="235"/>
      <c r="AOB17" s="235"/>
      <c r="AOC17" s="235"/>
      <c r="AOD17" s="235"/>
      <c r="AOE17" s="235"/>
      <c r="AOF17" s="235"/>
      <c r="AOG17" s="235"/>
      <c r="AOH17" s="235"/>
      <c r="AOI17" s="235"/>
      <c r="AOJ17" s="235"/>
      <c r="AOK17" s="235"/>
      <c r="AOL17" s="235"/>
      <c r="AOM17" s="235"/>
      <c r="AON17" s="235"/>
      <c r="AOO17" s="235"/>
      <c r="AOP17" s="235"/>
      <c r="AOQ17" s="235"/>
      <c r="AOR17" s="235"/>
      <c r="AOS17" s="235"/>
      <c r="AOT17" s="235"/>
      <c r="AOU17" s="235"/>
      <c r="AOV17" s="235"/>
      <c r="AOW17" s="235"/>
      <c r="AOX17" s="235"/>
      <c r="AOY17" s="235"/>
      <c r="AOZ17" s="235"/>
      <c r="APA17" s="235"/>
      <c r="APB17" s="235"/>
      <c r="APC17" s="235"/>
      <c r="APD17" s="235"/>
      <c r="APE17" s="235"/>
      <c r="APF17" s="235"/>
      <c r="APG17" s="235"/>
      <c r="APH17" s="235"/>
      <c r="API17" s="235"/>
      <c r="APJ17" s="235"/>
      <c r="APK17" s="235"/>
      <c r="APL17" s="235"/>
      <c r="APM17" s="235"/>
      <c r="APN17" s="235"/>
      <c r="APO17" s="235"/>
      <c r="APP17" s="235"/>
      <c r="APQ17" s="235"/>
      <c r="APR17" s="235"/>
      <c r="APS17" s="235"/>
      <c r="APT17" s="235"/>
      <c r="APU17" s="235"/>
      <c r="APV17" s="235"/>
      <c r="APW17" s="235"/>
      <c r="APX17" s="235"/>
      <c r="APY17" s="235"/>
      <c r="APZ17" s="235"/>
      <c r="AQA17" s="235"/>
      <c r="AQB17" s="235"/>
      <c r="AQC17" s="235"/>
      <c r="AQD17" s="235"/>
      <c r="AQE17" s="235"/>
      <c r="AQF17" s="235"/>
      <c r="AQG17" s="235"/>
      <c r="AQH17" s="235"/>
      <c r="AQI17" s="235"/>
      <c r="AQJ17" s="235"/>
      <c r="AQK17" s="235"/>
      <c r="AQL17" s="235"/>
      <c r="AQM17" s="235"/>
      <c r="AQN17" s="235"/>
      <c r="AQO17" s="235"/>
      <c r="AQP17" s="235"/>
      <c r="AQQ17" s="235"/>
      <c r="AQR17" s="235"/>
      <c r="AQS17" s="235"/>
      <c r="AQT17" s="235"/>
      <c r="AQU17" s="235"/>
      <c r="AQV17" s="235"/>
      <c r="AQW17" s="235"/>
      <c r="AQX17" s="235"/>
      <c r="AQY17" s="235"/>
      <c r="AQZ17" s="235"/>
      <c r="ARA17" s="235"/>
      <c r="ARB17" s="235"/>
      <c r="ARC17" s="235"/>
      <c r="ARD17" s="235"/>
      <c r="ARE17" s="235"/>
      <c r="ARF17" s="235"/>
      <c r="ARG17" s="235"/>
      <c r="ARH17" s="235"/>
      <c r="ARI17" s="235"/>
      <c r="ARJ17" s="235"/>
      <c r="ARK17" s="235"/>
      <c r="ARL17" s="235"/>
      <c r="ARM17" s="235"/>
      <c r="ARN17" s="235"/>
      <c r="ARO17" s="235"/>
      <c r="ARP17" s="235"/>
      <c r="ARQ17" s="235"/>
      <c r="ARR17" s="235"/>
      <c r="ARS17" s="235"/>
      <c r="ART17" s="235"/>
      <c r="ARU17" s="235"/>
      <c r="ARV17" s="235"/>
      <c r="ARW17" s="235"/>
      <c r="ARX17" s="235"/>
      <c r="ARY17" s="235"/>
      <c r="ARZ17" s="235"/>
      <c r="ASA17" s="235"/>
      <c r="ASB17" s="235"/>
      <c r="ASC17" s="235"/>
      <c r="ASD17" s="235"/>
      <c r="ASE17" s="235"/>
      <c r="ASF17" s="235"/>
      <c r="ASG17" s="235"/>
      <c r="ASH17" s="235"/>
      <c r="ASI17" s="235"/>
      <c r="ASJ17" s="235"/>
      <c r="ASK17" s="235"/>
      <c r="ASL17" s="235"/>
      <c r="ASM17" s="235"/>
      <c r="ASN17" s="235"/>
      <c r="ASO17" s="235"/>
      <c r="ASP17" s="235"/>
      <c r="ASQ17" s="235"/>
      <c r="ASR17" s="235"/>
      <c r="ASS17" s="235"/>
      <c r="AST17" s="235"/>
      <c r="ASU17" s="235"/>
      <c r="ASV17" s="235"/>
      <c r="ASW17" s="235"/>
      <c r="ASX17" s="235"/>
      <c r="ASY17" s="235"/>
      <c r="ASZ17" s="235"/>
      <c r="ATA17" s="235"/>
      <c r="ATB17" s="235"/>
      <c r="ATC17" s="235"/>
      <c r="ATD17" s="235"/>
      <c r="ATE17" s="235"/>
      <c r="ATF17" s="235"/>
      <c r="ATG17" s="235"/>
      <c r="ATH17" s="235"/>
      <c r="ATI17" s="235"/>
      <c r="ATJ17" s="235"/>
      <c r="ATK17" s="235"/>
      <c r="ATL17" s="235"/>
      <c r="ATM17" s="235"/>
      <c r="ATN17" s="235"/>
      <c r="ATO17" s="235"/>
      <c r="ATP17" s="235"/>
      <c r="ATQ17" s="235"/>
      <c r="ATR17" s="235"/>
      <c r="ATS17" s="235"/>
      <c r="ATT17" s="235"/>
      <c r="ATU17" s="235"/>
      <c r="ATV17" s="235"/>
      <c r="ATW17" s="235"/>
      <c r="ATX17" s="235"/>
      <c r="ATY17" s="235"/>
      <c r="ATZ17" s="235"/>
      <c r="AUA17" s="235"/>
      <c r="AUB17" s="235"/>
      <c r="AUC17" s="235"/>
      <c r="AUD17" s="235"/>
      <c r="AUE17" s="235"/>
      <c r="AUF17" s="235"/>
      <c r="AUG17" s="235"/>
      <c r="AUH17" s="235"/>
      <c r="AUI17" s="235"/>
      <c r="AUJ17" s="235"/>
      <c r="AUK17" s="235"/>
      <c r="AUL17" s="235"/>
      <c r="AUM17" s="235"/>
      <c r="AUN17" s="235"/>
      <c r="AUO17" s="235"/>
      <c r="AUP17" s="235"/>
      <c r="AUQ17" s="235"/>
      <c r="AUR17" s="235"/>
      <c r="AUS17" s="235"/>
      <c r="AUT17" s="235"/>
      <c r="AUU17" s="235"/>
      <c r="AUV17" s="235"/>
      <c r="AUW17" s="235"/>
      <c r="AUX17" s="235"/>
      <c r="AUY17" s="235"/>
      <c r="AUZ17" s="235"/>
      <c r="AVA17" s="235"/>
      <c r="AVB17" s="235"/>
      <c r="AVC17" s="235"/>
      <c r="AVD17" s="235"/>
      <c r="AVE17" s="235"/>
      <c r="AVF17" s="235"/>
      <c r="AVG17" s="235"/>
      <c r="AVH17" s="235"/>
      <c r="AVI17" s="235"/>
      <c r="AVJ17" s="235"/>
      <c r="AVK17" s="235"/>
      <c r="AVL17" s="235"/>
      <c r="AVM17" s="235"/>
      <c r="AVN17" s="235"/>
      <c r="AVO17" s="235"/>
      <c r="AVP17" s="235"/>
      <c r="AVQ17" s="235"/>
      <c r="AVR17" s="235"/>
      <c r="AVS17" s="235"/>
      <c r="AVT17" s="235"/>
      <c r="AVU17" s="235"/>
      <c r="AVV17" s="235"/>
      <c r="AVW17" s="235"/>
      <c r="AVX17" s="235"/>
      <c r="AVY17" s="235"/>
      <c r="AVZ17" s="235"/>
      <c r="AWA17" s="235"/>
      <c r="AWB17" s="235"/>
      <c r="AWC17" s="235"/>
      <c r="AWD17" s="235"/>
      <c r="AWE17" s="235"/>
      <c r="AWF17" s="235"/>
      <c r="AWG17" s="235"/>
      <c r="AWH17" s="235"/>
      <c r="AWI17" s="235"/>
      <c r="AWJ17" s="235"/>
      <c r="AWK17" s="235"/>
      <c r="AWL17" s="235"/>
      <c r="AWM17" s="235"/>
      <c r="AWN17" s="235"/>
      <c r="AWO17" s="235"/>
      <c r="AWP17" s="235"/>
      <c r="AWQ17" s="235"/>
      <c r="AWR17" s="235"/>
      <c r="AWS17" s="235"/>
      <c r="AWT17" s="235"/>
      <c r="AWU17" s="235"/>
      <c r="AWV17" s="235"/>
      <c r="AWW17" s="235"/>
      <c r="AWX17" s="235"/>
      <c r="AWY17" s="235"/>
      <c r="AWZ17" s="235"/>
      <c r="AXA17" s="235"/>
      <c r="AXB17" s="235"/>
      <c r="AXC17" s="235"/>
      <c r="AXD17" s="235"/>
      <c r="AXE17" s="235"/>
      <c r="AXF17" s="235"/>
      <c r="AXG17" s="235"/>
      <c r="AXH17" s="235"/>
      <c r="AXI17" s="235"/>
      <c r="AXJ17" s="235"/>
      <c r="AXK17" s="235"/>
      <c r="AXL17" s="235"/>
      <c r="AXM17" s="235"/>
      <c r="AXN17" s="235"/>
      <c r="AXO17" s="235"/>
      <c r="AXP17" s="235"/>
      <c r="AXQ17" s="235"/>
      <c r="AXR17" s="235"/>
      <c r="AXS17" s="235"/>
      <c r="AXT17" s="235"/>
      <c r="AXU17" s="235"/>
      <c r="AXV17" s="235"/>
      <c r="AXW17" s="235"/>
      <c r="AXX17" s="235"/>
      <c r="AXY17" s="235"/>
      <c r="AXZ17" s="235"/>
      <c r="AYA17" s="235"/>
      <c r="AYB17" s="235"/>
      <c r="AYC17" s="235"/>
      <c r="AYD17" s="235"/>
      <c r="AYE17" s="235"/>
      <c r="AYF17" s="235"/>
      <c r="AYG17" s="235"/>
      <c r="AYH17" s="235"/>
      <c r="AYI17" s="235"/>
      <c r="AYJ17" s="235"/>
      <c r="AYK17" s="235"/>
      <c r="AYL17" s="235"/>
      <c r="AYM17" s="235"/>
      <c r="AYN17" s="235"/>
      <c r="AYO17" s="235"/>
      <c r="AYP17" s="235"/>
      <c r="AYQ17" s="235"/>
      <c r="AYR17" s="235"/>
      <c r="AYS17" s="235"/>
      <c r="AYT17" s="235"/>
      <c r="AYU17" s="235"/>
      <c r="AYV17" s="235"/>
      <c r="AYW17" s="235"/>
      <c r="AYX17" s="235"/>
      <c r="AYY17" s="235"/>
      <c r="AYZ17" s="235"/>
      <c r="AZA17" s="235"/>
      <c r="AZB17" s="235"/>
      <c r="AZC17" s="235"/>
      <c r="AZD17" s="235"/>
      <c r="AZE17" s="235"/>
      <c r="AZF17" s="235"/>
      <c r="AZG17" s="235"/>
      <c r="AZH17" s="235"/>
      <c r="AZI17" s="235"/>
      <c r="AZJ17" s="235"/>
      <c r="AZK17" s="235"/>
      <c r="AZL17" s="235"/>
      <c r="AZM17" s="235"/>
      <c r="AZN17" s="235"/>
      <c r="AZO17" s="235"/>
      <c r="AZP17" s="235"/>
      <c r="AZQ17" s="235"/>
      <c r="AZR17" s="235"/>
      <c r="AZS17" s="235"/>
      <c r="AZT17" s="235"/>
      <c r="AZU17" s="235"/>
      <c r="AZV17" s="235"/>
      <c r="AZW17" s="235"/>
      <c r="AZX17" s="235"/>
      <c r="AZY17" s="235"/>
      <c r="AZZ17" s="235"/>
      <c r="BAA17" s="235"/>
      <c r="BAB17" s="235"/>
      <c r="BAC17" s="235"/>
      <c r="BAD17" s="235"/>
      <c r="BAE17" s="235"/>
      <c r="BAF17" s="235"/>
      <c r="BAG17" s="235"/>
      <c r="BAH17" s="235"/>
      <c r="BAI17" s="235"/>
      <c r="BAJ17" s="235"/>
      <c r="BAK17" s="235"/>
      <c r="BAL17" s="235"/>
      <c r="BAM17" s="235"/>
      <c r="BAN17" s="235"/>
      <c r="BAO17" s="235"/>
      <c r="BAP17" s="235"/>
      <c r="BAQ17" s="235"/>
      <c r="BAR17" s="235"/>
      <c r="BAS17" s="235"/>
      <c r="BAT17" s="235"/>
      <c r="BAU17" s="235"/>
      <c r="BAV17" s="235"/>
      <c r="BAW17" s="235"/>
      <c r="BAX17" s="235"/>
      <c r="BAY17" s="235"/>
      <c r="BAZ17" s="235"/>
      <c r="BBA17" s="235"/>
      <c r="BBB17" s="235"/>
      <c r="BBC17" s="235"/>
      <c r="BBD17" s="235"/>
      <c r="BBE17" s="235"/>
      <c r="BBF17" s="235"/>
      <c r="BBG17" s="235"/>
      <c r="BBH17" s="235"/>
      <c r="BBI17" s="235"/>
      <c r="BBJ17" s="235"/>
      <c r="BBK17" s="235"/>
      <c r="BBL17" s="235"/>
      <c r="BBM17" s="235"/>
      <c r="BBN17" s="235"/>
      <c r="BBO17" s="235"/>
      <c r="BBP17" s="235"/>
      <c r="BBQ17" s="235"/>
      <c r="BBR17" s="235"/>
      <c r="BBS17" s="235"/>
      <c r="BBT17" s="235"/>
      <c r="BBU17" s="235"/>
      <c r="BBV17" s="235"/>
      <c r="BBW17" s="235"/>
      <c r="BBX17" s="235"/>
      <c r="BBY17" s="235"/>
      <c r="BBZ17" s="235"/>
      <c r="BCA17" s="235"/>
      <c r="BCB17" s="235"/>
      <c r="BCC17" s="235"/>
      <c r="BCD17" s="235"/>
      <c r="BCE17" s="235"/>
      <c r="BCF17" s="235"/>
      <c r="BCG17" s="235"/>
      <c r="BCH17" s="235"/>
      <c r="BCI17" s="235"/>
      <c r="BCJ17" s="235"/>
      <c r="BCK17" s="235"/>
      <c r="BCL17" s="235"/>
      <c r="BCM17" s="235"/>
      <c r="BCN17" s="235"/>
      <c r="BCO17" s="235"/>
      <c r="BCP17" s="235"/>
      <c r="BCQ17" s="235"/>
      <c r="BCR17" s="235"/>
      <c r="BCS17" s="235"/>
      <c r="BCT17" s="235"/>
      <c r="BCU17" s="235"/>
      <c r="BCV17" s="235"/>
      <c r="BCW17" s="235"/>
      <c r="BCX17" s="235"/>
      <c r="BCY17" s="235"/>
      <c r="BCZ17" s="235"/>
      <c r="BDA17" s="235"/>
      <c r="BDB17" s="235"/>
      <c r="BDC17" s="235"/>
      <c r="BDD17" s="235"/>
      <c r="BDE17" s="235"/>
      <c r="BDF17" s="235"/>
      <c r="BDG17" s="235"/>
      <c r="BDH17" s="235"/>
      <c r="BDI17" s="235"/>
      <c r="BDJ17" s="235"/>
      <c r="BDK17" s="235"/>
      <c r="BDL17" s="235"/>
      <c r="BDM17" s="235"/>
      <c r="BDN17" s="235"/>
      <c r="BDO17" s="235"/>
      <c r="BDP17" s="235"/>
      <c r="BDQ17" s="235"/>
      <c r="BDR17" s="235"/>
      <c r="BDS17" s="235"/>
      <c r="BDT17" s="235"/>
      <c r="BDU17" s="235"/>
      <c r="BDV17" s="235"/>
      <c r="BDW17" s="235"/>
      <c r="BDX17" s="235"/>
      <c r="BDY17" s="235"/>
      <c r="BDZ17" s="235"/>
      <c r="BEA17" s="235"/>
      <c r="BEB17" s="235"/>
      <c r="BEC17" s="235"/>
      <c r="BED17" s="235"/>
      <c r="BEE17" s="235"/>
      <c r="BEF17" s="235"/>
      <c r="BEG17" s="235"/>
      <c r="BEH17" s="235"/>
      <c r="BEI17" s="235"/>
      <c r="BEJ17" s="235"/>
      <c r="BEK17" s="235"/>
      <c r="BEL17" s="235"/>
      <c r="BEM17" s="235"/>
      <c r="BEN17" s="235"/>
      <c r="BEO17" s="235"/>
      <c r="BEP17" s="235"/>
      <c r="BEQ17" s="235"/>
      <c r="BER17" s="235"/>
      <c r="BES17" s="235"/>
      <c r="BET17" s="235"/>
      <c r="BEU17" s="235"/>
      <c r="BEV17" s="235"/>
      <c r="BEW17" s="235"/>
      <c r="BEX17" s="235"/>
      <c r="BEY17" s="235"/>
      <c r="BEZ17" s="235"/>
      <c r="BFA17" s="235"/>
      <c r="BFB17" s="235"/>
      <c r="BFC17" s="235"/>
      <c r="BFD17" s="235"/>
      <c r="BFE17" s="235"/>
      <c r="BFF17" s="235"/>
      <c r="BFG17" s="235"/>
      <c r="BFH17" s="235"/>
      <c r="BFI17" s="235"/>
      <c r="BFJ17" s="235"/>
      <c r="BFK17" s="235"/>
      <c r="BFL17" s="235"/>
      <c r="BFM17" s="235"/>
      <c r="BFN17" s="235"/>
      <c r="BFO17" s="235"/>
      <c r="BFP17" s="235"/>
      <c r="BFQ17" s="235"/>
      <c r="BFR17" s="235"/>
      <c r="BFS17" s="235"/>
      <c r="BFT17" s="235"/>
      <c r="BFU17" s="235"/>
      <c r="BFV17" s="235"/>
      <c r="BFW17" s="235"/>
      <c r="BFX17" s="235"/>
      <c r="BFY17" s="235"/>
      <c r="BFZ17" s="235"/>
      <c r="BGA17" s="235"/>
      <c r="BGB17" s="235"/>
      <c r="BGC17" s="235"/>
      <c r="BGD17" s="235"/>
      <c r="BGE17" s="235"/>
      <c r="BGF17" s="235"/>
      <c r="BGG17" s="235"/>
      <c r="BGH17" s="235"/>
      <c r="BGI17" s="235"/>
      <c r="BGJ17" s="235"/>
      <c r="BGK17" s="235"/>
      <c r="BGL17" s="235"/>
      <c r="BGM17" s="235"/>
      <c r="BGN17" s="235"/>
      <c r="BGO17" s="235"/>
      <c r="BGP17" s="235"/>
      <c r="BGQ17" s="235"/>
      <c r="BGR17" s="235"/>
      <c r="BGS17" s="235"/>
      <c r="BGT17" s="235"/>
      <c r="BGU17" s="235"/>
      <c r="BGV17" s="235"/>
      <c r="BGW17" s="235"/>
      <c r="BGX17" s="235"/>
      <c r="BGY17" s="235"/>
      <c r="BGZ17" s="235"/>
      <c r="BHA17" s="235"/>
      <c r="BHB17" s="235"/>
      <c r="BHC17" s="235"/>
      <c r="BHD17" s="235"/>
      <c r="BHE17" s="235"/>
      <c r="BHF17" s="235"/>
      <c r="BHG17" s="235"/>
      <c r="BHH17" s="235"/>
      <c r="BHI17" s="235"/>
      <c r="BHJ17" s="235"/>
      <c r="BHK17" s="235"/>
      <c r="BHL17" s="235"/>
      <c r="BHM17" s="235"/>
      <c r="BHN17" s="235"/>
      <c r="BHO17" s="235"/>
      <c r="BHP17" s="235"/>
      <c r="BHQ17" s="235"/>
      <c r="BHR17" s="235"/>
      <c r="BHS17" s="235"/>
      <c r="BHT17" s="235"/>
      <c r="BHU17" s="235"/>
      <c r="BHV17" s="235"/>
      <c r="BHW17" s="235"/>
      <c r="BHX17" s="235"/>
      <c r="BHY17" s="235"/>
      <c r="BHZ17" s="235"/>
      <c r="BIA17" s="235"/>
      <c r="BIB17" s="235"/>
      <c r="BIC17" s="235"/>
      <c r="BID17" s="235"/>
      <c r="BIE17" s="235"/>
      <c r="BIF17" s="235"/>
      <c r="BIG17" s="235"/>
      <c r="BIH17" s="235"/>
      <c r="BII17" s="235"/>
      <c r="BIJ17" s="235"/>
      <c r="BIK17" s="235"/>
      <c r="BIL17" s="235"/>
      <c r="BIM17" s="235"/>
      <c r="BIN17" s="235"/>
      <c r="BIO17" s="235"/>
      <c r="BIP17" s="235"/>
      <c r="BIQ17" s="235"/>
      <c r="BIR17" s="235"/>
      <c r="BIS17" s="235"/>
      <c r="BIT17" s="235"/>
      <c r="BIU17" s="235"/>
      <c r="BIV17" s="235"/>
      <c r="BIW17" s="235"/>
      <c r="BIX17" s="235"/>
      <c r="BIY17" s="235"/>
      <c r="BIZ17" s="235"/>
      <c r="BJA17" s="235"/>
      <c r="BJB17" s="235"/>
      <c r="BJC17" s="235"/>
      <c r="BJD17" s="235"/>
      <c r="BJE17" s="235"/>
      <c r="BJF17" s="235"/>
      <c r="BJG17" s="235"/>
      <c r="BJH17" s="235"/>
      <c r="BJI17" s="235"/>
      <c r="BJJ17" s="235"/>
      <c r="BJK17" s="235"/>
      <c r="BJL17" s="235"/>
      <c r="BJM17" s="235"/>
      <c r="BJN17" s="235"/>
      <c r="BJO17" s="235"/>
      <c r="BJP17" s="235"/>
      <c r="BJQ17" s="235"/>
      <c r="BJR17" s="235"/>
      <c r="BJS17" s="235"/>
      <c r="BJT17" s="235"/>
      <c r="BJU17" s="235"/>
      <c r="BJV17" s="235"/>
      <c r="BJW17" s="235"/>
      <c r="BJX17" s="235"/>
      <c r="BJY17" s="235"/>
      <c r="BJZ17" s="235"/>
      <c r="BKA17" s="235"/>
      <c r="BKB17" s="235"/>
      <c r="BKC17" s="235"/>
      <c r="BKD17" s="235"/>
      <c r="BKE17" s="235"/>
      <c r="BKF17" s="235"/>
      <c r="BKG17" s="235"/>
      <c r="BKH17" s="235"/>
      <c r="BKI17" s="235"/>
      <c r="BKJ17" s="235"/>
      <c r="BKK17" s="235"/>
      <c r="BKL17" s="235"/>
      <c r="BKM17" s="235"/>
      <c r="BKN17" s="235"/>
      <c r="BKO17" s="235"/>
      <c r="BKP17" s="235"/>
      <c r="BKQ17" s="235"/>
      <c r="BKR17" s="235"/>
      <c r="BKS17" s="235"/>
      <c r="BKT17" s="235"/>
      <c r="BKU17" s="235"/>
      <c r="BKV17" s="235"/>
      <c r="BKW17" s="235"/>
      <c r="BKX17" s="235"/>
      <c r="BKY17" s="235"/>
      <c r="BKZ17" s="235"/>
      <c r="BLA17" s="235"/>
      <c r="BLB17" s="235"/>
      <c r="BLC17" s="235"/>
      <c r="BLD17" s="235"/>
      <c r="BLE17" s="235"/>
      <c r="BLF17" s="235"/>
      <c r="BLG17" s="235"/>
      <c r="BLH17" s="235"/>
      <c r="BLI17" s="235"/>
      <c r="BLJ17" s="235"/>
      <c r="BLK17" s="235"/>
      <c r="BLL17" s="235"/>
      <c r="BLM17" s="235"/>
      <c r="BLN17" s="235"/>
      <c r="BLO17" s="235"/>
      <c r="BLP17" s="235"/>
      <c r="BLQ17" s="235"/>
      <c r="BLR17" s="235"/>
      <c r="BLS17" s="235"/>
      <c r="BLT17" s="235"/>
      <c r="BLU17" s="235"/>
      <c r="BLV17" s="235"/>
      <c r="BLW17" s="235"/>
      <c r="BLX17" s="235"/>
      <c r="BLY17" s="235"/>
      <c r="BLZ17" s="235"/>
      <c r="BMA17" s="235"/>
      <c r="BMB17" s="235"/>
      <c r="BMC17" s="235"/>
      <c r="BMD17" s="235"/>
      <c r="BME17" s="235"/>
      <c r="BMF17" s="235"/>
      <c r="BMG17" s="235"/>
      <c r="BMH17" s="235"/>
      <c r="BMI17" s="235"/>
      <c r="BMJ17" s="235"/>
      <c r="BMK17" s="235"/>
      <c r="BML17" s="235"/>
      <c r="BMM17" s="235"/>
      <c r="BMN17" s="235"/>
      <c r="BMO17" s="235"/>
      <c r="BMP17" s="235"/>
      <c r="BMQ17" s="235"/>
      <c r="BMR17" s="235"/>
      <c r="BMS17" s="235"/>
      <c r="BMT17" s="235"/>
      <c r="BMU17" s="235"/>
      <c r="BMV17" s="235"/>
      <c r="BMW17" s="235"/>
      <c r="BMX17" s="235"/>
      <c r="BMY17" s="235"/>
      <c r="BMZ17" s="235"/>
      <c r="BNA17" s="235"/>
      <c r="BNB17" s="235"/>
      <c r="BNC17" s="235"/>
      <c r="BND17" s="235"/>
      <c r="BNE17" s="235"/>
      <c r="BNF17" s="235"/>
      <c r="BNG17" s="235"/>
      <c r="BNH17" s="235"/>
      <c r="BNI17" s="235"/>
      <c r="BNJ17" s="235"/>
      <c r="BNK17" s="235"/>
      <c r="BNL17" s="235"/>
      <c r="BNM17" s="235"/>
      <c r="BNN17" s="235"/>
      <c r="BNO17" s="235"/>
      <c r="BNP17" s="235"/>
      <c r="BNQ17" s="235"/>
      <c r="BNR17" s="235"/>
      <c r="BNS17" s="235"/>
      <c r="BNT17" s="235"/>
      <c r="BNU17" s="235"/>
      <c r="BNV17" s="235"/>
      <c r="BNW17" s="235"/>
      <c r="BNX17" s="235"/>
      <c r="BNY17" s="235"/>
      <c r="BNZ17" s="235"/>
      <c r="BOA17" s="235"/>
      <c r="BOB17" s="235"/>
      <c r="BOC17" s="235"/>
      <c r="BOD17" s="235"/>
      <c r="BOE17" s="235"/>
      <c r="BOF17" s="235"/>
      <c r="BOG17" s="235"/>
      <c r="BOH17" s="235"/>
      <c r="BOI17" s="235"/>
      <c r="BOJ17" s="235"/>
      <c r="BOK17" s="235"/>
      <c r="BOL17" s="235"/>
      <c r="BOM17" s="235"/>
      <c r="BON17" s="235"/>
      <c r="BOO17" s="235"/>
      <c r="BOP17" s="235"/>
      <c r="BOQ17" s="235"/>
      <c r="BOR17" s="235"/>
      <c r="BOS17" s="235"/>
      <c r="BOT17" s="235"/>
      <c r="BOU17" s="235"/>
      <c r="BOV17" s="235"/>
      <c r="BOW17" s="235"/>
      <c r="BOX17" s="235"/>
      <c r="BOY17" s="235"/>
      <c r="BOZ17" s="235"/>
      <c r="BPA17" s="235"/>
      <c r="BPB17" s="235"/>
      <c r="BPC17" s="235"/>
      <c r="BPD17" s="235"/>
      <c r="BPE17" s="235"/>
      <c r="BPF17" s="235"/>
      <c r="BPG17" s="235"/>
      <c r="BPH17" s="235"/>
      <c r="BPI17" s="235"/>
      <c r="BPJ17" s="235"/>
      <c r="BPK17" s="235"/>
      <c r="BPL17" s="235"/>
      <c r="BPM17" s="235"/>
      <c r="BPN17" s="235"/>
      <c r="BPO17" s="235"/>
      <c r="BPP17" s="235"/>
      <c r="BPQ17" s="235"/>
      <c r="BPR17" s="235"/>
      <c r="BPS17" s="235"/>
      <c r="BPT17" s="235"/>
      <c r="BPU17" s="235"/>
      <c r="BPV17" s="235"/>
      <c r="BPW17" s="235"/>
      <c r="BPX17" s="235"/>
      <c r="BPY17" s="235"/>
      <c r="BPZ17" s="235"/>
      <c r="BQA17" s="235"/>
      <c r="BQB17" s="235"/>
      <c r="BQC17" s="235"/>
      <c r="BQD17" s="235"/>
      <c r="BQE17" s="235"/>
      <c r="BQF17" s="235"/>
      <c r="BQG17" s="235"/>
      <c r="BQH17" s="235"/>
      <c r="BQI17" s="235"/>
      <c r="BQJ17" s="235"/>
      <c r="BQK17" s="235"/>
      <c r="BQL17" s="235"/>
      <c r="BQM17" s="235"/>
      <c r="BQN17" s="235"/>
      <c r="BQO17" s="235"/>
      <c r="BQP17" s="235"/>
      <c r="BQQ17" s="235"/>
      <c r="BQR17" s="235"/>
      <c r="BQS17" s="235"/>
      <c r="BQT17" s="235"/>
      <c r="BQU17" s="235"/>
      <c r="BQV17" s="235"/>
      <c r="BQW17" s="235"/>
      <c r="BQX17" s="235"/>
      <c r="BQY17" s="235"/>
      <c r="BQZ17" s="235"/>
      <c r="BRA17" s="235"/>
      <c r="BRB17" s="235"/>
      <c r="BRC17" s="235"/>
      <c r="BRD17" s="235"/>
      <c r="BRE17" s="235"/>
      <c r="BRF17" s="235"/>
      <c r="BRG17" s="235"/>
      <c r="BRH17" s="235"/>
      <c r="BRI17" s="235"/>
      <c r="BRJ17" s="235"/>
      <c r="BRK17" s="235"/>
      <c r="BRL17" s="235"/>
      <c r="BRM17" s="235"/>
      <c r="BRN17" s="235"/>
      <c r="BRO17" s="235"/>
      <c r="BRP17" s="235"/>
      <c r="BRQ17" s="235"/>
      <c r="BRR17" s="235"/>
      <c r="BRS17" s="235"/>
      <c r="BRT17" s="235"/>
      <c r="BRU17" s="235"/>
      <c r="BRV17" s="235"/>
      <c r="BRW17" s="235"/>
      <c r="BRX17" s="235"/>
      <c r="BRY17" s="235"/>
      <c r="BRZ17" s="235"/>
      <c r="BSA17" s="235"/>
      <c r="BSB17" s="235"/>
      <c r="BSC17" s="235"/>
      <c r="BSD17" s="235"/>
      <c r="BSE17" s="235"/>
      <c r="BSF17" s="235"/>
      <c r="BSG17" s="235"/>
      <c r="BSH17" s="235"/>
      <c r="BSI17" s="235"/>
      <c r="BSJ17" s="235"/>
      <c r="BSK17" s="235"/>
      <c r="BSL17" s="235"/>
      <c r="BSM17" s="235"/>
      <c r="BSN17" s="235"/>
      <c r="BSO17" s="235"/>
      <c r="BSP17" s="235"/>
      <c r="BSQ17" s="235"/>
      <c r="BSR17" s="235"/>
      <c r="BSS17" s="235"/>
      <c r="BST17" s="235"/>
      <c r="BSU17" s="235"/>
      <c r="BSV17" s="235"/>
      <c r="BSW17" s="235"/>
      <c r="BSX17" s="235"/>
      <c r="BSY17" s="235"/>
      <c r="BSZ17" s="235"/>
      <c r="BTA17" s="235"/>
      <c r="BTB17" s="235"/>
      <c r="BTC17" s="235"/>
      <c r="BTD17" s="235"/>
      <c r="BTE17" s="235"/>
      <c r="BTF17" s="235"/>
      <c r="BTG17" s="235"/>
      <c r="BTH17" s="235"/>
      <c r="BTI17" s="235"/>
      <c r="BTJ17" s="235"/>
      <c r="BTK17" s="235"/>
      <c r="BTL17" s="235"/>
      <c r="BTM17" s="235"/>
      <c r="BTN17" s="235"/>
      <c r="BTO17" s="235"/>
      <c r="BTP17" s="235"/>
      <c r="BTQ17" s="235"/>
      <c r="BTR17" s="235"/>
      <c r="BTS17" s="235"/>
      <c r="BTT17" s="235"/>
      <c r="BTU17" s="235"/>
      <c r="BTV17" s="235"/>
      <c r="BTW17" s="235"/>
      <c r="BTX17" s="235"/>
      <c r="BTY17" s="235"/>
      <c r="BTZ17" s="235"/>
      <c r="BUA17" s="235"/>
      <c r="BUB17" s="235"/>
      <c r="BUC17" s="235"/>
      <c r="BUD17" s="235"/>
      <c r="BUE17" s="235"/>
      <c r="BUF17" s="235"/>
      <c r="BUG17" s="235"/>
      <c r="BUH17" s="235"/>
      <c r="BUI17" s="235"/>
      <c r="BUJ17" s="235"/>
      <c r="BUK17" s="235"/>
      <c r="BUL17" s="235"/>
      <c r="BUM17" s="235"/>
      <c r="BUN17" s="235"/>
      <c r="BUO17" s="235"/>
      <c r="BUP17" s="235"/>
      <c r="BUQ17" s="235"/>
      <c r="BUR17" s="235"/>
      <c r="BUS17" s="235"/>
      <c r="BUT17" s="235"/>
      <c r="BUU17" s="235"/>
      <c r="BUV17" s="235"/>
      <c r="BUW17" s="235"/>
      <c r="BUX17" s="235"/>
      <c r="BUY17" s="235"/>
      <c r="BUZ17" s="235"/>
      <c r="BVA17" s="235"/>
      <c r="BVB17" s="235"/>
      <c r="BVC17" s="235"/>
      <c r="BVD17" s="235"/>
      <c r="BVE17" s="235"/>
      <c r="BVF17" s="235"/>
      <c r="BVG17" s="235"/>
      <c r="BVH17" s="235"/>
      <c r="BVI17" s="235"/>
      <c r="BVJ17" s="235"/>
      <c r="BVK17" s="235"/>
      <c r="BVL17" s="235"/>
      <c r="BVM17" s="235"/>
      <c r="BVN17" s="235"/>
      <c r="BVO17" s="235"/>
      <c r="BVP17" s="235"/>
      <c r="BVQ17" s="235"/>
      <c r="BVR17" s="235"/>
      <c r="BVS17" s="235"/>
      <c r="BVT17" s="235"/>
      <c r="BVU17" s="235"/>
      <c r="BVV17" s="235"/>
      <c r="BVW17" s="235"/>
      <c r="BVX17" s="235"/>
      <c r="BVY17" s="235"/>
      <c r="BVZ17" s="235"/>
      <c r="BWA17" s="235"/>
      <c r="BWB17" s="235"/>
      <c r="BWC17" s="235"/>
      <c r="BWD17" s="235"/>
      <c r="BWE17" s="235"/>
      <c r="BWF17" s="235"/>
      <c r="BWG17" s="235"/>
      <c r="BWH17" s="235"/>
      <c r="BWI17" s="235"/>
      <c r="BWJ17" s="235"/>
      <c r="BWK17" s="235"/>
      <c r="BWL17" s="235"/>
      <c r="BWM17" s="235"/>
      <c r="BWN17" s="235"/>
      <c r="BWO17" s="235"/>
      <c r="BWP17" s="235"/>
      <c r="BWQ17" s="235"/>
      <c r="BWR17" s="235"/>
      <c r="BWS17" s="235"/>
      <c r="BWT17" s="235"/>
      <c r="BWU17" s="235"/>
      <c r="BWV17" s="235"/>
      <c r="BWW17" s="235"/>
      <c r="BWX17" s="235"/>
      <c r="BWY17" s="235"/>
      <c r="BWZ17" s="235"/>
      <c r="BXA17" s="235"/>
      <c r="BXB17" s="235"/>
      <c r="BXC17" s="235"/>
      <c r="BXD17" s="235"/>
      <c r="BXE17" s="235"/>
      <c r="BXF17" s="235"/>
      <c r="BXG17" s="235"/>
      <c r="BXH17" s="235"/>
      <c r="BXI17" s="235"/>
      <c r="BXJ17" s="235"/>
      <c r="BXK17" s="235"/>
      <c r="BXL17" s="235"/>
      <c r="BXM17" s="235"/>
      <c r="BXN17" s="235"/>
      <c r="BXO17" s="235"/>
      <c r="BXP17" s="235"/>
      <c r="BXQ17" s="235"/>
      <c r="BXR17" s="235"/>
      <c r="BXS17" s="235"/>
      <c r="BXT17" s="235"/>
      <c r="BXU17" s="235"/>
      <c r="BXV17" s="235"/>
      <c r="BXW17" s="235"/>
      <c r="BXX17" s="235"/>
      <c r="BXY17" s="235"/>
      <c r="BXZ17" s="235"/>
      <c r="BYA17" s="235"/>
      <c r="BYB17" s="235"/>
      <c r="BYC17" s="235"/>
      <c r="BYD17" s="235"/>
      <c r="BYE17" s="235"/>
      <c r="BYF17" s="235"/>
      <c r="BYG17" s="235"/>
      <c r="BYH17" s="235"/>
      <c r="BYI17" s="235"/>
      <c r="BYJ17" s="235"/>
      <c r="BYK17" s="235"/>
      <c r="BYL17" s="235"/>
      <c r="BYM17" s="235"/>
      <c r="BYN17" s="235"/>
      <c r="BYO17" s="235"/>
      <c r="BYP17" s="235"/>
      <c r="BYQ17" s="235"/>
      <c r="BYR17" s="235"/>
      <c r="BYS17" s="235"/>
      <c r="BYT17" s="235"/>
      <c r="BYU17" s="235"/>
      <c r="BYV17" s="235"/>
      <c r="BYW17" s="235"/>
      <c r="BYX17" s="235"/>
      <c r="BYY17" s="235"/>
      <c r="BYZ17" s="235"/>
      <c r="BZA17" s="235"/>
      <c r="BZB17" s="235"/>
      <c r="BZC17" s="235"/>
      <c r="BZD17" s="235"/>
      <c r="BZE17" s="235"/>
      <c r="BZF17" s="235"/>
      <c r="BZG17" s="235"/>
      <c r="BZH17" s="235"/>
      <c r="BZI17" s="235"/>
      <c r="BZJ17" s="235"/>
      <c r="BZK17" s="235"/>
      <c r="BZL17" s="235"/>
      <c r="BZM17" s="235"/>
      <c r="BZN17" s="235"/>
      <c r="BZO17" s="235"/>
      <c r="BZP17" s="235"/>
      <c r="BZQ17" s="235"/>
      <c r="BZR17" s="235"/>
      <c r="BZS17" s="235"/>
      <c r="BZT17" s="235"/>
      <c r="BZU17" s="235"/>
      <c r="BZV17" s="235"/>
      <c r="BZW17" s="235"/>
      <c r="BZX17" s="235"/>
      <c r="BZY17" s="235"/>
      <c r="BZZ17" s="235"/>
      <c r="CAA17" s="235"/>
      <c r="CAB17" s="235"/>
      <c r="CAC17" s="235"/>
      <c r="CAD17" s="235"/>
      <c r="CAE17" s="235"/>
      <c r="CAF17" s="235"/>
      <c r="CAG17" s="235"/>
      <c r="CAH17" s="235"/>
      <c r="CAI17" s="235"/>
      <c r="CAJ17" s="235"/>
      <c r="CAK17" s="235"/>
      <c r="CAL17" s="235"/>
      <c r="CAM17" s="235"/>
      <c r="CAN17" s="235"/>
      <c r="CAO17" s="235"/>
      <c r="CAP17" s="235"/>
      <c r="CAQ17" s="235"/>
      <c r="CAR17" s="235"/>
      <c r="CAS17" s="235"/>
      <c r="CAT17" s="235"/>
      <c r="CAU17" s="235"/>
      <c r="CAV17" s="235"/>
      <c r="CAW17" s="235"/>
      <c r="CAX17" s="235"/>
      <c r="CAY17" s="235"/>
      <c r="CAZ17" s="235"/>
      <c r="CBA17" s="235"/>
      <c r="CBB17" s="235"/>
      <c r="CBC17" s="235"/>
      <c r="CBD17" s="235"/>
      <c r="CBE17" s="235"/>
      <c r="CBF17" s="235"/>
      <c r="CBG17" s="235"/>
      <c r="CBH17" s="235"/>
      <c r="CBI17" s="235"/>
      <c r="CBJ17" s="235"/>
      <c r="CBK17" s="235"/>
      <c r="CBL17" s="235"/>
      <c r="CBM17" s="235"/>
      <c r="CBN17" s="235"/>
      <c r="CBO17" s="235"/>
      <c r="CBP17" s="235"/>
      <c r="CBQ17" s="235"/>
      <c r="CBR17" s="235"/>
      <c r="CBS17" s="235"/>
      <c r="CBT17" s="235"/>
      <c r="CBU17" s="235"/>
      <c r="CBV17" s="235"/>
      <c r="CBW17" s="235"/>
      <c r="CBX17" s="235"/>
      <c r="CBY17" s="235"/>
      <c r="CBZ17" s="235"/>
      <c r="CCA17" s="235"/>
      <c r="CCB17" s="235"/>
      <c r="CCC17" s="235"/>
      <c r="CCD17" s="235"/>
      <c r="CCE17" s="235"/>
      <c r="CCF17" s="235"/>
      <c r="CCG17" s="235"/>
      <c r="CCH17" s="235"/>
      <c r="CCI17" s="235"/>
      <c r="CCJ17" s="235"/>
      <c r="CCK17" s="235"/>
      <c r="CCL17" s="235"/>
      <c r="CCM17" s="235"/>
      <c r="CCN17" s="235"/>
      <c r="CCO17" s="235"/>
      <c r="CCP17" s="235"/>
      <c r="CCQ17" s="235"/>
      <c r="CCR17" s="235"/>
      <c r="CCS17" s="235"/>
      <c r="CCT17" s="235"/>
      <c r="CCU17" s="235"/>
      <c r="CCV17" s="235"/>
      <c r="CCW17" s="235"/>
      <c r="CCX17" s="235"/>
      <c r="CCY17" s="235"/>
      <c r="CCZ17" s="235"/>
      <c r="CDA17" s="235"/>
      <c r="CDB17" s="235"/>
      <c r="CDC17" s="235"/>
      <c r="CDD17" s="235"/>
      <c r="CDE17" s="235"/>
      <c r="CDF17" s="235"/>
      <c r="CDG17" s="235"/>
      <c r="CDH17" s="235"/>
      <c r="CDI17" s="235"/>
      <c r="CDJ17" s="235"/>
      <c r="CDK17" s="235"/>
      <c r="CDL17" s="235"/>
      <c r="CDM17" s="235"/>
      <c r="CDN17" s="235"/>
      <c r="CDO17" s="235"/>
      <c r="CDP17" s="235"/>
      <c r="CDQ17" s="235"/>
      <c r="CDR17" s="235"/>
      <c r="CDS17" s="235"/>
      <c r="CDT17" s="235"/>
      <c r="CDU17" s="235"/>
      <c r="CDV17" s="235"/>
      <c r="CDW17" s="235"/>
      <c r="CDX17" s="235"/>
      <c r="CDY17" s="235"/>
      <c r="CDZ17" s="235"/>
      <c r="CEA17" s="235"/>
      <c r="CEB17" s="235"/>
      <c r="CEC17" s="235"/>
      <c r="CED17" s="235"/>
      <c r="CEE17" s="235"/>
      <c r="CEF17" s="235"/>
      <c r="CEG17" s="235"/>
      <c r="CEH17" s="235"/>
      <c r="CEI17" s="235"/>
      <c r="CEJ17" s="235"/>
      <c r="CEK17" s="235"/>
      <c r="CEL17" s="235"/>
      <c r="CEM17" s="235"/>
      <c r="CEN17" s="235"/>
      <c r="CEO17" s="235"/>
      <c r="CEP17" s="235"/>
      <c r="CEQ17" s="235"/>
      <c r="CER17" s="235"/>
      <c r="CES17" s="235"/>
      <c r="CET17" s="235"/>
      <c r="CEU17" s="235"/>
      <c r="CEV17" s="235"/>
      <c r="CEW17" s="235"/>
      <c r="CEX17" s="235"/>
      <c r="CEY17" s="235"/>
      <c r="CEZ17" s="235"/>
      <c r="CFA17" s="235"/>
      <c r="CFB17" s="235"/>
      <c r="CFC17" s="235"/>
      <c r="CFD17" s="235"/>
      <c r="CFE17" s="235"/>
      <c r="CFF17" s="235"/>
      <c r="CFG17" s="235"/>
      <c r="CFH17" s="235"/>
      <c r="CFI17" s="235"/>
      <c r="CFJ17" s="235"/>
      <c r="CFK17" s="235"/>
      <c r="CFL17" s="235"/>
      <c r="CFM17" s="235"/>
      <c r="CFN17" s="235"/>
      <c r="CFO17" s="235"/>
      <c r="CFP17" s="235"/>
      <c r="CFQ17" s="235"/>
      <c r="CFR17" s="235"/>
      <c r="CFS17" s="235"/>
      <c r="CFT17" s="235"/>
      <c r="CFU17" s="235"/>
      <c r="CFV17" s="235"/>
      <c r="CFW17" s="235"/>
      <c r="CFX17" s="235"/>
      <c r="CFY17" s="235"/>
      <c r="CFZ17" s="235"/>
      <c r="CGA17" s="235"/>
      <c r="CGB17" s="235"/>
      <c r="CGC17" s="235"/>
      <c r="CGD17" s="235"/>
      <c r="CGE17" s="235"/>
      <c r="CGF17" s="235"/>
      <c r="CGG17" s="235"/>
      <c r="CGH17" s="235"/>
      <c r="CGI17" s="235"/>
      <c r="CGJ17" s="235"/>
      <c r="CGK17" s="235"/>
      <c r="CGL17" s="235"/>
      <c r="CGM17" s="235"/>
      <c r="CGN17" s="235"/>
      <c r="CGO17" s="235"/>
      <c r="CGP17" s="235"/>
      <c r="CGQ17" s="235"/>
      <c r="CGR17" s="235"/>
      <c r="CGS17" s="235"/>
      <c r="CGT17" s="235"/>
      <c r="CGU17" s="235"/>
      <c r="CGV17" s="235"/>
      <c r="CGW17" s="235"/>
      <c r="CGX17" s="235"/>
      <c r="CGY17" s="235"/>
      <c r="CGZ17" s="235"/>
      <c r="CHA17" s="235"/>
      <c r="CHB17" s="235"/>
      <c r="CHC17" s="235"/>
      <c r="CHD17" s="235"/>
      <c r="CHE17" s="235"/>
      <c r="CHF17" s="235"/>
      <c r="CHG17" s="235"/>
      <c r="CHH17" s="235"/>
      <c r="CHI17" s="235"/>
      <c r="CHJ17" s="235"/>
      <c r="CHK17" s="235"/>
      <c r="CHL17" s="235"/>
      <c r="CHM17" s="235"/>
      <c r="CHN17" s="235"/>
      <c r="CHO17" s="235"/>
      <c r="CHP17" s="235"/>
      <c r="CHQ17" s="235"/>
      <c r="CHR17" s="235"/>
      <c r="CHS17" s="235"/>
      <c r="CHT17" s="235"/>
      <c r="CHU17" s="235"/>
      <c r="CHV17" s="235"/>
      <c r="CHW17" s="235"/>
      <c r="CHX17" s="235"/>
      <c r="CHY17" s="235"/>
      <c r="CHZ17" s="235"/>
      <c r="CIA17" s="235"/>
      <c r="CIB17" s="235"/>
      <c r="CIC17" s="235"/>
      <c r="CID17" s="235"/>
      <c r="CIE17" s="235"/>
      <c r="CIF17" s="235"/>
      <c r="CIG17" s="235"/>
      <c r="CIH17" s="235"/>
      <c r="CII17" s="235"/>
      <c r="CIJ17" s="235"/>
      <c r="CIK17" s="235"/>
      <c r="CIL17" s="235"/>
      <c r="CIM17" s="235"/>
      <c r="CIN17" s="235"/>
      <c r="CIO17" s="235"/>
      <c r="CIP17" s="235"/>
      <c r="CIQ17" s="235"/>
      <c r="CIR17" s="235"/>
      <c r="CIS17" s="235"/>
      <c r="CIT17" s="235"/>
      <c r="CIU17" s="235"/>
      <c r="CIV17" s="235"/>
      <c r="CIW17" s="235"/>
      <c r="CIX17" s="235"/>
      <c r="CIY17" s="235"/>
      <c r="CIZ17" s="235"/>
      <c r="CJA17" s="235"/>
      <c r="CJB17" s="235"/>
      <c r="CJC17" s="235"/>
      <c r="CJD17" s="235"/>
      <c r="CJE17" s="235"/>
      <c r="CJF17" s="235"/>
      <c r="CJG17" s="235"/>
      <c r="CJH17" s="235"/>
      <c r="CJI17" s="235"/>
      <c r="CJJ17" s="235"/>
      <c r="CJK17" s="235"/>
      <c r="CJL17" s="235"/>
      <c r="CJM17" s="235"/>
      <c r="CJN17" s="235"/>
      <c r="CJO17" s="235"/>
      <c r="CJP17" s="235"/>
      <c r="CJQ17" s="235"/>
      <c r="CJR17" s="235"/>
      <c r="CJS17" s="235"/>
      <c r="CJT17" s="235"/>
      <c r="CJU17" s="235"/>
      <c r="CJV17" s="235"/>
      <c r="CJW17" s="235"/>
      <c r="CJX17" s="235"/>
      <c r="CJY17" s="235"/>
      <c r="CJZ17" s="235"/>
      <c r="CKA17" s="235"/>
      <c r="CKB17" s="235"/>
      <c r="CKC17" s="235"/>
      <c r="CKD17" s="235"/>
      <c r="CKE17" s="235"/>
      <c r="CKF17" s="235"/>
      <c r="CKG17" s="235"/>
      <c r="CKH17" s="235"/>
      <c r="CKI17" s="235"/>
      <c r="CKJ17" s="235"/>
      <c r="CKK17" s="235"/>
      <c r="CKL17" s="235"/>
      <c r="CKM17" s="235"/>
      <c r="CKN17" s="235"/>
      <c r="CKO17" s="235"/>
      <c r="CKP17" s="235"/>
      <c r="CKQ17" s="235"/>
      <c r="CKR17" s="235"/>
      <c r="CKS17" s="235"/>
      <c r="CKT17" s="235"/>
      <c r="CKU17" s="235"/>
      <c r="CKV17" s="235"/>
      <c r="CKW17" s="235"/>
      <c r="CKX17" s="235"/>
      <c r="CKY17" s="235"/>
      <c r="CKZ17" s="235"/>
      <c r="CLA17" s="235"/>
      <c r="CLB17" s="235"/>
      <c r="CLC17" s="235"/>
      <c r="CLD17" s="235"/>
      <c r="CLE17" s="235"/>
      <c r="CLF17" s="235"/>
      <c r="CLG17" s="235"/>
      <c r="CLH17" s="235"/>
      <c r="CLI17" s="235"/>
      <c r="CLJ17" s="235"/>
      <c r="CLK17" s="235"/>
      <c r="CLL17" s="235"/>
      <c r="CLM17" s="235"/>
      <c r="CLN17" s="235"/>
      <c r="CLO17" s="235"/>
      <c r="CLP17" s="235"/>
      <c r="CLQ17" s="235"/>
      <c r="CLR17" s="235"/>
      <c r="CLS17" s="235"/>
      <c r="CLT17" s="235"/>
      <c r="CLU17" s="235"/>
      <c r="CLV17" s="235"/>
      <c r="CLW17" s="235"/>
      <c r="CLX17" s="235"/>
      <c r="CLY17" s="235"/>
      <c r="CLZ17" s="235"/>
      <c r="CMA17" s="235"/>
      <c r="CMB17" s="235"/>
      <c r="CMC17" s="235"/>
      <c r="CMD17" s="235"/>
      <c r="CME17" s="235"/>
      <c r="CMF17" s="235"/>
      <c r="CMG17" s="235"/>
      <c r="CMH17" s="235"/>
      <c r="CMI17" s="235"/>
      <c r="CMJ17" s="235"/>
      <c r="CMK17" s="235"/>
      <c r="CML17" s="235"/>
      <c r="CMM17" s="235"/>
      <c r="CMN17" s="235"/>
      <c r="CMO17" s="235"/>
      <c r="CMP17" s="235"/>
      <c r="CMQ17" s="235"/>
      <c r="CMR17" s="235"/>
      <c r="CMS17" s="235"/>
      <c r="CMT17" s="235"/>
      <c r="CMU17" s="235"/>
      <c r="CMV17" s="235"/>
      <c r="CMW17" s="235"/>
      <c r="CMX17" s="235"/>
      <c r="CMY17" s="235"/>
      <c r="CMZ17" s="235"/>
      <c r="CNA17" s="235"/>
      <c r="CNB17" s="235"/>
      <c r="CNC17" s="235"/>
      <c r="CND17" s="235"/>
      <c r="CNE17" s="235"/>
      <c r="CNF17" s="235"/>
      <c r="CNG17" s="235"/>
      <c r="CNH17" s="235"/>
      <c r="CNI17" s="235"/>
      <c r="CNJ17" s="235"/>
      <c r="CNK17" s="235"/>
      <c r="CNL17" s="235"/>
      <c r="CNM17" s="235"/>
      <c r="CNN17" s="235"/>
      <c r="CNO17" s="235"/>
      <c r="CNP17" s="235"/>
      <c r="CNQ17" s="235"/>
      <c r="CNR17" s="235"/>
      <c r="CNS17" s="235"/>
      <c r="CNT17" s="235"/>
      <c r="CNU17" s="235"/>
      <c r="CNV17" s="235"/>
      <c r="CNW17" s="235"/>
      <c r="CNX17" s="235"/>
      <c r="CNY17" s="235"/>
      <c r="CNZ17" s="235"/>
      <c r="COA17" s="235"/>
      <c r="COB17" s="235"/>
      <c r="COC17" s="235"/>
      <c r="COD17" s="235"/>
      <c r="COE17" s="235"/>
      <c r="COF17" s="235"/>
      <c r="COG17" s="235"/>
      <c r="COH17" s="235"/>
      <c r="COI17" s="235"/>
      <c r="COJ17" s="235"/>
      <c r="COK17" s="235"/>
      <c r="COL17" s="235"/>
      <c r="COM17" s="235"/>
      <c r="CON17" s="235"/>
      <c r="COO17" s="235"/>
      <c r="COP17" s="235"/>
      <c r="COQ17" s="235"/>
      <c r="COR17" s="235"/>
      <c r="COS17" s="235"/>
      <c r="COT17" s="235"/>
      <c r="COU17" s="235"/>
      <c r="COV17" s="235"/>
      <c r="COW17" s="235"/>
      <c r="COX17" s="235"/>
      <c r="COY17" s="235"/>
      <c r="COZ17" s="235"/>
      <c r="CPA17" s="235"/>
      <c r="CPB17" s="235"/>
      <c r="CPC17" s="235"/>
      <c r="CPD17" s="235"/>
      <c r="CPE17" s="235"/>
      <c r="CPF17" s="235"/>
      <c r="CPG17" s="235"/>
      <c r="CPH17" s="235"/>
      <c r="CPI17" s="235"/>
      <c r="CPJ17" s="235"/>
      <c r="CPK17" s="235"/>
      <c r="CPL17" s="235"/>
      <c r="CPM17" s="235"/>
      <c r="CPN17" s="235"/>
      <c r="CPO17" s="235"/>
      <c r="CPP17" s="235"/>
      <c r="CPQ17" s="235"/>
      <c r="CPR17" s="235"/>
      <c r="CPS17" s="235"/>
      <c r="CPT17" s="235"/>
      <c r="CPU17" s="235"/>
      <c r="CPV17" s="235"/>
      <c r="CPW17" s="235"/>
      <c r="CPX17" s="235"/>
      <c r="CPY17" s="235"/>
      <c r="CPZ17" s="235"/>
      <c r="CQA17" s="235"/>
      <c r="CQB17" s="235"/>
      <c r="CQC17" s="235"/>
      <c r="CQD17" s="235"/>
      <c r="CQE17" s="235"/>
      <c r="CQF17" s="235"/>
      <c r="CQG17" s="235"/>
      <c r="CQH17" s="235"/>
      <c r="CQI17" s="235"/>
      <c r="CQJ17" s="235"/>
      <c r="CQK17" s="235"/>
      <c r="CQL17" s="235"/>
      <c r="CQM17" s="235"/>
      <c r="CQN17" s="235"/>
      <c r="CQO17" s="235"/>
      <c r="CQP17" s="235"/>
      <c r="CQQ17" s="235"/>
      <c r="CQR17" s="235"/>
      <c r="CQS17" s="235"/>
      <c r="CQT17" s="235"/>
      <c r="CQU17" s="235"/>
      <c r="CQV17" s="235"/>
      <c r="CQW17" s="235"/>
      <c r="CQX17" s="235"/>
      <c r="CQY17" s="235"/>
      <c r="CQZ17" s="235"/>
      <c r="CRA17" s="235"/>
      <c r="CRB17" s="235"/>
      <c r="CRC17" s="235"/>
      <c r="CRD17" s="235"/>
      <c r="CRE17" s="235"/>
      <c r="CRF17" s="235"/>
      <c r="CRG17" s="235"/>
      <c r="CRH17" s="235"/>
      <c r="CRI17" s="235"/>
      <c r="CRJ17" s="235"/>
      <c r="CRK17" s="235"/>
      <c r="CRL17" s="235"/>
      <c r="CRM17" s="235"/>
      <c r="CRN17" s="235"/>
      <c r="CRO17" s="235"/>
      <c r="CRP17" s="235"/>
      <c r="CRQ17" s="235"/>
      <c r="CRR17" s="235"/>
      <c r="CRS17" s="235"/>
      <c r="CRT17" s="235"/>
      <c r="CRU17" s="235"/>
      <c r="CRV17" s="235"/>
      <c r="CRW17" s="235"/>
      <c r="CRX17" s="235"/>
      <c r="CRY17" s="235"/>
      <c r="CRZ17" s="235"/>
      <c r="CSA17" s="235"/>
      <c r="CSB17" s="235"/>
      <c r="CSC17" s="235"/>
      <c r="CSD17" s="235"/>
      <c r="CSE17" s="235"/>
      <c r="CSF17" s="235"/>
      <c r="CSG17" s="235"/>
      <c r="CSH17" s="235"/>
      <c r="CSI17" s="235"/>
      <c r="CSJ17" s="235"/>
      <c r="CSK17" s="235"/>
      <c r="CSL17" s="235"/>
      <c r="CSM17" s="235"/>
      <c r="CSN17" s="235"/>
      <c r="CSO17" s="235"/>
      <c r="CSP17" s="235"/>
      <c r="CSQ17" s="235"/>
      <c r="CSR17" s="235"/>
      <c r="CSS17" s="235"/>
      <c r="CST17" s="235"/>
      <c r="CSU17" s="235"/>
      <c r="CSV17" s="235"/>
      <c r="CSW17" s="235"/>
      <c r="CSX17" s="235"/>
      <c r="CSY17" s="235"/>
      <c r="CSZ17" s="235"/>
      <c r="CTA17" s="235"/>
      <c r="CTB17" s="235"/>
      <c r="CTC17" s="235"/>
      <c r="CTD17" s="235"/>
      <c r="CTE17" s="235"/>
      <c r="CTF17" s="235"/>
      <c r="CTG17" s="235"/>
      <c r="CTH17" s="235"/>
      <c r="CTI17" s="235"/>
      <c r="CTJ17" s="235"/>
      <c r="CTK17" s="235"/>
      <c r="CTL17" s="235"/>
      <c r="CTM17" s="235"/>
      <c r="CTN17" s="235"/>
      <c r="CTO17" s="235"/>
      <c r="CTP17" s="235"/>
      <c r="CTQ17" s="235"/>
      <c r="CTR17" s="235"/>
      <c r="CTS17" s="235"/>
      <c r="CTT17" s="235"/>
      <c r="CTU17" s="235"/>
      <c r="CTV17" s="235"/>
      <c r="CTW17" s="235"/>
      <c r="CTX17" s="235"/>
      <c r="CTY17" s="235"/>
      <c r="CTZ17" s="235"/>
      <c r="CUA17" s="235"/>
      <c r="CUB17" s="235"/>
      <c r="CUC17" s="235"/>
      <c r="CUD17" s="235"/>
      <c r="CUE17" s="235"/>
      <c r="CUF17" s="235"/>
      <c r="CUG17" s="235"/>
      <c r="CUH17" s="235"/>
      <c r="CUI17" s="235"/>
      <c r="CUJ17" s="235"/>
      <c r="CUK17" s="235"/>
      <c r="CUL17" s="235"/>
      <c r="CUM17" s="235"/>
      <c r="CUN17" s="235"/>
      <c r="CUO17" s="235"/>
      <c r="CUP17" s="235"/>
      <c r="CUQ17" s="235"/>
      <c r="CUR17" s="235"/>
      <c r="CUS17" s="235"/>
      <c r="CUT17" s="235"/>
      <c r="CUU17" s="235"/>
      <c r="CUV17" s="235"/>
      <c r="CUW17" s="235"/>
      <c r="CUX17" s="235"/>
      <c r="CUY17" s="235"/>
      <c r="CUZ17" s="235"/>
      <c r="CVA17" s="235"/>
      <c r="CVB17" s="235"/>
      <c r="CVC17" s="235"/>
      <c r="CVD17" s="235"/>
      <c r="CVE17" s="235"/>
      <c r="CVF17" s="235"/>
      <c r="CVG17" s="235"/>
      <c r="CVH17" s="235"/>
      <c r="CVI17" s="235"/>
      <c r="CVJ17" s="235"/>
      <c r="CVK17" s="235"/>
      <c r="CVL17" s="235"/>
      <c r="CVM17" s="235"/>
      <c r="CVN17" s="235"/>
      <c r="CVO17" s="235"/>
      <c r="CVP17" s="235"/>
      <c r="CVQ17" s="235"/>
      <c r="CVR17" s="235"/>
      <c r="CVS17" s="235"/>
      <c r="CVT17" s="235"/>
      <c r="CVU17" s="235"/>
      <c r="CVV17" s="235"/>
      <c r="CVW17" s="235"/>
      <c r="CVX17" s="235"/>
      <c r="CVY17" s="235"/>
      <c r="CVZ17" s="235"/>
      <c r="CWA17" s="235"/>
      <c r="CWB17" s="235"/>
      <c r="CWC17" s="235"/>
      <c r="CWD17" s="235"/>
      <c r="CWE17" s="235"/>
      <c r="CWF17" s="235"/>
      <c r="CWG17" s="235"/>
      <c r="CWH17" s="235"/>
      <c r="CWI17" s="235"/>
      <c r="CWJ17" s="235"/>
      <c r="CWK17" s="235"/>
      <c r="CWL17" s="235"/>
      <c r="CWM17" s="235"/>
      <c r="CWN17" s="235"/>
      <c r="CWO17" s="235"/>
      <c r="CWP17" s="235"/>
      <c r="CWQ17" s="235"/>
      <c r="CWR17" s="235"/>
      <c r="CWS17" s="235"/>
      <c r="CWT17" s="235"/>
      <c r="CWU17" s="235"/>
      <c r="CWV17" s="235"/>
      <c r="CWW17" s="235"/>
      <c r="CWX17" s="235"/>
      <c r="CWY17" s="235"/>
      <c r="CWZ17" s="235"/>
      <c r="CXA17" s="235"/>
      <c r="CXB17" s="235"/>
      <c r="CXC17" s="235"/>
      <c r="CXD17" s="235"/>
      <c r="CXE17" s="235"/>
      <c r="CXF17" s="235"/>
      <c r="CXG17" s="235"/>
      <c r="CXH17" s="235"/>
      <c r="CXI17" s="235"/>
      <c r="CXJ17" s="235"/>
      <c r="CXK17" s="235"/>
      <c r="CXL17" s="235"/>
      <c r="CXM17" s="235"/>
      <c r="CXN17" s="235"/>
      <c r="CXO17" s="235"/>
      <c r="CXP17" s="235"/>
      <c r="CXQ17" s="235"/>
      <c r="CXR17" s="235"/>
      <c r="CXS17" s="235"/>
      <c r="CXT17" s="235"/>
      <c r="CXU17" s="235"/>
      <c r="CXV17" s="235"/>
      <c r="CXW17" s="235"/>
      <c r="CXX17" s="235"/>
      <c r="CXY17" s="235"/>
      <c r="CXZ17" s="235"/>
      <c r="CYA17" s="235"/>
      <c r="CYB17" s="235"/>
      <c r="CYC17" s="235"/>
      <c r="CYD17" s="235"/>
      <c r="CYE17" s="235"/>
      <c r="CYF17" s="235"/>
      <c r="CYG17" s="235"/>
      <c r="CYH17" s="235"/>
      <c r="CYI17" s="235"/>
      <c r="CYJ17" s="235"/>
      <c r="CYK17" s="235"/>
      <c r="CYL17" s="235"/>
      <c r="CYM17" s="235"/>
      <c r="CYN17" s="235"/>
      <c r="CYO17" s="235"/>
      <c r="CYP17" s="235"/>
      <c r="CYQ17" s="235"/>
      <c r="CYR17" s="235"/>
      <c r="CYS17" s="235"/>
      <c r="CYT17" s="235"/>
      <c r="CYU17" s="235"/>
      <c r="CYV17" s="235"/>
      <c r="CYW17" s="235"/>
      <c r="CYX17" s="235"/>
      <c r="CYY17" s="235"/>
      <c r="CYZ17" s="235"/>
      <c r="CZA17" s="235"/>
      <c r="CZB17" s="235"/>
      <c r="CZC17" s="235"/>
      <c r="CZD17" s="235"/>
      <c r="CZE17" s="235"/>
      <c r="CZF17" s="235"/>
      <c r="CZG17" s="235"/>
      <c r="CZH17" s="235"/>
      <c r="CZI17" s="235"/>
      <c r="CZJ17" s="235"/>
      <c r="CZK17" s="235"/>
      <c r="CZL17" s="235"/>
      <c r="CZM17" s="235"/>
      <c r="CZN17" s="235"/>
      <c r="CZO17" s="235"/>
      <c r="CZP17" s="235"/>
      <c r="CZQ17" s="235"/>
      <c r="CZR17" s="235"/>
      <c r="CZS17" s="235"/>
      <c r="CZT17" s="235"/>
      <c r="CZU17" s="235"/>
      <c r="CZV17" s="235"/>
      <c r="CZW17" s="235"/>
      <c r="CZX17" s="235"/>
      <c r="CZY17" s="235"/>
      <c r="CZZ17" s="235"/>
      <c r="DAA17" s="235"/>
      <c r="DAB17" s="235"/>
      <c r="DAC17" s="235"/>
      <c r="DAD17" s="235"/>
      <c r="DAE17" s="235"/>
      <c r="DAF17" s="235"/>
      <c r="DAG17" s="235"/>
      <c r="DAH17" s="235"/>
      <c r="DAI17" s="235"/>
      <c r="DAJ17" s="235"/>
      <c r="DAK17" s="235"/>
      <c r="DAL17" s="235"/>
      <c r="DAM17" s="235"/>
      <c r="DAN17" s="235"/>
      <c r="DAO17" s="235"/>
      <c r="DAP17" s="235"/>
      <c r="DAQ17" s="235"/>
      <c r="DAR17" s="235"/>
      <c r="DAS17" s="235"/>
      <c r="DAT17" s="235"/>
      <c r="DAU17" s="235"/>
      <c r="DAV17" s="235"/>
      <c r="DAW17" s="235"/>
      <c r="DAX17" s="235"/>
      <c r="DAY17" s="235"/>
      <c r="DAZ17" s="235"/>
      <c r="DBA17" s="235"/>
      <c r="DBB17" s="235"/>
      <c r="DBC17" s="235"/>
      <c r="DBD17" s="235"/>
      <c r="DBE17" s="235"/>
      <c r="DBF17" s="235"/>
      <c r="DBG17" s="235"/>
      <c r="DBH17" s="235"/>
      <c r="DBI17" s="235"/>
      <c r="DBJ17" s="235"/>
      <c r="DBK17" s="235"/>
      <c r="DBL17" s="235"/>
      <c r="DBM17" s="235"/>
      <c r="DBN17" s="235"/>
      <c r="DBO17" s="235"/>
      <c r="DBP17" s="235"/>
      <c r="DBQ17" s="235"/>
      <c r="DBR17" s="235"/>
      <c r="DBS17" s="235"/>
      <c r="DBT17" s="235"/>
      <c r="DBU17" s="235"/>
      <c r="DBV17" s="235"/>
      <c r="DBW17" s="235"/>
      <c r="DBX17" s="235"/>
      <c r="DBY17" s="235"/>
      <c r="DBZ17" s="235"/>
      <c r="DCA17" s="235"/>
      <c r="DCB17" s="235"/>
      <c r="DCC17" s="235"/>
      <c r="DCD17" s="235"/>
      <c r="DCE17" s="235"/>
      <c r="DCF17" s="235"/>
      <c r="DCG17" s="235"/>
      <c r="DCH17" s="235"/>
      <c r="DCI17" s="235"/>
      <c r="DCJ17" s="235"/>
      <c r="DCK17" s="235"/>
      <c r="DCL17" s="235"/>
      <c r="DCM17" s="235"/>
      <c r="DCN17" s="235"/>
      <c r="DCO17" s="235"/>
      <c r="DCP17" s="235"/>
      <c r="DCQ17" s="235"/>
      <c r="DCR17" s="235"/>
      <c r="DCS17" s="235"/>
      <c r="DCT17" s="235"/>
      <c r="DCU17" s="235"/>
      <c r="DCV17" s="235"/>
      <c r="DCW17" s="235"/>
      <c r="DCX17" s="235"/>
      <c r="DCY17" s="235"/>
      <c r="DCZ17" s="235"/>
      <c r="DDA17" s="235"/>
      <c r="DDB17" s="235"/>
      <c r="DDC17" s="235"/>
      <c r="DDD17" s="235"/>
      <c r="DDE17" s="235"/>
      <c r="DDF17" s="235"/>
      <c r="DDG17" s="235"/>
      <c r="DDH17" s="235"/>
      <c r="DDI17" s="235"/>
      <c r="DDJ17" s="235"/>
      <c r="DDK17" s="235"/>
      <c r="DDL17" s="235"/>
      <c r="DDM17" s="235"/>
      <c r="DDN17" s="235"/>
      <c r="DDO17" s="235"/>
      <c r="DDP17" s="235"/>
      <c r="DDQ17" s="235"/>
      <c r="DDR17" s="235"/>
      <c r="DDS17" s="235"/>
      <c r="DDT17" s="235"/>
      <c r="DDU17" s="235"/>
      <c r="DDV17" s="235"/>
      <c r="DDW17" s="235"/>
      <c r="DDX17" s="235"/>
      <c r="DDY17" s="235"/>
      <c r="DDZ17" s="235"/>
      <c r="DEA17" s="235"/>
      <c r="DEB17" s="235"/>
      <c r="DEC17" s="235"/>
      <c r="DED17" s="235"/>
      <c r="DEE17" s="235"/>
      <c r="DEF17" s="235"/>
      <c r="DEG17" s="235"/>
      <c r="DEH17" s="235"/>
      <c r="DEI17" s="235"/>
      <c r="DEJ17" s="235"/>
      <c r="DEK17" s="235"/>
      <c r="DEL17" s="235"/>
      <c r="DEM17" s="235"/>
      <c r="DEN17" s="235"/>
      <c r="DEO17" s="235"/>
      <c r="DEP17" s="235"/>
      <c r="DEQ17" s="235"/>
      <c r="DER17" s="235"/>
      <c r="DES17" s="235"/>
      <c r="DET17" s="235"/>
      <c r="DEU17" s="235"/>
      <c r="DEV17" s="235"/>
      <c r="DEW17" s="235"/>
      <c r="DEX17" s="235"/>
      <c r="DEY17" s="235"/>
      <c r="DEZ17" s="235"/>
      <c r="DFA17" s="235"/>
      <c r="DFB17" s="235"/>
      <c r="DFC17" s="235"/>
      <c r="DFD17" s="235"/>
      <c r="DFE17" s="235"/>
      <c r="DFF17" s="235"/>
      <c r="DFG17" s="235"/>
      <c r="DFH17" s="235"/>
      <c r="DFI17" s="235"/>
      <c r="DFJ17" s="235"/>
      <c r="DFK17" s="235"/>
      <c r="DFL17" s="235"/>
      <c r="DFM17" s="235"/>
      <c r="DFN17" s="235"/>
      <c r="DFO17" s="235"/>
      <c r="DFP17" s="235"/>
      <c r="DFQ17" s="235"/>
      <c r="DFR17" s="235"/>
      <c r="DFS17" s="235"/>
      <c r="DFT17" s="235"/>
      <c r="DFU17" s="235"/>
      <c r="DFV17" s="235"/>
      <c r="DFW17" s="235"/>
      <c r="DFX17" s="235"/>
      <c r="DFY17" s="235"/>
      <c r="DFZ17" s="235"/>
      <c r="DGA17" s="235"/>
      <c r="DGB17" s="235"/>
      <c r="DGC17" s="235"/>
      <c r="DGD17" s="235"/>
      <c r="DGE17" s="235"/>
      <c r="DGF17" s="235"/>
      <c r="DGG17" s="235"/>
      <c r="DGH17" s="235"/>
      <c r="DGI17" s="235"/>
      <c r="DGJ17" s="235"/>
      <c r="DGK17" s="235"/>
      <c r="DGL17" s="235"/>
      <c r="DGM17" s="235"/>
      <c r="DGN17" s="235"/>
      <c r="DGO17" s="235"/>
      <c r="DGP17" s="235"/>
      <c r="DGQ17" s="235"/>
      <c r="DGR17" s="235"/>
      <c r="DGS17" s="235"/>
      <c r="DGT17" s="235"/>
      <c r="DGU17" s="235"/>
      <c r="DGV17" s="235"/>
      <c r="DGW17" s="235"/>
      <c r="DGX17" s="235"/>
      <c r="DGY17" s="235"/>
      <c r="DGZ17" s="235"/>
      <c r="DHA17" s="235"/>
      <c r="DHB17" s="235"/>
      <c r="DHC17" s="235"/>
      <c r="DHD17" s="235"/>
      <c r="DHE17" s="235"/>
      <c r="DHF17" s="235"/>
      <c r="DHG17" s="235"/>
      <c r="DHH17" s="235"/>
      <c r="DHI17" s="235"/>
      <c r="DHJ17" s="235"/>
      <c r="DHK17" s="235"/>
      <c r="DHL17" s="235"/>
      <c r="DHM17" s="235"/>
      <c r="DHN17" s="235"/>
      <c r="DHO17" s="235"/>
      <c r="DHP17" s="235"/>
      <c r="DHQ17" s="235"/>
      <c r="DHR17" s="235"/>
      <c r="DHS17" s="235"/>
      <c r="DHT17" s="235"/>
      <c r="DHU17" s="235"/>
      <c r="DHV17" s="235"/>
      <c r="DHW17" s="235"/>
      <c r="DHX17" s="235"/>
      <c r="DHY17" s="235"/>
      <c r="DHZ17" s="235"/>
      <c r="DIA17" s="235"/>
      <c r="DIB17" s="235"/>
      <c r="DIC17" s="235"/>
      <c r="DID17" s="235"/>
      <c r="DIE17" s="235"/>
      <c r="DIF17" s="235"/>
      <c r="DIG17" s="235"/>
      <c r="DIH17" s="235"/>
      <c r="DII17" s="235"/>
      <c r="DIJ17" s="235"/>
      <c r="DIK17" s="235"/>
      <c r="DIL17" s="235"/>
      <c r="DIM17" s="235"/>
      <c r="DIN17" s="235"/>
      <c r="DIO17" s="235"/>
      <c r="DIP17" s="235"/>
      <c r="DIQ17" s="235"/>
      <c r="DIR17" s="235"/>
      <c r="DIS17" s="235"/>
      <c r="DIT17" s="235"/>
      <c r="DIU17" s="235"/>
      <c r="DIV17" s="235"/>
      <c r="DIW17" s="235"/>
      <c r="DIX17" s="235"/>
      <c r="DIY17" s="235"/>
      <c r="DIZ17" s="235"/>
      <c r="DJA17" s="235"/>
      <c r="DJB17" s="235"/>
      <c r="DJC17" s="235"/>
      <c r="DJD17" s="235"/>
      <c r="DJE17" s="235"/>
      <c r="DJF17" s="235"/>
      <c r="DJG17" s="235"/>
      <c r="DJH17" s="235"/>
      <c r="DJI17" s="235"/>
      <c r="DJJ17" s="235"/>
      <c r="DJK17" s="235"/>
      <c r="DJL17" s="235"/>
      <c r="DJM17" s="235"/>
      <c r="DJN17" s="235"/>
      <c r="DJO17" s="235"/>
      <c r="DJP17" s="235"/>
      <c r="DJQ17" s="235"/>
      <c r="DJR17" s="235"/>
      <c r="DJS17" s="235"/>
      <c r="DJT17" s="235"/>
      <c r="DJU17" s="235"/>
      <c r="DJV17" s="235"/>
      <c r="DJW17" s="235"/>
      <c r="DJX17" s="235"/>
      <c r="DJY17" s="235"/>
      <c r="DJZ17" s="235"/>
      <c r="DKA17" s="235"/>
      <c r="DKB17" s="235"/>
      <c r="DKC17" s="235"/>
      <c r="DKD17" s="235"/>
      <c r="DKE17" s="235"/>
      <c r="DKF17" s="235"/>
      <c r="DKG17" s="235"/>
      <c r="DKH17" s="235"/>
      <c r="DKI17" s="235"/>
      <c r="DKJ17" s="235"/>
      <c r="DKK17" s="235"/>
      <c r="DKL17" s="235"/>
      <c r="DKM17" s="235"/>
      <c r="DKN17" s="235"/>
      <c r="DKO17" s="235"/>
      <c r="DKP17" s="235"/>
      <c r="DKQ17" s="235"/>
      <c r="DKR17" s="235"/>
      <c r="DKS17" s="235"/>
      <c r="DKT17" s="235"/>
      <c r="DKU17" s="235"/>
      <c r="DKV17" s="235"/>
      <c r="DKW17" s="235"/>
      <c r="DKX17" s="235"/>
      <c r="DKY17" s="235"/>
      <c r="DKZ17" s="235"/>
      <c r="DLA17" s="235"/>
      <c r="DLB17" s="235"/>
      <c r="DLC17" s="235"/>
      <c r="DLD17" s="235"/>
      <c r="DLE17" s="235"/>
      <c r="DLF17" s="235"/>
      <c r="DLG17" s="235"/>
      <c r="DLH17" s="235"/>
      <c r="DLI17" s="235"/>
      <c r="DLJ17" s="235"/>
      <c r="DLK17" s="235"/>
      <c r="DLL17" s="235"/>
      <c r="DLM17" s="235"/>
      <c r="DLN17" s="235"/>
      <c r="DLO17" s="235"/>
      <c r="DLP17" s="235"/>
      <c r="DLQ17" s="235"/>
      <c r="DLR17" s="235"/>
      <c r="DLS17" s="235"/>
      <c r="DLT17" s="235"/>
      <c r="DLU17" s="235"/>
      <c r="DLV17" s="235"/>
      <c r="DLW17" s="235"/>
      <c r="DLX17" s="235"/>
      <c r="DLY17" s="235"/>
      <c r="DLZ17" s="235"/>
      <c r="DMA17" s="235"/>
      <c r="DMB17" s="235"/>
      <c r="DMC17" s="235"/>
      <c r="DMD17" s="235"/>
      <c r="DME17" s="235"/>
      <c r="DMF17" s="235"/>
      <c r="DMG17" s="235"/>
      <c r="DMH17" s="235"/>
      <c r="DMI17" s="235"/>
      <c r="DMJ17" s="235"/>
      <c r="DMK17" s="235"/>
      <c r="DML17" s="235"/>
      <c r="DMM17" s="235"/>
      <c r="DMN17" s="235"/>
      <c r="DMO17" s="235"/>
      <c r="DMP17" s="235"/>
      <c r="DMQ17" s="235"/>
      <c r="DMR17" s="235"/>
      <c r="DMS17" s="235"/>
      <c r="DMT17" s="235"/>
      <c r="DMU17" s="235"/>
      <c r="DMV17" s="235"/>
      <c r="DMW17" s="235"/>
      <c r="DMX17" s="235"/>
      <c r="DMY17" s="235"/>
      <c r="DMZ17" s="235"/>
      <c r="DNA17" s="235"/>
      <c r="DNB17" s="235"/>
      <c r="DNC17" s="235"/>
      <c r="DND17" s="235"/>
      <c r="DNE17" s="235"/>
      <c r="DNF17" s="235"/>
      <c r="DNG17" s="235"/>
      <c r="DNH17" s="235"/>
      <c r="DNI17" s="235"/>
      <c r="DNJ17" s="235"/>
      <c r="DNK17" s="235"/>
      <c r="DNL17" s="235"/>
      <c r="DNM17" s="235"/>
      <c r="DNN17" s="235"/>
      <c r="DNO17" s="235"/>
      <c r="DNP17" s="235"/>
      <c r="DNQ17" s="235"/>
      <c r="DNR17" s="235"/>
      <c r="DNS17" s="235"/>
      <c r="DNT17" s="235"/>
      <c r="DNU17" s="235"/>
      <c r="DNV17" s="235"/>
      <c r="DNW17" s="235"/>
      <c r="DNX17" s="235"/>
      <c r="DNY17" s="235"/>
      <c r="DNZ17" s="235"/>
      <c r="DOA17" s="235"/>
      <c r="DOB17" s="235"/>
      <c r="DOC17" s="235"/>
      <c r="DOD17" s="235"/>
      <c r="DOE17" s="235"/>
      <c r="DOF17" s="235"/>
      <c r="DOG17" s="235"/>
      <c r="DOH17" s="235"/>
      <c r="DOI17" s="235"/>
      <c r="DOJ17" s="235"/>
      <c r="DOK17" s="235"/>
      <c r="DOL17" s="235"/>
      <c r="DOM17" s="235"/>
      <c r="DON17" s="235"/>
      <c r="DOO17" s="235"/>
      <c r="DOP17" s="235"/>
      <c r="DOQ17" s="235"/>
      <c r="DOR17" s="235"/>
      <c r="DOS17" s="235"/>
      <c r="DOT17" s="235"/>
      <c r="DOU17" s="235"/>
      <c r="DOV17" s="235"/>
      <c r="DOW17" s="235"/>
      <c r="DOX17" s="235"/>
      <c r="DOY17" s="235"/>
      <c r="DOZ17" s="235"/>
      <c r="DPA17" s="235"/>
      <c r="DPB17" s="235"/>
      <c r="DPC17" s="235"/>
      <c r="DPD17" s="235"/>
      <c r="DPE17" s="235"/>
      <c r="DPF17" s="235"/>
      <c r="DPG17" s="235"/>
      <c r="DPH17" s="235"/>
      <c r="DPI17" s="235"/>
      <c r="DPJ17" s="235"/>
      <c r="DPK17" s="235"/>
      <c r="DPL17" s="235"/>
      <c r="DPM17" s="235"/>
      <c r="DPN17" s="235"/>
      <c r="DPO17" s="235"/>
      <c r="DPP17" s="235"/>
      <c r="DPQ17" s="235"/>
      <c r="DPR17" s="235"/>
      <c r="DPS17" s="235"/>
      <c r="DPT17" s="235"/>
      <c r="DPU17" s="235"/>
      <c r="DPV17" s="235"/>
      <c r="DPW17" s="235"/>
      <c r="DPX17" s="235"/>
      <c r="DPY17" s="235"/>
      <c r="DPZ17" s="235"/>
      <c r="DQA17" s="235"/>
      <c r="DQB17" s="235"/>
      <c r="DQC17" s="235"/>
      <c r="DQD17" s="235"/>
      <c r="DQE17" s="235"/>
      <c r="DQF17" s="235"/>
      <c r="DQG17" s="235"/>
      <c r="DQH17" s="235"/>
      <c r="DQI17" s="235"/>
      <c r="DQJ17" s="235"/>
      <c r="DQK17" s="235"/>
      <c r="DQL17" s="235"/>
      <c r="DQM17" s="235"/>
      <c r="DQN17" s="235"/>
      <c r="DQO17" s="235"/>
      <c r="DQP17" s="235"/>
      <c r="DQQ17" s="235"/>
      <c r="DQR17" s="235"/>
      <c r="DQS17" s="235"/>
      <c r="DQT17" s="235"/>
      <c r="DQU17" s="235"/>
      <c r="DQV17" s="235"/>
      <c r="DQW17" s="235"/>
      <c r="DQX17" s="235"/>
      <c r="DQY17" s="235"/>
      <c r="DQZ17" s="235"/>
      <c r="DRA17" s="235"/>
      <c r="DRB17" s="235"/>
      <c r="DRC17" s="235"/>
      <c r="DRD17" s="235"/>
      <c r="DRE17" s="235"/>
      <c r="DRF17" s="235"/>
      <c r="DRG17" s="235"/>
      <c r="DRH17" s="235"/>
      <c r="DRI17" s="235"/>
      <c r="DRJ17" s="235"/>
      <c r="DRK17" s="235"/>
      <c r="DRL17" s="235"/>
      <c r="DRM17" s="235"/>
      <c r="DRN17" s="235"/>
      <c r="DRO17" s="235"/>
      <c r="DRP17" s="235"/>
      <c r="DRQ17" s="235"/>
      <c r="DRR17" s="235"/>
      <c r="DRS17" s="235"/>
      <c r="DRT17" s="235"/>
      <c r="DRU17" s="235"/>
      <c r="DRV17" s="235"/>
      <c r="DRW17" s="235"/>
      <c r="DRX17" s="235"/>
      <c r="DRY17" s="235"/>
      <c r="DRZ17" s="235"/>
      <c r="DSA17" s="235"/>
      <c r="DSB17" s="235"/>
      <c r="DSC17" s="235"/>
      <c r="DSD17" s="235"/>
      <c r="DSE17" s="235"/>
      <c r="DSF17" s="235"/>
      <c r="DSG17" s="235"/>
      <c r="DSH17" s="235"/>
      <c r="DSI17" s="235"/>
      <c r="DSJ17" s="235"/>
      <c r="DSK17" s="235"/>
      <c r="DSL17" s="235"/>
      <c r="DSM17" s="235"/>
      <c r="DSN17" s="235"/>
      <c r="DSO17" s="235"/>
      <c r="DSP17" s="235"/>
      <c r="DSQ17" s="235"/>
      <c r="DSR17" s="235"/>
      <c r="DSS17" s="235"/>
      <c r="DST17" s="235"/>
      <c r="DSU17" s="235"/>
      <c r="DSV17" s="235"/>
      <c r="DSW17" s="235"/>
      <c r="DSX17" s="235"/>
      <c r="DSY17" s="235"/>
      <c r="DSZ17" s="235"/>
      <c r="DTA17" s="235"/>
      <c r="DTB17" s="235"/>
      <c r="DTC17" s="235"/>
      <c r="DTD17" s="235"/>
      <c r="DTE17" s="235"/>
      <c r="DTF17" s="235"/>
      <c r="DTG17" s="235"/>
      <c r="DTH17" s="235"/>
      <c r="DTI17" s="235"/>
      <c r="DTJ17" s="235"/>
      <c r="DTK17" s="235"/>
      <c r="DTL17" s="235"/>
      <c r="DTM17" s="235"/>
      <c r="DTN17" s="235"/>
      <c r="DTO17" s="235"/>
      <c r="DTP17" s="235"/>
      <c r="DTQ17" s="235"/>
      <c r="DTR17" s="235"/>
      <c r="DTS17" s="235"/>
      <c r="DTT17" s="235"/>
      <c r="DTU17" s="235"/>
      <c r="DTV17" s="235"/>
      <c r="DTW17" s="235"/>
      <c r="DTX17" s="235"/>
      <c r="DTY17" s="235"/>
      <c r="DTZ17" s="235"/>
      <c r="DUA17" s="235"/>
      <c r="DUB17" s="235"/>
      <c r="DUC17" s="235"/>
      <c r="DUD17" s="235"/>
      <c r="DUE17" s="235"/>
      <c r="DUF17" s="235"/>
      <c r="DUG17" s="235"/>
      <c r="DUH17" s="235"/>
      <c r="DUI17" s="235"/>
      <c r="DUJ17" s="235"/>
      <c r="DUK17" s="235"/>
      <c r="DUL17" s="235"/>
      <c r="DUM17" s="235"/>
      <c r="DUN17" s="235"/>
      <c r="DUO17" s="235"/>
      <c r="DUP17" s="235"/>
      <c r="DUQ17" s="235"/>
      <c r="DUR17" s="235"/>
      <c r="DUS17" s="235"/>
      <c r="DUT17" s="235"/>
      <c r="DUU17" s="235"/>
      <c r="DUV17" s="235"/>
      <c r="DUW17" s="235"/>
      <c r="DUX17" s="235"/>
      <c r="DUY17" s="235"/>
      <c r="DUZ17" s="235"/>
      <c r="DVA17" s="235"/>
      <c r="DVB17" s="235"/>
      <c r="DVC17" s="235"/>
      <c r="DVD17" s="235"/>
      <c r="DVE17" s="235"/>
      <c r="DVF17" s="235"/>
      <c r="DVG17" s="235"/>
      <c r="DVH17" s="235"/>
      <c r="DVI17" s="235"/>
      <c r="DVJ17" s="235"/>
      <c r="DVK17" s="235"/>
      <c r="DVL17" s="235"/>
      <c r="DVM17" s="235"/>
      <c r="DVN17" s="235"/>
      <c r="DVO17" s="235"/>
      <c r="DVP17" s="235"/>
      <c r="DVQ17" s="235"/>
      <c r="DVR17" s="235"/>
      <c r="DVS17" s="235"/>
      <c r="DVT17" s="235"/>
      <c r="DVU17" s="235"/>
      <c r="DVV17" s="235"/>
      <c r="DVW17" s="235"/>
      <c r="DVX17" s="235"/>
      <c r="DVY17" s="235"/>
      <c r="DVZ17" s="235"/>
      <c r="DWA17" s="235"/>
      <c r="DWB17" s="235"/>
      <c r="DWC17" s="235"/>
      <c r="DWD17" s="235"/>
      <c r="DWE17" s="235"/>
      <c r="DWF17" s="235"/>
      <c r="DWG17" s="235"/>
      <c r="DWH17" s="235"/>
      <c r="DWI17" s="235"/>
      <c r="DWJ17" s="235"/>
      <c r="DWK17" s="235"/>
      <c r="DWL17" s="235"/>
      <c r="DWM17" s="235"/>
      <c r="DWN17" s="235"/>
      <c r="DWO17" s="235"/>
      <c r="DWP17" s="235"/>
      <c r="DWQ17" s="235"/>
      <c r="DWR17" s="235"/>
      <c r="DWS17" s="235"/>
      <c r="DWT17" s="235"/>
      <c r="DWU17" s="235"/>
      <c r="DWV17" s="235"/>
      <c r="DWW17" s="235"/>
      <c r="DWX17" s="235"/>
      <c r="DWY17" s="235"/>
      <c r="DWZ17" s="235"/>
      <c r="DXA17" s="235"/>
      <c r="DXB17" s="235"/>
      <c r="DXC17" s="235"/>
      <c r="DXD17" s="235"/>
      <c r="DXE17" s="235"/>
      <c r="DXF17" s="235"/>
      <c r="DXG17" s="235"/>
      <c r="DXH17" s="235"/>
      <c r="DXI17" s="235"/>
      <c r="DXJ17" s="235"/>
      <c r="DXK17" s="235"/>
      <c r="DXL17" s="235"/>
      <c r="DXM17" s="235"/>
      <c r="DXN17" s="235"/>
      <c r="DXO17" s="235"/>
      <c r="DXP17" s="235"/>
      <c r="DXQ17" s="235"/>
      <c r="DXR17" s="235"/>
      <c r="DXS17" s="235"/>
      <c r="DXT17" s="235"/>
      <c r="DXU17" s="235"/>
      <c r="DXV17" s="235"/>
      <c r="DXW17" s="235"/>
      <c r="DXX17" s="235"/>
      <c r="DXY17" s="235"/>
      <c r="DXZ17" s="235"/>
      <c r="DYA17" s="235"/>
      <c r="DYB17" s="235"/>
      <c r="DYC17" s="235"/>
      <c r="DYD17" s="235"/>
      <c r="DYE17" s="235"/>
      <c r="DYF17" s="235"/>
      <c r="DYG17" s="235"/>
      <c r="DYH17" s="235"/>
      <c r="DYI17" s="235"/>
      <c r="DYJ17" s="235"/>
      <c r="DYK17" s="235"/>
      <c r="DYL17" s="235"/>
      <c r="DYM17" s="235"/>
      <c r="DYN17" s="235"/>
      <c r="DYO17" s="235"/>
      <c r="DYP17" s="235"/>
      <c r="DYQ17" s="235"/>
      <c r="DYR17" s="235"/>
      <c r="DYS17" s="235"/>
      <c r="DYT17" s="235"/>
      <c r="DYU17" s="235"/>
      <c r="DYV17" s="235"/>
      <c r="DYW17" s="235"/>
      <c r="DYX17" s="235"/>
      <c r="DYY17" s="235"/>
      <c r="DYZ17" s="235"/>
      <c r="DZA17" s="235"/>
      <c r="DZB17" s="235"/>
      <c r="DZC17" s="235"/>
      <c r="DZD17" s="235"/>
      <c r="DZE17" s="235"/>
      <c r="DZF17" s="235"/>
      <c r="DZG17" s="235"/>
      <c r="DZH17" s="235"/>
      <c r="DZI17" s="235"/>
      <c r="DZJ17" s="235"/>
      <c r="DZK17" s="235"/>
      <c r="DZL17" s="235"/>
      <c r="DZM17" s="235"/>
      <c r="DZN17" s="235"/>
      <c r="DZO17" s="235"/>
      <c r="DZP17" s="235"/>
      <c r="DZQ17" s="235"/>
      <c r="DZR17" s="235"/>
      <c r="DZS17" s="235"/>
      <c r="DZT17" s="235"/>
      <c r="DZU17" s="235"/>
      <c r="DZV17" s="235"/>
      <c r="DZW17" s="235"/>
      <c r="DZX17" s="235"/>
      <c r="DZY17" s="235"/>
      <c r="DZZ17" s="235"/>
      <c r="EAA17" s="235"/>
      <c r="EAB17" s="235"/>
      <c r="EAC17" s="235"/>
      <c r="EAD17" s="235"/>
      <c r="EAE17" s="235"/>
      <c r="EAF17" s="235"/>
      <c r="EAG17" s="235"/>
      <c r="EAH17" s="235"/>
      <c r="EAI17" s="235"/>
      <c r="EAJ17" s="235"/>
      <c r="EAK17" s="235"/>
      <c r="EAL17" s="235"/>
      <c r="EAM17" s="235"/>
      <c r="EAN17" s="235"/>
      <c r="EAO17" s="235"/>
      <c r="EAP17" s="235"/>
      <c r="EAQ17" s="235"/>
      <c r="EAR17" s="235"/>
      <c r="EAS17" s="235"/>
      <c r="EAT17" s="235"/>
      <c r="EAU17" s="235"/>
      <c r="EAV17" s="235"/>
      <c r="EAW17" s="235"/>
      <c r="EAX17" s="235"/>
      <c r="EAY17" s="235"/>
      <c r="EAZ17" s="235"/>
      <c r="EBA17" s="235"/>
      <c r="EBB17" s="235"/>
      <c r="EBC17" s="235"/>
      <c r="EBD17" s="235"/>
      <c r="EBE17" s="235"/>
      <c r="EBF17" s="235"/>
      <c r="EBG17" s="235"/>
      <c r="EBH17" s="235"/>
      <c r="EBI17" s="235"/>
      <c r="EBJ17" s="235"/>
      <c r="EBK17" s="235"/>
      <c r="EBL17" s="235"/>
      <c r="EBM17" s="235"/>
      <c r="EBN17" s="235"/>
      <c r="EBO17" s="235"/>
      <c r="EBP17" s="235"/>
      <c r="EBQ17" s="235"/>
      <c r="EBR17" s="235"/>
      <c r="EBS17" s="235"/>
      <c r="EBT17" s="235"/>
      <c r="EBU17" s="235"/>
      <c r="EBV17" s="235"/>
      <c r="EBW17" s="235"/>
      <c r="EBX17" s="235"/>
      <c r="EBY17" s="235"/>
      <c r="EBZ17" s="235"/>
      <c r="ECA17" s="235"/>
      <c r="ECB17" s="235"/>
      <c r="ECC17" s="235"/>
      <c r="ECD17" s="235"/>
      <c r="ECE17" s="235"/>
      <c r="ECF17" s="235"/>
      <c r="ECG17" s="235"/>
      <c r="ECH17" s="235"/>
      <c r="ECI17" s="235"/>
      <c r="ECJ17" s="235"/>
      <c r="ECK17" s="235"/>
      <c r="ECL17" s="235"/>
      <c r="ECM17" s="235"/>
      <c r="ECN17" s="235"/>
      <c r="ECO17" s="235"/>
      <c r="ECP17" s="235"/>
      <c r="ECQ17" s="235"/>
      <c r="ECR17" s="235"/>
      <c r="ECS17" s="235"/>
      <c r="ECT17" s="235"/>
      <c r="ECU17" s="235"/>
      <c r="ECV17" s="235"/>
      <c r="ECW17" s="235"/>
      <c r="ECX17" s="235"/>
      <c r="ECY17" s="235"/>
      <c r="ECZ17" s="235"/>
      <c r="EDA17" s="235"/>
      <c r="EDB17" s="235"/>
      <c r="EDC17" s="235"/>
      <c r="EDD17" s="235"/>
      <c r="EDE17" s="235"/>
      <c r="EDF17" s="235"/>
      <c r="EDG17" s="235"/>
      <c r="EDH17" s="235"/>
      <c r="EDI17" s="235"/>
      <c r="EDJ17" s="235"/>
      <c r="EDK17" s="235"/>
      <c r="EDL17" s="235"/>
      <c r="EDM17" s="235"/>
      <c r="EDN17" s="235"/>
      <c r="EDO17" s="235"/>
      <c r="EDP17" s="235"/>
      <c r="EDQ17" s="235"/>
      <c r="EDR17" s="235"/>
      <c r="EDS17" s="235"/>
      <c r="EDT17" s="235"/>
      <c r="EDU17" s="235"/>
      <c r="EDV17" s="235"/>
      <c r="EDW17" s="235"/>
      <c r="EDX17" s="235"/>
      <c r="EDY17" s="235"/>
      <c r="EDZ17" s="235"/>
      <c r="EEA17" s="235"/>
      <c r="EEB17" s="235"/>
      <c r="EEC17" s="235"/>
      <c r="EED17" s="235"/>
      <c r="EEE17" s="235"/>
      <c r="EEF17" s="235"/>
      <c r="EEG17" s="235"/>
      <c r="EEH17" s="235"/>
      <c r="EEI17" s="235"/>
      <c r="EEJ17" s="235"/>
      <c r="EEK17" s="235"/>
      <c r="EEL17" s="235"/>
      <c r="EEM17" s="235"/>
      <c r="EEN17" s="235"/>
      <c r="EEO17" s="235"/>
      <c r="EEP17" s="235"/>
      <c r="EEQ17" s="235"/>
      <c r="EER17" s="235"/>
      <c r="EES17" s="235"/>
      <c r="EET17" s="235"/>
      <c r="EEU17" s="235"/>
      <c r="EEV17" s="235"/>
      <c r="EEW17" s="235"/>
      <c r="EEX17" s="235"/>
      <c r="EEY17" s="235"/>
      <c r="EEZ17" s="235"/>
      <c r="EFA17" s="235"/>
      <c r="EFB17" s="235"/>
      <c r="EFC17" s="235"/>
      <c r="EFD17" s="235"/>
      <c r="EFE17" s="235"/>
      <c r="EFF17" s="235"/>
      <c r="EFG17" s="235"/>
      <c r="EFH17" s="235"/>
      <c r="EFI17" s="235"/>
      <c r="EFJ17" s="235"/>
      <c r="EFK17" s="235"/>
      <c r="EFL17" s="235"/>
      <c r="EFM17" s="235"/>
      <c r="EFN17" s="235"/>
      <c r="EFO17" s="235"/>
      <c r="EFP17" s="235"/>
      <c r="EFQ17" s="235"/>
      <c r="EFR17" s="235"/>
      <c r="EFS17" s="235"/>
      <c r="EFT17" s="235"/>
      <c r="EFU17" s="235"/>
      <c r="EFV17" s="235"/>
      <c r="EFW17" s="235"/>
      <c r="EFX17" s="235"/>
      <c r="EFY17" s="235"/>
      <c r="EFZ17" s="235"/>
      <c r="EGA17" s="235"/>
      <c r="EGB17" s="235"/>
      <c r="EGC17" s="235"/>
      <c r="EGD17" s="235"/>
      <c r="EGE17" s="235"/>
      <c r="EGF17" s="235"/>
      <c r="EGG17" s="235"/>
      <c r="EGH17" s="235"/>
      <c r="EGI17" s="235"/>
      <c r="EGJ17" s="235"/>
      <c r="EGK17" s="235"/>
      <c r="EGL17" s="235"/>
      <c r="EGM17" s="235"/>
      <c r="EGN17" s="235"/>
      <c r="EGO17" s="235"/>
      <c r="EGP17" s="235"/>
      <c r="EGQ17" s="235"/>
      <c r="EGR17" s="235"/>
      <c r="EGS17" s="235"/>
      <c r="EGT17" s="235"/>
      <c r="EGU17" s="235"/>
      <c r="EGV17" s="235"/>
      <c r="EGW17" s="235"/>
      <c r="EGX17" s="235"/>
      <c r="EGY17" s="235"/>
      <c r="EGZ17" s="235"/>
      <c r="EHA17" s="235"/>
      <c r="EHB17" s="235"/>
      <c r="EHC17" s="235"/>
      <c r="EHD17" s="235"/>
      <c r="EHE17" s="235"/>
      <c r="EHF17" s="235"/>
      <c r="EHG17" s="235"/>
      <c r="EHH17" s="235"/>
      <c r="EHI17" s="235"/>
      <c r="EHJ17" s="235"/>
      <c r="EHK17" s="235"/>
      <c r="EHL17" s="235"/>
      <c r="EHM17" s="235"/>
      <c r="EHN17" s="235"/>
      <c r="EHO17" s="235"/>
      <c r="EHP17" s="235"/>
      <c r="EHQ17" s="235"/>
      <c r="EHR17" s="235"/>
      <c r="EHS17" s="235"/>
      <c r="EHT17" s="235"/>
      <c r="EHU17" s="235"/>
      <c r="EHV17" s="235"/>
      <c r="EHW17" s="235"/>
      <c r="EHX17" s="235"/>
      <c r="EHY17" s="235"/>
      <c r="EHZ17" s="235"/>
      <c r="EIA17" s="235"/>
      <c r="EIB17" s="235"/>
      <c r="EIC17" s="235"/>
      <c r="EID17" s="235"/>
      <c r="EIE17" s="235"/>
      <c r="EIF17" s="235"/>
      <c r="EIG17" s="235"/>
      <c r="EIH17" s="235"/>
      <c r="EII17" s="235"/>
      <c r="EIJ17" s="235"/>
      <c r="EIK17" s="235"/>
      <c r="EIL17" s="235"/>
      <c r="EIM17" s="235"/>
      <c r="EIN17" s="235"/>
      <c r="EIO17" s="235"/>
      <c r="EIP17" s="235"/>
      <c r="EIQ17" s="235"/>
      <c r="EIR17" s="235"/>
      <c r="EIS17" s="235"/>
      <c r="EIT17" s="235"/>
      <c r="EIU17" s="235"/>
      <c r="EIV17" s="235"/>
      <c r="EIW17" s="235"/>
      <c r="EIX17" s="235"/>
      <c r="EIY17" s="235"/>
      <c r="EIZ17" s="235"/>
      <c r="EJA17" s="235"/>
      <c r="EJB17" s="235"/>
      <c r="EJC17" s="235"/>
      <c r="EJD17" s="235"/>
      <c r="EJE17" s="235"/>
      <c r="EJF17" s="235"/>
      <c r="EJG17" s="235"/>
      <c r="EJH17" s="235"/>
      <c r="EJI17" s="235"/>
      <c r="EJJ17" s="235"/>
      <c r="EJK17" s="235"/>
      <c r="EJL17" s="235"/>
      <c r="EJM17" s="235"/>
      <c r="EJN17" s="235"/>
      <c r="EJO17" s="235"/>
      <c r="EJP17" s="235"/>
      <c r="EJQ17" s="235"/>
      <c r="EJR17" s="235"/>
      <c r="EJS17" s="235"/>
      <c r="EJT17" s="235"/>
      <c r="EJU17" s="235"/>
      <c r="EJV17" s="235"/>
      <c r="EJW17" s="235"/>
      <c r="EJX17" s="235"/>
      <c r="EJY17" s="235"/>
      <c r="EJZ17" s="235"/>
      <c r="EKA17" s="235"/>
      <c r="EKB17" s="235"/>
      <c r="EKC17" s="235"/>
      <c r="EKD17" s="235"/>
      <c r="EKE17" s="235"/>
      <c r="EKF17" s="235"/>
      <c r="EKG17" s="235"/>
      <c r="EKH17" s="235"/>
      <c r="EKI17" s="235"/>
      <c r="EKJ17" s="235"/>
      <c r="EKK17" s="235"/>
      <c r="EKL17" s="235"/>
      <c r="EKM17" s="235"/>
      <c r="EKN17" s="235"/>
      <c r="EKO17" s="235"/>
      <c r="EKP17" s="235"/>
      <c r="EKQ17" s="235"/>
      <c r="EKR17" s="235"/>
      <c r="EKS17" s="235"/>
      <c r="EKT17" s="235"/>
      <c r="EKU17" s="235"/>
      <c r="EKV17" s="235"/>
      <c r="EKW17" s="235"/>
      <c r="EKX17" s="235"/>
      <c r="EKY17" s="235"/>
      <c r="EKZ17" s="235"/>
      <c r="ELA17" s="235"/>
      <c r="ELB17" s="235"/>
      <c r="ELC17" s="235"/>
      <c r="ELD17" s="235"/>
      <c r="ELE17" s="235"/>
      <c r="ELF17" s="235"/>
      <c r="ELG17" s="235"/>
      <c r="ELH17" s="235"/>
      <c r="ELI17" s="235"/>
      <c r="ELJ17" s="235"/>
      <c r="ELK17" s="235"/>
      <c r="ELL17" s="235"/>
      <c r="ELM17" s="235"/>
      <c r="ELN17" s="235"/>
      <c r="ELO17" s="235"/>
      <c r="ELP17" s="235"/>
      <c r="ELQ17" s="235"/>
      <c r="ELR17" s="235"/>
      <c r="ELS17" s="235"/>
      <c r="ELT17" s="235"/>
      <c r="ELU17" s="235"/>
      <c r="ELV17" s="235"/>
      <c r="ELW17" s="235"/>
      <c r="ELX17" s="235"/>
      <c r="ELY17" s="235"/>
      <c r="ELZ17" s="235"/>
      <c r="EMA17" s="235"/>
      <c r="EMB17" s="235"/>
      <c r="EMC17" s="235"/>
      <c r="EMD17" s="235"/>
      <c r="EME17" s="235"/>
      <c r="EMF17" s="235"/>
      <c r="EMG17" s="235"/>
      <c r="EMH17" s="235"/>
      <c r="EMI17" s="235"/>
      <c r="EMJ17" s="235"/>
      <c r="EMK17" s="235"/>
      <c r="EML17" s="235"/>
      <c r="EMM17" s="235"/>
      <c r="EMN17" s="235"/>
      <c r="EMO17" s="235"/>
      <c r="EMP17" s="235"/>
      <c r="EMQ17" s="235"/>
      <c r="EMR17" s="235"/>
      <c r="EMS17" s="235"/>
      <c r="EMT17" s="235"/>
      <c r="EMU17" s="235"/>
      <c r="EMV17" s="235"/>
      <c r="EMW17" s="235"/>
      <c r="EMX17" s="235"/>
      <c r="EMY17" s="235"/>
      <c r="EMZ17" s="235"/>
      <c r="ENA17" s="235"/>
      <c r="ENB17" s="235"/>
      <c r="ENC17" s="235"/>
      <c r="END17" s="235"/>
      <c r="ENE17" s="235"/>
      <c r="ENF17" s="235"/>
      <c r="ENG17" s="235"/>
      <c r="ENH17" s="235"/>
      <c r="ENI17" s="235"/>
      <c r="ENJ17" s="235"/>
      <c r="ENK17" s="235"/>
      <c r="ENL17" s="235"/>
      <c r="ENM17" s="235"/>
      <c r="ENN17" s="235"/>
      <c r="ENO17" s="235"/>
      <c r="ENP17" s="235"/>
      <c r="ENQ17" s="235"/>
      <c r="ENR17" s="235"/>
      <c r="ENS17" s="235"/>
      <c r="ENT17" s="235"/>
      <c r="ENU17" s="235"/>
      <c r="ENV17" s="235"/>
      <c r="ENW17" s="235"/>
      <c r="ENX17" s="235"/>
      <c r="ENY17" s="235"/>
      <c r="ENZ17" s="235"/>
      <c r="EOA17" s="235"/>
      <c r="EOB17" s="235"/>
      <c r="EOC17" s="235"/>
      <c r="EOD17" s="235"/>
      <c r="EOE17" s="235"/>
      <c r="EOF17" s="235"/>
      <c r="EOG17" s="235"/>
      <c r="EOH17" s="235"/>
      <c r="EOI17" s="235"/>
      <c r="EOJ17" s="235"/>
      <c r="EOK17" s="235"/>
      <c r="EOL17" s="235"/>
      <c r="EOM17" s="235"/>
      <c r="EON17" s="235"/>
      <c r="EOO17" s="235"/>
      <c r="EOP17" s="235"/>
      <c r="EOQ17" s="235"/>
      <c r="EOR17" s="235"/>
      <c r="EOS17" s="235"/>
      <c r="EOT17" s="235"/>
      <c r="EOU17" s="235"/>
      <c r="EOV17" s="235"/>
      <c r="EOW17" s="235"/>
      <c r="EOX17" s="235"/>
      <c r="EOY17" s="235"/>
      <c r="EOZ17" s="235"/>
      <c r="EPA17" s="235"/>
      <c r="EPB17" s="235"/>
      <c r="EPC17" s="235"/>
      <c r="EPD17" s="235"/>
      <c r="EPE17" s="235"/>
      <c r="EPF17" s="235"/>
      <c r="EPG17" s="235"/>
      <c r="EPH17" s="235"/>
      <c r="EPI17" s="235"/>
      <c r="EPJ17" s="235"/>
      <c r="EPK17" s="235"/>
      <c r="EPL17" s="235"/>
      <c r="EPM17" s="235"/>
      <c r="EPN17" s="235"/>
      <c r="EPO17" s="235"/>
      <c r="EPP17" s="235"/>
      <c r="EPQ17" s="235"/>
      <c r="EPR17" s="235"/>
      <c r="EPS17" s="235"/>
      <c r="EPT17" s="235"/>
      <c r="EPU17" s="235"/>
      <c r="EPV17" s="235"/>
      <c r="EPW17" s="235"/>
      <c r="EPX17" s="235"/>
      <c r="EPY17" s="235"/>
      <c r="EPZ17" s="235"/>
      <c r="EQA17" s="235"/>
      <c r="EQB17" s="235"/>
      <c r="EQC17" s="235"/>
      <c r="EQD17" s="235"/>
      <c r="EQE17" s="235"/>
      <c r="EQF17" s="235"/>
      <c r="EQG17" s="235"/>
      <c r="EQH17" s="235"/>
      <c r="EQI17" s="235"/>
      <c r="EQJ17" s="235"/>
      <c r="EQK17" s="235"/>
      <c r="EQL17" s="235"/>
      <c r="EQM17" s="235"/>
      <c r="EQN17" s="235"/>
      <c r="EQO17" s="235"/>
      <c r="EQP17" s="235"/>
      <c r="EQQ17" s="235"/>
      <c r="EQR17" s="235"/>
      <c r="EQS17" s="235"/>
      <c r="EQT17" s="235"/>
      <c r="EQU17" s="235"/>
      <c r="EQV17" s="235"/>
      <c r="EQW17" s="235"/>
      <c r="EQX17" s="235"/>
      <c r="EQY17" s="235"/>
      <c r="EQZ17" s="235"/>
      <c r="ERA17" s="235"/>
      <c r="ERB17" s="235"/>
      <c r="ERC17" s="235"/>
      <c r="ERD17" s="235"/>
      <c r="ERE17" s="235"/>
      <c r="ERF17" s="235"/>
      <c r="ERG17" s="235"/>
      <c r="ERH17" s="235"/>
      <c r="ERI17" s="235"/>
      <c r="ERJ17" s="235"/>
      <c r="ERK17" s="235"/>
      <c r="ERL17" s="235"/>
      <c r="ERM17" s="235"/>
      <c r="ERN17" s="235"/>
      <c r="ERO17" s="235"/>
      <c r="ERP17" s="235"/>
      <c r="ERQ17" s="235"/>
      <c r="ERR17" s="235"/>
      <c r="ERS17" s="235"/>
      <c r="ERT17" s="235"/>
      <c r="ERU17" s="235"/>
      <c r="ERV17" s="235"/>
      <c r="ERW17" s="235"/>
      <c r="ERX17" s="235"/>
      <c r="ERY17" s="235"/>
      <c r="ERZ17" s="235"/>
      <c r="ESA17" s="235"/>
      <c r="ESB17" s="235"/>
      <c r="ESC17" s="235"/>
      <c r="ESD17" s="235"/>
      <c r="ESE17" s="235"/>
      <c r="ESF17" s="235"/>
      <c r="ESG17" s="235"/>
      <c r="ESH17" s="235"/>
      <c r="ESI17" s="235"/>
      <c r="ESJ17" s="235"/>
      <c r="ESK17" s="235"/>
      <c r="ESL17" s="235"/>
      <c r="ESM17" s="235"/>
      <c r="ESN17" s="235"/>
      <c r="ESO17" s="235"/>
      <c r="ESP17" s="235"/>
      <c r="ESQ17" s="235"/>
      <c r="ESR17" s="235"/>
      <c r="ESS17" s="235"/>
      <c r="EST17" s="235"/>
      <c r="ESU17" s="235"/>
      <c r="ESV17" s="235"/>
      <c r="ESW17" s="235"/>
      <c r="ESX17" s="235"/>
      <c r="ESY17" s="235"/>
      <c r="ESZ17" s="235"/>
      <c r="ETA17" s="235"/>
      <c r="ETB17" s="235"/>
      <c r="ETC17" s="235"/>
      <c r="ETD17" s="235"/>
      <c r="ETE17" s="235"/>
      <c r="ETF17" s="235"/>
      <c r="ETG17" s="235"/>
      <c r="ETH17" s="235"/>
      <c r="ETI17" s="235"/>
      <c r="ETJ17" s="235"/>
      <c r="ETK17" s="235"/>
      <c r="ETL17" s="235"/>
      <c r="ETM17" s="235"/>
      <c r="ETN17" s="235"/>
      <c r="ETO17" s="235"/>
      <c r="ETP17" s="235"/>
      <c r="ETQ17" s="235"/>
      <c r="ETR17" s="235"/>
      <c r="ETS17" s="235"/>
      <c r="ETT17" s="235"/>
      <c r="ETU17" s="235"/>
      <c r="ETV17" s="235"/>
      <c r="ETW17" s="235"/>
      <c r="ETX17" s="235"/>
      <c r="ETY17" s="235"/>
      <c r="ETZ17" s="235"/>
      <c r="EUA17" s="235"/>
      <c r="EUB17" s="235"/>
      <c r="EUC17" s="235"/>
      <c r="EUD17" s="235"/>
      <c r="EUE17" s="235"/>
      <c r="EUF17" s="235"/>
      <c r="EUG17" s="235"/>
      <c r="EUH17" s="235"/>
      <c r="EUI17" s="235"/>
      <c r="EUJ17" s="235"/>
      <c r="EUK17" s="235"/>
      <c r="EUL17" s="235"/>
      <c r="EUM17" s="235"/>
      <c r="EUN17" s="235"/>
      <c r="EUO17" s="235"/>
      <c r="EUP17" s="235"/>
      <c r="EUQ17" s="235"/>
      <c r="EUR17" s="235"/>
      <c r="EUS17" s="235"/>
      <c r="EUT17" s="235"/>
      <c r="EUU17" s="235"/>
      <c r="EUV17" s="235"/>
      <c r="EUW17" s="235"/>
      <c r="EUX17" s="235"/>
      <c r="EUY17" s="235"/>
      <c r="EUZ17" s="235"/>
      <c r="EVA17" s="235"/>
      <c r="EVB17" s="235"/>
      <c r="EVC17" s="235"/>
      <c r="EVD17" s="235"/>
      <c r="EVE17" s="235"/>
      <c r="EVF17" s="235"/>
      <c r="EVG17" s="235"/>
      <c r="EVH17" s="235"/>
      <c r="EVI17" s="235"/>
      <c r="EVJ17" s="235"/>
      <c r="EVK17" s="235"/>
      <c r="EVL17" s="235"/>
      <c r="EVM17" s="235"/>
      <c r="EVN17" s="235"/>
      <c r="EVO17" s="235"/>
      <c r="EVP17" s="235"/>
      <c r="EVQ17" s="235"/>
      <c r="EVR17" s="235"/>
      <c r="EVS17" s="235"/>
      <c r="EVT17" s="235"/>
      <c r="EVU17" s="235"/>
      <c r="EVV17" s="235"/>
      <c r="EVW17" s="235"/>
      <c r="EVX17" s="235"/>
      <c r="EVY17" s="235"/>
      <c r="EVZ17" s="235"/>
      <c r="EWA17" s="235"/>
      <c r="EWB17" s="235"/>
      <c r="EWC17" s="235"/>
      <c r="EWD17" s="235"/>
      <c r="EWE17" s="235"/>
      <c r="EWF17" s="235"/>
      <c r="EWG17" s="235"/>
      <c r="EWH17" s="235"/>
      <c r="EWI17" s="235"/>
      <c r="EWJ17" s="235"/>
      <c r="EWK17" s="235"/>
      <c r="EWL17" s="235"/>
      <c r="EWM17" s="235"/>
      <c r="EWN17" s="235"/>
      <c r="EWO17" s="235"/>
      <c r="EWP17" s="235"/>
      <c r="EWQ17" s="235"/>
      <c r="EWR17" s="235"/>
      <c r="EWS17" s="235"/>
      <c r="EWT17" s="235"/>
      <c r="EWU17" s="235"/>
      <c r="EWV17" s="235"/>
      <c r="EWW17" s="235"/>
      <c r="EWX17" s="235"/>
      <c r="EWY17" s="235"/>
      <c r="EWZ17" s="235"/>
      <c r="EXA17" s="235"/>
      <c r="EXB17" s="235"/>
      <c r="EXC17" s="235"/>
      <c r="EXD17" s="235"/>
      <c r="EXE17" s="235"/>
      <c r="EXF17" s="235"/>
      <c r="EXG17" s="235"/>
      <c r="EXH17" s="235"/>
      <c r="EXI17" s="235"/>
      <c r="EXJ17" s="235"/>
      <c r="EXK17" s="235"/>
      <c r="EXL17" s="235"/>
      <c r="EXM17" s="235"/>
      <c r="EXN17" s="235"/>
      <c r="EXO17" s="235"/>
      <c r="EXP17" s="235"/>
      <c r="EXQ17" s="235"/>
      <c r="EXR17" s="235"/>
      <c r="EXS17" s="235"/>
      <c r="EXT17" s="235"/>
      <c r="EXU17" s="235"/>
      <c r="EXV17" s="235"/>
      <c r="EXW17" s="235"/>
      <c r="EXX17" s="235"/>
      <c r="EXY17" s="235"/>
      <c r="EXZ17" s="235"/>
      <c r="EYA17" s="235"/>
      <c r="EYB17" s="235"/>
      <c r="EYC17" s="235"/>
      <c r="EYD17" s="235"/>
      <c r="EYE17" s="235"/>
      <c r="EYF17" s="235"/>
      <c r="EYG17" s="235"/>
      <c r="EYH17" s="235"/>
      <c r="EYI17" s="235"/>
      <c r="EYJ17" s="235"/>
      <c r="EYK17" s="235"/>
      <c r="EYL17" s="235"/>
      <c r="EYM17" s="235"/>
      <c r="EYN17" s="235"/>
      <c r="EYO17" s="235"/>
      <c r="EYP17" s="235"/>
      <c r="EYQ17" s="235"/>
      <c r="EYR17" s="235"/>
      <c r="EYS17" s="235"/>
      <c r="EYT17" s="235"/>
      <c r="EYU17" s="235"/>
      <c r="EYV17" s="235"/>
      <c r="EYW17" s="235"/>
      <c r="EYX17" s="235"/>
      <c r="EYY17" s="235"/>
      <c r="EYZ17" s="235"/>
      <c r="EZA17" s="235"/>
      <c r="EZB17" s="235"/>
      <c r="EZC17" s="235"/>
      <c r="EZD17" s="235"/>
      <c r="EZE17" s="235"/>
      <c r="EZF17" s="235"/>
      <c r="EZG17" s="235"/>
      <c r="EZH17" s="235"/>
      <c r="EZI17" s="235"/>
      <c r="EZJ17" s="235"/>
      <c r="EZK17" s="235"/>
      <c r="EZL17" s="235"/>
      <c r="EZM17" s="235"/>
      <c r="EZN17" s="235"/>
      <c r="EZO17" s="235"/>
      <c r="EZP17" s="235"/>
      <c r="EZQ17" s="235"/>
      <c r="EZR17" s="235"/>
      <c r="EZS17" s="235"/>
      <c r="EZT17" s="235"/>
      <c r="EZU17" s="235"/>
      <c r="EZV17" s="235"/>
      <c r="EZW17" s="235"/>
      <c r="EZX17" s="235"/>
      <c r="EZY17" s="235"/>
      <c r="EZZ17" s="235"/>
      <c r="FAA17" s="235"/>
      <c r="FAB17" s="235"/>
      <c r="FAC17" s="235"/>
      <c r="FAD17" s="235"/>
      <c r="FAE17" s="235"/>
      <c r="FAF17" s="235"/>
      <c r="FAG17" s="235"/>
      <c r="FAH17" s="235"/>
      <c r="FAI17" s="235"/>
      <c r="FAJ17" s="235"/>
      <c r="FAK17" s="235"/>
      <c r="FAL17" s="235"/>
      <c r="FAM17" s="235"/>
      <c r="FAN17" s="235"/>
      <c r="FAO17" s="235"/>
      <c r="FAP17" s="235"/>
      <c r="FAQ17" s="235"/>
      <c r="FAR17" s="235"/>
      <c r="FAS17" s="235"/>
      <c r="FAT17" s="235"/>
      <c r="FAU17" s="235"/>
      <c r="FAV17" s="235"/>
      <c r="FAW17" s="235"/>
      <c r="FAX17" s="235"/>
      <c r="FAY17" s="235"/>
      <c r="FAZ17" s="235"/>
      <c r="FBA17" s="235"/>
      <c r="FBB17" s="235"/>
      <c r="FBC17" s="235"/>
      <c r="FBD17" s="235"/>
      <c r="FBE17" s="235"/>
      <c r="FBF17" s="235"/>
      <c r="FBG17" s="235"/>
      <c r="FBH17" s="235"/>
      <c r="FBI17" s="235"/>
      <c r="FBJ17" s="235"/>
      <c r="FBK17" s="235"/>
      <c r="FBL17" s="235"/>
      <c r="FBM17" s="235"/>
      <c r="FBN17" s="235"/>
      <c r="FBO17" s="235"/>
      <c r="FBP17" s="235"/>
      <c r="FBQ17" s="235"/>
      <c r="FBR17" s="235"/>
      <c r="FBS17" s="235"/>
      <c r="FBT17" s="235"/>
      <c r="FBU17" s="235"/>
      <c r="FBV17" s="235"/>
      <c r="FBW17" s="235"/>
      <c r="FBX17" s="235"/>
      <c r="FBY17" s="235"/>
      <c r="FBZ17" s="235"/>
      <c r="FCA17" s="235"/>
      <c r="FCB17" s="235"/>
      <c r="FCC17" s="235"/>
      <c r="FCD17" s="235"/>
      <c r="FCE17" s="235"/>
      <c r="FCF17" s="235"/>
      <c r="FCG17" s="235"/>
      <c r="FCH17" s="235"/>
      <c r="FCI17" s="235"/>
      <c r="FCJ17" s="235"/>
      <c r="FCK17" s="235"/>
      <c r="FCL17" s="235"/>
      <c r="FCM17" s="235"/>
      <c r="FCN17" s="235"/>
      <c r="FCO17" s="235"/>
      <c r="FCP17" s="235"/>
      <c r="FCQ17" s="235"/>
      <c r="FCR17" s="235"/>
      <c r="FCS17" s="235"/>
      <c r="FCT17" s="235"/>
      <c r="FCU17" s="235"/>
      <c r="FCV17" s="235"/>
      <c r="FCW17" s="235"/>
      <c r="FCX17" s="235"/>
      <c r="FCY17" s="235"/>
      <c r="FCZ17" s="235"/>
      <c r="FDA17" s="235"/>
      <c r="FDB17" s="235"/>
      <c r="FDC17" s="235"/>
      <c r="FDD17" s="235"/>
      <c r="FDE17" s="235"/>
      <c r="FDF17" s="235"/>
      <c r="FDG17" s="235"/>
      <c r="FDH17" s="235"/>
      <c r="FDI17" s="235"/>
      <c r="FDJ17" s="235"/>
      <c r="FDK17" s="235"/>
      <c r="FDL17" s="235"/>
      <c r="FDM17" s="235"/>
      <c r="FDN17" s="235"/>
      <c r="FDO17" s="235"/>
      <c r="FDP17" s="235"/>
      <c r="FDQ17" s="235"/>
      <c r="FDR17" s="235"/>
      <c r="FDS17" s="235"/>
      <c r="FDT17" s="235"/>
      <c r="FDU17" s="235"/>
      <c r="FDV17" s="235"/>
      <c r="FDW17" s="235"/>
      <c r="FDX17" s="235"/>
      <c r="FDY17" s="235"/>
      <c r="FDZ17" s="235"/>
      <c r="FEA17" s="235"/>
      <c r="FEB17" s="235"/>
      <c r="FEC17" s="235"/>
      <c r="FED17" s="235"/>
      <c r="FEE17" s="235"/>
      <c r="FEF17" s="235"/>
      <c r="FEG17" s="235"/>
      <c r="FEH17" s="235"/>
      <c r="FEI17" s="235"/>
      <c r="FEJ17" s="235"/>
      <c r="FEK17" s="235"/>
      <c r="FEL17" s="235"/>
      <c r="FEM17" s="235"/>
      <c r="FEN17" s="235"/>
      <c r="FEO17" s="235"/>
      <c r="FEP17" s="235"/>
      <c r="FEQ17" s="235"/>
      <c r="FER17" s="235"/>
      <c r="FES17" s="235"/>
      <c r="FET17" s="235"/>
      <c r="FEU17" s="235"/>
      <c r="FEV17" s="235"/>
      <c r="FEW17" s="235"/>
      <c r="FEX17" s="235"/>
      <c r="FEY17" s="235"/>
      <c r="FEZ17" s="235"/>
      <c r="FFA17" s="235"/>
      <c r="FFB17" s="235"/>
      <c r="FFC17" s="235"/>
      <c r="FFD17" s="235"/>
      <c r="FFE17" s="235"/>
      <c r="FFF17" s="235"/>
      <c r="FFG17" s="235"/>
      <c r="FFH17" s="235"/>
      <c r="FFI17" s="235"/>
      <c r="FFJ17" s="235"/>
      <c r="FFK17" s="235"/>
      <c r="FFL17" s="235"/>
      <c r="FFM17" s="235"/>
      <c r="FFN17" s="235"/>
      <c r="FFO17" s="235"/>
      <c r="FFP17" s="235"/>
      <c r="FFQ17" s="235"/>
      <c r="FFR17" s="235"/>
      <c r="FFS17" s="235"/>
      <c r="FFT17" s="235"/>
      <c r="FFU17" s="235"/>
      <c r="FFV17" s="235"/>
      <c r="FFW17" s="235"/>
      <c r="FFX17" s="235"/>
      <c r="FFY17" s="235"/>
      <c r="FFZ17" s="235"/>
      <c r="FGA17" s="235"/>
      <c r="FGB17" s="235"/>
      <c r="FGC17" s="235"/>
      <c r="FGD17" s="235"/>
      <c r="FGE17" s="235"/>
      <c r="FGF17" s="235"/>
      <c r="FGG17" s="235"/>
      <c r="FGH17" s="235"/>
      <c r="FGI17" s="235"/>
      <c r="FGJ17" s="235"/>
      <c r="FGK17" s="235"/>
      <c r="FGL17" s="235"/>
      <c r="FGM17" s="235"/>
      <c r="FGN17" s="235"/>
      <c r="FGO17" s="235"/>
      <c r="FGP17" s="235"/>
      <c r="FGQ17" s="235"/>
      <c r="FGR17" s="235"/>
      <c r="FGS17" s="235"/>
      <c r="FGT17" s="235"/>
      <c r="FGU17" s="235"/>
      <c r="FGV17" s="235"/>
      <c r="FGW17" s="235"/>
      <c r="FGX17" s="235"/>
      <c r="FGY17" s="235"/>
      <c r="FGZ17" s="235"/>
      <c r="FHA17" s="235"/>
      <c r="FHB17" s="235"/>
      <c r="FHC17" s="235"/>
      <c r="FHD17" s="235"/>
      <c r="FHE17" s="235"/>
      <c r="FHF17" s="235"/>
      <c r="FHG17" s="235"/>
      <c r="FHH17" s="235"/>
      <c r="FHI17" s="235"/>
      <c r="FHJ17" s="235"/>
      <c r="FHK17" s="235"/>
      <c r="FHL17" s="235"/>
      <c r="FHM17" s="235"/>
      <c r="FHN17" s="235"/>
      <c r="FHO17" s="235"/>
      <c r="FHP17" s="235"/>
      <c r="FHQ17" s="235"/>
      <c r="FHR17" s="235"/>
      <c r="FHS17" s="235"/>
      <c r="FHT17" s="235"/>
      <c r="FHU17" s="235"/>
      <c r="FHV17" s="235"/>
      <c r="FHW17" s="235"/>
      <c r="FHX17" s="235"/>
      <c r="FHY17" s="235"/>
      <c r="FHZ17" s="235"/>
      <c r="FIA17" s="235"/>
      <c r="FIB17" s="235"/>
      <c r="FIC17" s="235"/>
      <c r="FID17" s="235"/>
      <c r="FIE17" s="235"/>
      <c r="FIF17" s="235"/>
      <c r="FIG17" s="235"/>
      <c r="FIH17" s="235"/>
      <c r="FII17" s="235"/>
      <c r="FIJ17" s="235"/>
      <c r="FIK17" s="235"/>
      <c r="FIL17" s="235"/>
      <c r="FIM17" s="235"/>
      <c r="FIN17" s="235"/>
      <c r="FIO17" s="235"/>
      <c r="FIP17" s="235"/>
      <c r="FIQ17" s="235"/>
      <c r="FIR17" s="235"/>
      <c r="FIS17" s="235"/>
      <c r="FIT17" s="235"/>
      <c r="FIU17" s="235"/>
      <c r="FIV17" s="235"/>
      <c r="FIW17" s="235"/>
      <c r="FIX17" s="235"/>
      <c r="FIY17" s="235"/>
      <c r="FIZ17" s="235"/>
      <c r="FJA17" s="235"/>
      <c r="FJB17" s="235"/>
      <c r="FJC17" s="235"/>
      <c r="FJD17" s="235"/>
      <c r="FJE17" s="235"/>
      <c r="FJF17" s="235"/>
      <c r="FJG17" s="235"/>
      <c r="FJH17" s="235"/>
      <c r="FJI17" s="235"/>
      <c r="FJJ17" s="235"/>
      <c r="FJK17" s="235"/>
      <c r="FJL17" s="235"/>
      <c r="FJM17" s="235"/>
      <c r="FJN17" s="235"/>
      <c r="FJO17" s="235"/>
      <c r="FJP17" s="235"/>
      <c r="FJQ17" s="235"/>
      <c r="FJR17" s="235"/>
      <c r="FJS17" s="235"/>
      <c r="FJT17" s="235"/>
      <c r="FJU17" s="235"/>
      <c r="FJV17" s="235"/>
      <c r="FJW17" s="235"/>
      <c r="FJX17" s="235"/>
      <c r="FJY17" s="235"/>
      <c r="FJZ17" s="235"/>
      <c r="FKA17" s="235"/>
      <c r="FKB17" s="235"/>
      <c r="FKC17" s="235"/>
      <c r="FKD17" s="235"/>
      <c r="FKE17" s="235"/>
      <c r="FKF17" s="235"/>
      <c r="FKG17" s="235"/>
      <c r="FKH17" s="235"/>
      <c r="FKI17" s="235"/>
      <c r="FKJ17" s="235"/>
      <c r="FKK17" s="235"/>
      <c r="FKL17" s="235"/>
      <c r="FKM17" s="235"/>
      <c r="FKN17" s="235"/>
      <c r="FKO17" s="235"/>
      <c r="FKP17" s="235"/>
      <c r="FKQ17" s="235"/>
      <c r="FKR17" s="235"/>
      <c r="FKS17" s="235"/>
      <c r="FKT17" s="235"/>
      <c r="FKU17" s="235"/>
      <c r="FKV17" s="235"/>
      <c r="FKW17" s="235"/>
      <c r="FKX17" s="235"/>
      <c r="FKY17" s="235"/>
      <c r="FKZ17" s="235"/>
      <c r="FLA17" s="235"/>
      <c r="FLB17" s="235"/>
      <c r="FLC17" s="235"/>
      <c r="FLD17" s="235"/>
      <c r="FLE17" s="235"/>
      <c r="FLF17" s="235"/>
      <c r="FLG17" s="235"/>
      <c r="FLH17" s="235"/>
      <c r="FLI17" s="235"/>
      <c r="FLJ17" s="235"/>
      <c r="FLK17" s="235"/>
      <c r="FLL17" s="235"/>
      <c r="FLM17" s="235"/>
      <c r="FLN17" s="235"/>
      <c r="FLO17" s="235"/>
      <c r="FLP17" s="235"/>
      <c r="FLQ17" s="235"/>
      <c r="FLR17" s="235"/>
      <c r="FLS17" s="235"/>
      <c r="FLT17" s="235"/>
      <c r="FLU17" s="235"/>
      <c r="FLV17" s="235"/>
      <c r="FLW17" s="235"/>
      <c r="FLX17" s="235"/>
      <c r="FLY17" s="235"/>
      <c r="FLZ17" s="235"/>
      <c r="FMA17" s="235"/>
      <c r="FMB17" s="235"/>
      <c r="FMC17" s="235"/>
      <c r="FMD17" s="235"/>
      <c r="FME17" s="235"/>
      <c r="FMF17" s="235"/>
      <c r="FMG17" s="235"/>
      <c r="FMH17" s="235"/>
      <c r="FMI17" s="235"/>
      <c r="FMJ17" s="235"/>
      <c r="FMK17" s="235"/>
      <c r="FML17" s="235"/>
      <c r="FMM17" s="235"/>
      <c r="FMN17" s="235"/>
      <c r="FMO17" s="235"/>
      <c r="FMP17" s="235"/>
      <c r="FMQ17" s="235"/>
      <c r="FMR17" s="235"/>
      <c r="FMS17" s="235"/>
      <c r="FMT17" s="235"/>
      <c r="FMU17" s="235"/>
      <c r="FMV17" s="235"/>
      <c r="FMW17" s="235"/>
      <c r="FMX17" s="235"/>
      <c r="FMY17" s="235"/>
      <c r="FMZ17" s="235"/>
      <c r="FNA17" s="235"/>
      <c r="FNB17" s="235"/>
      <c r="FNC17" s="235"/>
      <c r="FND17" s="235"/>
      <c r="FNE17" s="235"/>
      <c r="FNF17" s="235"/>
      <c r="FNG17" s="235"/>
      <c r="FNH17" s="235"/>
      <c r="FNI17" s="235"/>
      <c r="FNJ17" s="235"/>
      <c r="FNK17" s="235"/>
      <c r="FNL17" s="235"/>
      <c r="FNM17" s="235"/>
      <c r="FNN17" s="235"/>
      <c r="FNO17" s="235"/>
      <c r="FNP17" s="235"/>
      <c r="FNQ17" s="235"/>
      <c r="FNR17" s="235"/>
      <c r="FNS17" s="235"/>
      <c r="FNT17" s="235"/>
      <c r="FNU17" s="235"/>
      <c r="FNV17" s="235"/>
      <c r="FNW17" s="235"/>
      <c r="FNX17" s="235"/>
      <c r="FNY17" s="235"/>
      <c r="FNZ17" s="235"/>
      <c r="FOA17" s="235"/>
      <c r="FOB17" s="235"/>
      <c r="FOC17" s="235"/>
      <c r="FOD17" s="235"/>
      <c r="FOE17" s="235"/>
      <c r="FOF17" s="235"/>
      <c r="FOG17" s="235"/>
      <c r="FOH17" s="235"/>
      <c r="FOI17" s="235"/>
      <c r="FOJ17" s="235"/>
      <c r="FOK17" s="235"/>
      <c r="FOL17" s="235"/>
      <c r="FOM17" s="235"/>
      <c r="FON17" s="235"/>
      <c r="FOO17" s="235"/>
      <c r="FOP17" s="235"/>
      <c r="FOQ17" s="235"/>
      <c r="FOR17" s="235"/>
      <c r="FOS17" s="235"/>
      <c r="FOT17" s="235"/>
      <c r="FOU17" s="235"/>
      <c r="FOV17" s="235"/>
      <c r="FOW17" s="235"/>
      <c r="FOX17" s="235"/>
      <c r="FOY17" s="235"/>
      <c r="FOZ17" s="235"/>
      <c r="FPA17" s="235"/>
      <c r="FPB17" s="235"/>
      <c r="FPC17" s="235"/>
      <c r="FPD17" s="235"/>
      <c r="FPE17" s="235"/>
      <c r="FPF17" s="235"/>
      <c r="FPG17" s="235"/>
      <c r="FPH17" s="235"/>
      <c r="FPI17" s="235"/>
      <c r="FPJ17" s="235"/>
      <c r="FPK17" s="235"/>
      <c r="FPL17" s="235"/>
      <c r="FPM17" s="235"/>
      <c r="FPN17" s="235"/>
      <c r="FPO17" s="235"/>
      <c r="FPP17" s="235"/>
      <c r="FPQ17" s="235"/>
      <c r="FPR17" s="235"/>
      <c r="FPS17" s="235"/>
      <c r="FPT17" s="235"/>
      <c r="FPU17" s="235"/>
      <c r="FPV17" s="235"/>
      <c r="FPW17" s="235"/>
      <c r="FPX17" s="235"/>
      <c r="FPY17" s="235"/>
      <c r="FPZ17" s="235"/>
      <c r="FQA17" s="235"/>
      <c r="FQB17" s="235"/>
      <c r="FQC17" s="235"/>
      <c r="FQD17" s="235"/>
      <c r="FQE17" s="235"/>
      <c r="FQF17" s="235"/>
      <c r="FQG17" s="235"/>
      <c r="FQH17" s="235"/>
      <c r="FQI17" s="235"/>
      <c r="FQJ17" s="235"/>
      <c r="FQK17" s="235"/>
      <c r="FQL17" s="235"/>
      <c r="FQM17" s="235"/>
      <c r="FQN17" s="235"/>
      <c r="FQO17" s="235"/>
      <c r="FQP17" s="235"/>
      <c r="FQQ17" s="235"/>
      <c r="FQR17" s="235"/>
      <c r="FQS17" s="235"/>
      <c r="FQT17" s="235"/>
      <c r="FQU17" s="235"/>
      <c r="FQV17" s="235"/>
      <c r="FQW17" s="235"/>
      <c r="FQX17" s="235"/>
      <c r="FQY17" s="235"/>
      <c r="FQZ17" s="235"/>
      <c r="FRA17" s="235"/>
      <c r="FRB17" s="235"/>
      <c r="FRC17" s="235"/>
      <c r="FRD17" s="235"/>
      <c r="FRE17" s="235"/>
      <c r="FRF17" s="235"/>
      <c r="FRG17" s="235"/>
      <c r="FRH17" s="235"/>
      <c r="FRI17" s="235"/>
      <c r="FRJ17" s="235"/>
      <c r="FRK17" s="235"/>
      <c r="FRL17" s="235"/>
      <c r="FRM17" s="235"/>
      <c r="FRN17" s="235"/>
      <c r="FRO17" s="235"/>
      <c r="FRP17" s="235"/>
      <c r="FRQ17" s="235"/>
      <c r="FRR17" s="235"/>
      <c r="FRS17" s="235"/>
      <c r="FRT17" s="235"/>
      <c r="FRU17" s="235"/>
      <c r="FRV17" s="235"/>
      <c r="FRW17" s="235"/>
      <c r="FRX17" s="235"/>
      <c r="FRY17" s="235"/>
      <c r="FRZ17" s="235"/>
      <c r="FSA17" s="235"/>
      <c r="FSB17" s="235"/>
      <c r="FSC17" s="235"/>
      <c r="FSD17" s="235"/>
      <c r="FSE17" s="235"/>
      <c r="FSF17" s="235"/>
      <c r="FSG17" s="235"/>
      <c r="FSH17" s="235"/>
      <c r="FSI17" s="235"/>
      <c r="FSJ17" s="235"/>
      <c r="FSK17" s="235"/>
      <c r="FSL17" s="235"/>
      <c r="FSM17" s="235"/>
      <c r="FSN17" s="235"/>
      <c r="FSO17" s="235"/>
      <c r="FSP17" s="235"/>
      <c r="FSQ17" s="235"/>
      <c r="FSR17" s="235"/>
      <c r="FSS17" s="235"/>
      <c r="FST17" s="235"/>
      <c r="FSU17" s="235"/>
      <c r="FSV17" s="235"/>
      <c r="FSW17" s="235"/>
      <c r="FSX17" s="235"/>
      <c r="FSY17" s="235"/>
      <c r="FSZ17" s="235"/>
      <c r="FTA17" s="235"/>
      <c r="FTB17" s="235"/>
      <c r="FTC17" s="235"/>
      <c r="FTD17" s="235"/>
      <c r="FTE17" s="235"/>
      <c r="FTF17" s="235"/>
      <c r="FTG17" s="235"/>
      <c r="FTH17" s="235"/>
      <c r="FTI17" s="235"/>
      <c r="FTJ17" s="235"/>
      <c r="FTK17" s="235"/>
      <c r="FTL17" s="235"/>
      <c r="FTM17" s="235"/>
      <c r="FTN17" s="235"/>
      <c r="FTO17" s="235"/>
      <c r="FTP17" s="235"/>
      <c r="FTQ17" s="235"/>
      <c r="FTR17" s="235"/>
      <c r="FTS17" s="235"/>
      <c r="FTT17" s="235"/>
      <c r="FTU17" s="235"/>
      <c r="FTV17" s="235"/>
      <c r="FTW17" s="235"/>
      <c r="FTX17" s="235"/>
      <c r="FTY17" s="235"/>
      <c r="FTZ17" s="235"/>
      <c r="FUA17" s="235"/>
      <c r="FUB17" s="235"/>
      <c r="FUC17" s="235"/>
      <c r="FUD17" s="235"/>
      <c r="FUE17" s="235"/>
      <c r="FUF17" s="235"/>
      <c r="FUG17" s="235"/>
      <c r="FUH17" s="235"/>
      <c r="FUI17" s="235"/>
      <c r="FUJ17" s="235"/>
      <c r="FUK17" s="235"/>
      <c r="FUL17" s="235"/>
      <c r="FUM17" s="235"/>
      <c r="FUN17" s="235"/>
      <c r="FUO17" s="235"/>
      <c r="FUP17" s="235"/>
      <c r="FUQ17" s="235"/>
      <c r="FUR17" s="235"/>
      <c r="FUS17" s="235"/>
      <c r="FUT17" s="235"/>
      <c r="FUU17" s="235"/>
      <c r="FUV17" s="235"/>
      <c r="FUW17" s="235"/>
      <c r="FUX17" s="235"/>
      <c r="FUY17" s="235"/>
      <c r="FUZ17" s="235"/>
      <c r="FVA17" s="235"/>
      <c r="FVB17" s="235"/>
      <c r="FVC17" s="235"/>
      <c r="FVD17" s="235"/>
      <c r="FVE17" s="235"/>
      <c r="FVF17" s="235"/>
      <c r="FVG17" s="235"/>
      <c r="FVH17" s="235"/>
      <c r="FVI17" s="235"/>
      <c r="FVJ17" s="235"/>
      <c r="FVK17" s="235"/>
      <c r="FVL17" s="235"/>
      <c r="FVM17" s="235"/>
      <c r="FVN17" s="235"/>
      <c r="FVO17" s="235"/>
      <c r="FVP17" s="235"/>
      <c r="FVQ17" s="235"/>
      <c r="FVR17" s="235"/>
      <c r="FVS17" s="235"/>
      <c r="FVT17" s="235"/>
      <c r="FVU17" s="235"/>
      <c r="FVV17" s="235"/>
      <c r="FVW17" s="235"/>
      <c r="FVX17" s="235"/>
      <c r="FVY17" s="235"/>
      <c r="FVZ17" s="235"/>
      <c r="FWA17" s="235"/>
      <c r="FWB17" s="235"/>
      <c r="FWC17" s="235"/>
      <c r="FWD17" s="235"/>
      <c r="FWE17" s="235"/>
      <c r="FWF17" s="235"/>
      <c r="FWG17" s="235"/>
      <c r="FWH17" s="235"/>
      <c r="FWI17" s="235"/>
      <c r="FWJ17" s="235"/>
      <c r="FWK17" s="235"/>
      <c r="FWL17" s="235"/>
      <c r="FWM17" s="235"/>
      <c r="FWN17" s="235"/>
      <c r="FWO17" s="235"/>
      <c r="FWP17" s="235"/>
      <c r="FWQ17" s="235"/>
      <c r="FWR17" s="235"/>
      <c r="FWS17" s="235"/>
      <c r="FWT17" s="235"/>
      <c r="FWU17" s="235"/>
      <c r="FWV17" s="235"/>
      <c r="FWW17" s="235"/>
      <c r="FWX17" s="235"/>
      <c r="FWY17" s="235"/>
      <c r="FWZ17" s="235"/>
      <c r="FXA17" s="235"/>
      <c r="FXB17" s="235"/>
      <c r="FXC17" s="235"/>
      <c r="FXD17" s="235"/>
      <c r="FXE17" s="235"/>
      <c r="FXF17" s="235"/>
      <c r="FXG17" s="235"/>
      <c r="FXH17" s="235"/>
      <c r="FXI17" s="235"/>
      <c r="FXJ17" s="235"/>
      <c r="FXK17" s="235"/>
      <c r="FXL17" s="235"/>
      <c r="FXM17" s="235"/>
      <c r="FXN17" s="235"/>
      <c r="FXO17" s="235"/>
      <c r="FXP17" s="235"/>
      <c r="FXQ17" s="235"/>
      <c r="FXR17" s="235"/>
      <c r="FXS17" s="235"/>
      <c r="FXT17" s="235"/>
      <c r="FXU17" s="235"/>
      <c r="FXV17" s="235"/>
      <c r="FXW17" s="235"/>
      <c r="FXX17" s="235"/>
      <c r="FXY17" s="235"/>
      <c r="FXZ17" s="235"/>
      <c r="FYA17" s="235"/>
      <c r="FYB17" s="235"/>
      <c r="FYC17" s="235"/>
      <c r="FYD17" s="235"/>
      <c r="FYE17" s="235"/>
      <c r="FYF17" s="235"/>
      <c r="FYG17" s="235"/>
      <c r="FYH17" s="235"/>
      <c r="FYI17" s="235"/>
      <c r="FYJ17" s="235"/>
      <c r="FYK17" s="235"/>
      <c r="FYL17" s="235"/>
      <c r="FYM17" s="235"/>
      <c r="FYN17" s="235"/>
      <c r="FYO17" s="235"/>
      <c r="FYP17" s="235"/>
      <c r="FYQ17" s="235"/>
      <c r="FYR17" s="235"/>
      <c r="FYS17" s="235"/>
      <c r="FYT17" s="235"/>
      <c r="FYU17" s="235"/>
      <c r="FYV17" s="235"/>
      <c r="FYW17" s="235"/>
      <c r="FYX17" s="235"/>
      <c r="FYY17" s="235"/>
      <c r="FYZ17" s="235"/>
      <c r="FZA17" s="235"/>
      <c r="FZB17" s="235"/>
      <c r="FZC17" s="235"/>
      <c r="FZD17" s="235"/>
      <c r="FZE17" s="235"/>
      <c r="FZF17" s="235"/>
      <c r="FZG17" s="235"/>
      <c r="FZH17" s="235"/>
      <c r="FZI17" s="235"/>
      <c r="FZJ17" s="235"/>
      <c r="FZK17" s="235"/>
      <c r="FZL17" s="235"/>
      <c r="FZM17" s="235"/>
      <c r="FZN17" s="235"/>
      <c r="FZO17" s="235"/>
      <c r="FZP17" s="235"/>
      <c r="FZQ17" s="235"/>
      <c r="FZR17" s="235"/>
      <c r="FZS17" s="235"/>
      <c r="FZT17" s="235"/>
      <c r="FZU17" s="235"/>
      <c r="FZV17" s="235"/>
      <c r="FZW17" s="235"/>
      <c r="FZX17" s="235"/>
      <c r="FZY17" s="235"/>
      <c r="FZZ17" s="235"/>
      <c r="GAA17" s="235"/>
      <c r="GAB17" s="235"/>
      <c r="GAC17" s="235"/>
      <c r="GAD17" s="235"/>
      <c r="GAE17" s="235"/>
      <c r="GAF17" s="235"/>
      <c r="GAG17" s="235"/>
      <c r="GAH17" s="235"/>
      <c r="GAI17" s="235"/>
      <c r="GAJ17" s="235"/>
      <c r="GAK17" s="235"/>
      <c r="GAL17" s="235"/>
      <c r="GAM17" s="235"/>
      <c r="GAN17" s="235"/>
      <c r="GAO17" s="235"/>
      <c r="GAP17" s="235"/>
      <c r="GAQ17" s="235"/>
      <c r="GAR17" s="235"/>
      <c r="GAS17" s="235"/>
      <c r="GAT17" s="235"/>
      <c r="GAU17" s="235"/>
      <c r="GAV17" s="235"/>
      <c r="GAW17" s="235"/>
      <c r="GAX17" s="235"/>
      <c r="GAY17" s="235"/>
      <c r="GAZ17" s="235"/>
      <c r="GBA17" s="235"/>
      <c r="GBB17" s="235"/>
      <c r="GBC17" s="235"/>
      <c r="GBD17" s="235"/>
      <c r="GBE17" s="235"/>
      <c r="GBF17" s="235"/>
      <c r="GBG17" s="235"/>
      <c r="GBH17" s="235"/>
      <c r="GBI17" s="235"/>
      <c r="GBJ17" s="235"/>
      <c r="GBK17" s="235"/>
      <c r="GBL17" s="235"/>
      <c r="GBM17" s="235"/>
      <c r="GBN17" s="235"/>
      <c r="GBO17" s="235"/>
      <c r="GBP17" s="235"/>
      <c r="GBQ17" s="235"/>
      <c r="GBR17" s="235"/>
      <c r="GBS17" s="235"/>
      <c r="GBT17" s="235"/>
      <c r="GBU17" s="235"/>
      <c r="GBV17" s="235"/>
      <c r="GBW17" s="235"/>
      <c r="GBX17" s="235"/>
      <c r="GBY17" s="235"/>
      <c r="GBZ17" s="235"/>
      <c r="GCA17" s="235"/>
      <c r="GCB17" s="235"/>
      <c r="GCC17" s="235"/>
      <c r="GCD17" s="235"/>
      <c r="GCE17" s="235"/>
      <c r="GCF17" s="235"/>
      <c r="GCG17" s="235"/>
      <c r="GCH17" s="235"/>
      <c r="GCI17" s="235"/>
      <c r="GCJ17" s="235"/>
      <c r="GCK17" s="235"/>
      <c r="GCL17" s="235"/>
      <c r="GCM17" s="235"/>
      <c r="GCN17" s="235"/>
      <c r="GCO17" s="235"/>
      <c r="GCP17" s="235"/>
      <c r="GCQ17" s="235"/>
      <c r="GCR17" s="235"/>
      <c r="GCS17" s="235"/>
      <c r="GCT17" s="235"/>
      <c r="GCU17" s="235"/>
      <c r="GCV17" s="235"/>
      <c r="GCW17" s="235"/>
      <c r="GCX17" s="235"/>
      <c r="GCY17" s="235"/>
      <c r="GCZ17" s="235"/>
      <c r="GDA17" s="235"/>
      <c r="GDB17" s="235"/>
      <c r="GDC17" s="235"/>
      <c r="GDD17" s="235"/>
      <c r="GDE17" s="235"/>
      <c r="GDF17" s="235"/>
      <c r="GDG17" s="235"/>
      <c r="GDH17" s="235"/>
      <c r="GDI17" s="235"/>
      <c r="GDJ17" s="235"/>
      <c r="GDK17" s="235"/>
      <c r="GDL17" s="235"/>
      <c r="GDM17" s="235"/>
      <c r="GDN17" s="235"/>
      <c r="GDO17" s="235"/>
      <c r="GDP17" s="235"/>
      <c r="GDQ17" s="235"/>
      <c r="GDR17" s="235"/>
      <c r="GDS17" s="235"/>
      <c r="GDT17" s="235"/>
      <c r="GDU17" s="235"/>
      <c r="GDV17" s="235"/>
      <c r="GDW17" s="235"/>
      <c r="GDX17" s="235"/>
      <c r="GDY17" s="235"/>
      <c r="GDZ17" s="235"/>
      <c r="GEA17" s="235"/>
      <c r="GEB17" s="235"/>
      <c r="GEC17" s="235"/>
      <c r="GED17" s="235"/>
      <c r="GEE17" s="235"/>
      <c r="GEF17" s="235"/>
      <c r="GEG17" s="235"/>
      <c r="GEH17" s="235"/>
      <c r="GEI17" s="235"/>
      <c r="GEJ17" s="235"/>
      <c r="GEK17" s="235"/>
      <c r="GEL17" s="235"/>
      <c r="GEM17" s="235"/>
      <c r="GEN17" s="235"/>
      <c r="GEO17" s="235"/>
      <c r="GEP17" s="235"/>
      <c r="GEQ17" s="235"/>
      <c r="GER17" s="235"/>
      <c r="GES17" s="235"/>
      <c r="GET17" s="235"/>
      <c r="GEU17" s="235"/>
      <c r="GEV17" s="235"/>
      <c r="GEW17" s="235"/>
      <c r="GEX17" s="235"/>
      <c r="GEY17" s="235"/>
      <c r="GEZ17" s="235"/>
      <c r="GFA17" s="235"/>
      <c r="GFB17" s="235"/>
      <c r="GFC17" s="235"/>
      <c r="GFD17" s="235"/>
      <c r="GFE17" s="235"/>
      <c r="GFF17" s="235"/>
      <c r="GFG17" s="235"/>
      <c r="GFH17" s="235"/>
      <c r="GFI17" s="235"/>
      <c r="GFJ17" s="235"/>
      <c r="GFK17" s="235"/>
      <c r="GFL17" s="235"/>
      <c r="GFM17" s="235"/>
      <c r="GFN17" s="235"/>
      <c r="GFO17" s="235"/>
      <c r="GFP17" s="235"/>
      <c r="GFQ17" s="235"/>
      <c r="GFR17" s="235"/>
      <c r="GFS17" s="235"/>
      <c r="GFT17" s="235"/>
      <c r="GFU17" s="235"/>
      <c r="GFV17" s="235"/>
      <c r="GFW17" s="235"/>
      <c r="GFX17" s="235"/>
      <c r="GFY17" s="235"/>
      <c r="GFZ17" s="235"/>
      <c r="GGA17" s="235"/>
      <c r="GGB17" s="235"/>
      <c r="GGC17" s="235"/>
      <c r="GGD17" s="235"/>
      <c r="GGE17" s="235"/>
      <c r="GGF17" s="235"/>
      <c r="GGG17" s="235"/>
      <c r="GGH17" s="235"/>
      <c r="GGI17" s="235"/>
      <c r="GGJ17" s="235"/>
      <c r="GGK17" s="235"/>
      <c r="GGL17" s="235"/>
      <c r="GGM17" s="235"/>
      <c r="GGN17" s="235"/>
      <c r="GGO17" s="235"/>
      <c r="GGP17" s="235"/>
      <c r="GGQ17" s="235"/>
      <c r="GGR17" s="235"/>
      <c r="GGS17" s="235"/>
      <c r="GGT17" s="235"/>
      <c r="GGU17" s="235"/>
      <c r="GGV17" s="235"/>
      <c r="GGW17" s="235"/>
      <c r="GGX17" s="235"/>
      <c r="GGY17" s="235"/>
      <c r="GGZ17" s="235"/>
      <c r="GHA17" s="235"/>
      <c r="GHB17" s="235"/>
      <c r="GHC17" s="235"/>
      <c r="GHD17" s="235"/>
      <c r="GHE17" s="235"/>
      <c r="GHF17" s="235"/>
      <c r="GHG17" s="235"/>
      <c r="GHH17" s="235"/>
      <c r="GHI17" s="235"/>
      <c r="GHJ17" s="235"/>
      <c r="GHK17" s="235"/>
      <c r="GHL17" s="235"/>
      <c r="GHM17" s="235"/>
      <c r="GHN17" s="235"/>
      <c r="GHO17" s="235"/>
      <c r="GHP17" s="235"/>
      <c r="GHQ17" s="235"/>
      <c r="GHR17" s="235"/>
      <c r="GHS17" s="235"/>
      <c r="GHT17" s="235"/>
      <c r="GHU17" s="235"/>
      <c r="GHV17" s="235"/>
      <c r="GHW17" s="235"/>
      <c r="GHX17" s="235"/>
      <c r="GHY17" s="235"/>
      <c r="GHZ17" s="235"/>
      <c r="GIA17" s="235"/>
      <c r="GIB17" s="235"/>
      <c r="GIC17" s="235"/>
      <c r="GID17" s="235"/>
      <c r="GIE17" s="235"/>
      <c r="GIF17" s="235"/>
      <c r="GIG17" s="235"/>
      <c r="GIH17" s="235"/>
      <c r="GII17" s="235"/>
      <c r="GIJ17" s="235"/>
      <c r="GIK17" s="235"/>
      <c r="GIL17" s="235"/>
      <c r="GIM17" s="235"/>
      <c r="GIN17" s="235"/>
      <c r="GIO17" s="235"/>
      <c r="GIP17" s="235"/>
      <c r="GIQ17" s="235"/>
      <c r="GIR17" s="235"/>
      <c r="GIS17" s="235"/>
      <c r="GIT17" s="235"/>
      <c r="GIU17" s="235"/>
      <c r="GIV17" s="235"/>
      <c r="GIW17" s="235"/>
      <c r="GIX17" s="235"/>
      <c r="GIY17" s="235"/>
      <c r="GIZ17" s="235"/>
      <c r="GJA17" s="235"/>
      <c r="GJB17" s="235"/>
      <c r="GJC17" s="235"/>
      <c r="GJD17" s="235"/>
      <c r="GJE17" s="235"/>
      <c r="GJF17" s="235"/>
      <c r="GJG17" s="235"/>
      <c r="GJH17" s="235"/>
      <c r="GJI17" s="235"/>
      <c r="GJJ17" s="235"/>
      <c r="GJK17" s="235"/>
      <c r="GJL17" s="235"/>
      <c r="GJM17" s="235"/>
      <c r="GJN17" s="235"/>
      <c r="GJO17" s="235"/>
      <c r="GJP17" s="235"/>
      <c r="GJQ17" s="235"/>
      <c r="GJR17" s="235"/>
      <c r="GJS17" s="235"/>
      <c r="GJT17" s="235"/>
      <c r="GJU17" s="235"/>
      <c r="GJV17" s="235"/>
      <c r="GJW17" s="235"/>
      <c r="GJX17" s="235"/>
      <c r="GJY17" s="235"/>
      <c r="GJZ17" s="235"/>
      <c r="GKA17" s="235"/>
      <c r="GKB17" s="235"/>
      <c r="GKC17" s="235"/>
      <c r="GKD17" s="235"/>
      <c r="GKE17" s="235"/>
      <c r="GKF17" s="235"/>
      <c r="GKG17" s="235"/>
      <c r="GKH17" s="235"/>
      <c r="GKI17" s="235"/>
      <c r="GKJ17" s="235"/>
      <c r="GKK17" s="235"/>
      <c r="GKL17" s="235"/>
      <c r="GKM17" s="235"/>
      <c r="GKN17" s="235"/>
      <c r="GKO17" s="235"/>
      <c r="GKP17" s="235"/>
      <c r="GKQ17" s="235"/>
      <c r="GKR17" s="235"/>
      <c r="GKS17" s="235"/>
      <c r="GKT17" s="235"/>
      <c r="GKU17" s="235"/>
      <c r="GKV17" s="235"/>
      <c r="GKW17" s="235"/>
      <c r="GKX17" s="235"/>
      <c r="GKY17" s="235"/>
      <c r="GKZ17" s="235"/>
      <c r="GLA17" s="235"/>
      <c r="GLB17" s="235"/>
      <c r="GLC17" s="235"/>
      <c r="GLD17" s="235"/>
      <c r="GLE17" s="235"/>
      <c r="GLF17" s="235"/>
      <c r="GLG17" s="235"/>
      <c r="GLH17" s="235"/>
      <c r="GLI17" s="235"/>
      <c r="GLJ17" s="235"/>
      <c r="GLK17" s="235"/>
      <c r="GLL17" s="235"/>
      <c r="GLM17" s="235"/>
      <c r="GLN17" s="235"/>
      <c r="GLO17" s="235"/>
      <c r="GLP17" s="235"/>
      <c r="GLQ17" s="235"/>
      <c r="GLR17" s="235"/>
      <c r="GLS17" s="235"/>
      <c r="GLT17" s="235"/>
      <c r="GLU17" s="235"/>
      <c r="GLV17" s="235"/>
      <c r="GLW17" s="235"/>
      <c r="GLX17" s="235"/>
      <c r="GLY17" s="235"/>
      <c r="GLZ17" s="235"/>
      <c r="GMA17" s="235"/>
      <c r="GMB17" s="235"/>
      <c r="GMC17" s="235"/>
      <c r="GMD17" s="235"/>
      <c r="GME17" s="235"/>
      <c r="GMF17" s="235"/>
      <c r="GMG17" s="235"/>
      <c r="GMH17" s="235"/>
      <c r="GMI17" s="235"/>
      <c r="GMJ17" s="235"/>
      <c r="GMK17" s="235"/>
      <c r="GML17" s="235"/>
      <c r="GMM17" s="235"/>
      <c r="GMN17" s="235"/>
      <c r="GMO17" s="235"/>
      <c r="GMP17" s="235"/>
      <c r="GMQ17" s="235"/>
      <c r="GMR17" s="235"/>
      <c r="GMS17" s="235"/>
      <c r="GMT17" s="235"/>
      <c r="GMU17" s="235"/>
      <c r="GMV17" s="235"/>
      <c r="GMW17" s="235"/>
      <c r="GMX17" s="235"/>
      <c r="GMY17" s="235"/>
      <c r="GMZ17" s="235"/>
      <c r="GNA17" s="235"/>
      <c r="GNB17" s="235"/>
      <c r="GNC17" s="235"/>
      <c r="GND17" s="235"/>
      <c r="GNE17" s="235"/>
      <c r="GNF17" s="235"/>
      <c r="GNG17" s="235"/>
      <c r="GNH17" s="235"/>
      <c r="GNI17" s="235"/>
      <c r="GNJ17" s="235"/>
      <c r="GNK17" s="235"/>
      <c r="GNL17" s="235"/>
      <c r="GNM17" s="235"/>
      <c r="GNN17" s="235"/>
      <c r="GNO17" s="235"/>
      <c r="GNP17" s="235"/>
      <c r="GNQ17" s="235"/>
      <c r="GNR17" s="235"/>
      <c r="GNS17" s="235"/>
      <c r="GNT17" s="235"/>
      <c r="GNU17" s="235"/>
      <c r="GNV17" s="235"/>
      <c r="GNW17" s="235"/>
      <c r="GNX17" s="235"/>
      <c r="GNY17" s="235"/>
      <c r="GNZ17" s="235"/>
      <c r="GOA17" s="235"/>
      <c r="GOB17" s="235"/>
      <c r="GOC17" s="235"/>
      <c r="GOD17" s="235"/>
      <c r="GOE17" s="235"/>
      <c r="GOF17" s="235"/>
      <c r="GOG17" s="235"/>
      <c r="GOH17" s="235"/>
      <c r="GOI17" s="235"/>
      <c r="GOJ17" s="235"/>
      <c r="GOK17" s="235"/>
      <c r="GOL17" s="235"/>
      <c r="GOM17" s="235"/>
      <c r="GON17" s="235"/>
      <c r="GOO17" s="235"/>
      <c r="GOP17" s="235"/>
      <c r="GOQ17" s="235"/>
      <c r="GOR17" s="235"/>
      <c r="GOS17" s="235"/>
      <c r="GOT17" s="235"/>
      <c r="GOU17" s="235"/>
      <c r="GOV17" s="235"/>
      <c r="GOW17" s="235"/>
      <c r="GOX17" s="235"/>
      <c r="GOY17" s="235"/>
      <c r="GOZ17" s="235"/>
      <c r="GPA17" s="235"/>
      <c r="GPB17" s="235"/>
      <c r="GPC17" s="235"/>
      <c r="GPD17" s="235"/>
      <c r="GPE17" s="235"/>
      <c r="GPF17" s="235"/>
      <c r="GPG17" s="235"/>
      <c r="GPH17" s="235"/>
      <c r="GPI17" s="235"/>
      <c r="GPJ17" s="235"/>
      <c r="GPK17" s="235"/>
      <c r="GPL17" s="235"/>
      <c r="GPM17" s="235"/>
      <c r="GPN17" s="235"/>
      <c r="GPO17" s="235"/>
      <c r="GPP17" s="235"/>
      <c r="GPQ17" s="235"/>
      <c r="GPR17" s="235"/>
      <c r="GPS17" s="235"/>
      <c r="GPT17" s="235"/>
      <c r="GPU17" s="235"/>
      <c r="GPV17" s="235"/>
      <c r="GPW17" s="235"/>
      <c r="GPX17" s="235"/>
      <c r="GPY17" s="235"/>
      <c r="GPZ17" s="235"/>
      <c r="GQA17" s="235"/>
      <c r="GQB17" s="235"/>
      <c r="GQC17" s="235"/>
      <c r="GQD17" s="235"/>
      <c r="GQE17" s="235"/>
      <c r="GQF17" s="235"/>
      <c r="GQG17" s="235"/>
      <c r="GQH17" s="235"/>
      <c r="GQI17" s="235"/>
      <c r="GQJ17" s="235"/>
      <c r="GQK17" s="235"/>
      <c r="GQL17" s="235"/>
      <c r="GQM17" s="235"/>
      <c r="GQN17" s="235"/>
      <c r="GQO17" s="235"/>
      <c r="GQP17" s="235"/>
      <c r="GQQ17" s="235"/>
      <c r="GQR17" s="235"/>
      <c r="GQS17" s="235"/>
      <c r="GQT17" s="235"/>
      <c r="GQU17" s="235"/>
      <c r="GQV17" s="235"/>
      <c r="GQW17" s="235"/>
      <c r="GQX17" s="235"/>
      <c r="GQY17" s="235"/>
      <c r="GQZ17" s="235"/>
      <c r="GRA17" s="235"/>
      <c r="GRB17" s="235"/>
      <c r="GRC17" s="235"/>
      <c r="GRD17" s="235"/>
      <c r="GRE17" s="235"/>
      <c r="GRF17" s="235"/>
      <c r="GRG17" s="235"/>
      <c r="GRH17" s="235"/>
      <c r="GRI17" s="235"/>
      <c r="GRJ17" s="235"/>
      <c r="GRK17" s="235"/>
      <c r="GRL17" s="235"/>
      <c r="GRM17" s="235"/>
      <c r="GRN17" s="235"/>
      <c r="GRO17" s="235"/>
      <c r="GRP17" s="235"/>
      <c r="GRQ17" s="235"/>
      <c r="GRR17" s="235"/>
      <c r="GRS17" s="235"/>
      <c r="GRT17" s="235"/>
      <c r="GRU17" s="235"/>
      <c r="GRV17" s="235"/>
      <c r="GRW17" s="235"/>
      <c r="GRX17" s="235"/>
      <c r="GRY17" s="235"/>
      <c r="GRZ17" s="235"/>
      <c r="GSA17" s="235"/>
      <c r="GSB17" s="235"/>
      <c r="GSC17" s="235"/>
      <c r="GSD17" s="235"/>
      <c r="GSE17" s="235"/>
      <c r="GSF17" s="235"/>
      <c r="GSG17" s="235"/>
      <c r="GSH17" s="235"/>
      <c r="GSI17" s="235"/>
      <c r="GSJ17" s="235"/>
      <c r="GSK17" s="235"/>
      <c r="GSL17" s="235"/>
      <c r="GSM17" s="235"/>
      <c r="GSN17" s="235"/>
      <c r="GSO17" s="235"/>
      <c r="GSP17" s="235"/>
      <c r="GSQ17" s="235"/>
      <c r="GSR17" s="235"/>
      <c r="GSS17" s="235"/>
      <c r="GST17" s="235"/>
      <c r="GSU17" s="235"/>
      <c r="GSV17" s="235"/>
      <c r="GSW17" s="235"/>
      <c r="GSX17" s="235"/>
      <c r="GSY17" s="235"/>
      <c r="GSZ17" s="235"/>
      <c r="GTA17" s="235"/>
      <c r="GTB17" s="235"/>
      <c r="GTC17" s="235"/>
      <c r="GTD17" s="235"/>
      <c r="GTE17" s="235"/>
      <c r="GTF17" s="235"/>
      <c r="GTG17" s="235"/>
      <c r="GTH17" s="235"/>
      <c r="GTI17" s="235"/>
      <c r="GTJ17" s="235"/>
      <c r="GTK17" s="235"/>
      <c r="GTL17" s="235"/>
      <c r="GTM17" s="235"/>
      <c r="GTN17" s="235"/>
      <c r="GTO17" s="235"/>
      <c r="GTP17" s="235"/>
      <c r="GTQ17" s="235"/>
      <c r="GTR17" s="235"/>
      <c r="GTS17" s="235"/>
      <c r="GTT17" s="235"/>
      <c r="GTU17" s="235"/>
      <c r="GTV17" s="235"/>
      <c r="GTW17" s="235"/>
      <c r="GTX17" s="235"/>
      <c r="GTY17" s="235"/>
      <c r="GTZ17" s="235"/>
      <c r="GUA17" s="235"/>
      <c r="GUB17" s="235"/>
      <c r="GUC17" s="235"/>
      <c r="GUD17" s="235"/>
      <c r="GUE17" s="235"/>
      <c r="GUF17" s="235"/>
      <c r="GUG17" s="235"/>
      <c r="GUH17" s="235"/>
      <c r="GUI17" s="235"/>
      <c r="GUJ17" s="235"/>
      <c r="GUK17" s="235"/>
      <c r="GUL17" s="235"/>
      <c r="GUM17" s="235"/>
      <c r="GUN17" s="235"/>
      <c r="GUO17" s="235"/>
      <c r="GUP17" s="235"/>
      <c r="GUQ17" s="235"/>
      <c r="GUR17" s="235"/>
      <c r="GUS17" s="235"/>
      <c r="GUT17" s="235"/>
      <c r="GUU17" s="235"/>
      <c r="GUV17" s="235"/>
      <c r="GUW17" s="235"/>
      <c r="GUX17" s="235"/>
      <c r="GUY17" s="235"/>
      <c r="GUZ17" s="235"/>
      <c r="GVA17" s="235"/>
      <c r="GVB17" s="235"/>
      <c r="GVC17" s="235"/>
      <c r="GVD17" s="235"/>
      <c r="GVE17" s="235"/>
      <c r="GVF17" s="235"/>
      <c r="GVG17" s="235"/>
      <c r="GVH17" s="235"/>
      <c r="GVI17" s="235"/>
      <c r="GVJ17" s="235"/>
      <c r="GVK17" s="235"/>
      <c r="GVL17" s="235"/>
      <c r="GVM17" s="235"/>
      <c r="GVN17" s="235"/>
      <c r="GVO17" s="235"/>
      <c r="GVP17" s="235"/>
      <c r="GVQ17" s="235"/>
      <c r="GVR17" s="235"/>
      <c r="GVS17" s="235"/>
      <c r="GVT17" s="235"/>
      <c r="GVU17" s="235"/>
      <c r="GVV17" s="235"/>
      <c r="GVW17" s="235"/>
      <c r="GVX17" s="235"/>
      <c r="GVY17" s="235"/>
      <c r="GVZ17" s="235"/>
      <c r="GWA17" s="235"/>
      <c r="GWB17" s="235"/>
      <c r="GWC17" s="235"/>
      <c r="GWD17" s="235"/>
      <c r="GWE17" s="235"/>
      <c r="GWF17" s="235"/>
      <c r="GWG17" s="235"/>
      <c r="GWH17" s="235"/>
      <c r="GWI17" s="235"/>
      <c r="GWJ17" s="235"/>
      <c r="GWK17" s="235"/>
      <c r="GWL17" s="235"/>
      <c r="GWM17" s="235"/>
      <c r="GWN17" s="235"/>
      <c r="GWO17" s="235"/>
      <c r="GWP17" s="235"/>
      <c r="GWQ17" s="235"/>
      <c r="GWR17" s="235"/>
      <c r="GWS17" s="235"/>
      <c r="GWT17" s="235"/>
      <c r="GWU17" s="235"/>
      <c r="GWV17" s="235"/>
      <c r="GWW17" s="235"/>
      <c r="GWX17" s="235"/>
      <c r="GWY17" s="235"/>
      <c r="GWZ17" s="235"/>
      <c r="GXA17" s="235"/>
      <c r="GXB17" s="235"/>
      <c r="GXC17" s="235"/>
      <c r="GXD17" s="235"/>
      <c r="GXE17" s="235"/>
      <c r="GXF17" s="235"/>
      <c r="GXG17" s="235"/>
      <c r="GXH17" s="235"/>
      <c r="GXI17" s="235"/>
      <c r="GXJ17" s="235"/>
      <c r="GXK17" s="235"/>
      <c r="GXL17" s="235"/>
      <c r="GXM17" s="235"/>
      <c r="GXN17" s="235"/>
      <c r="GXO17" s="235"/>
      <c r="GXP17" s="235"/>
      <c r="GXQ17" s="235"/>
      <c r="GXR17" s="235"/>
      <c r="GXS17" s="235"/>
      <c r="GXT17" s="235"/>
      <c r="GXU17" s="235"/>
      <c r="GXV17" s="235"/>
      <c r="GXW17" s="235"/>
      <c r="GXX17" s="235"/>
      <c r="GXY17" s="235"/>
      <c r="GXZ17" s="235"/>
      <c r="GYA17" s="235"/>
      <c r="GYB17" s="235"/>
      <c r="GYC17" s="235"/>
      <c r="GYD17" s="235"/>
      <c r="GYE17" s="235"/>
      <c r="GYF17" s="235"/>
      <c r="GYG17" s="235"/>
      <c r="GYH17" s="235"/>
      <c r="GYI17" s="235"/>
      <c r="GYJ17" s="235"/>
      <c r="GYK17" s="235"/>
      <c r="GYL17" s="235"/>
      <c r="GYM17" s="235"/>
      <c r="GYN17" s="235"/>
      <c r="GYO17" s="235"/>
      <c r="GYP17" s="235"/>
      <c r="GYQ17" s="235"/>
      <c r="GYR17" s="235"/>
      <c r="GYS17" s="235"/>
      <c r="GYT17" s="235"/>
      <c r="GYU17" s="235"/>
      <c r="GYV17" s="235"/>
      <c r="GYW17" s="235"/>
      <c r="GYX17" s="235"/>
      <c r="GYY17" s="235"/>
      <c r="GYZ17" s="235"/>
      <c r="GZA17" s="235"/>
      <c r="GZB17" s="235"/>
      <c r="GZC17" s="235"/>
      <c r="GZD17" s="235"/>
      <c r="GZE17" s="235"/>
      <c r="GZF17" s="235"/>
      <c r="GZG17" s="235"/>
      <c r="GZH17" s="235"/>
      <c r="GZI17" s="235"/>
      <c r="GZJ17" s="235"/>
      <c r="GZK17" s="235"/>
      <c r="GZL17" s="235"/>
      <c r="GZM17" s="235"/>
      <c r="GZN17" s="235"/>
      <c r="GZO17" s="235"/>
      <c r="GZP17" s="235"/>
      <c r="GZQ17" s="235"/>
      <c r="GZR17" s="235"/>
      <c r="GZS17" s="235"/>
      <c r="GZT17" s="235"/>
      <c r="GZU17" s="235"/>
      <c r="GZV17" s="235"/>
      <c r="GZW17" s="235"/>
      <c r="GZX17" s="235"/>
      <c r="GZY17" s="235"/>
      <c r="GZZ17" s="235"/>
      <c r="HAA17" s="235"/>
      <c r="HAB17" s="235"/>
      <c r="HAC17" s="235"/>
      <c r="HAD17" s="235"/>
      <c r="HAE17" s="235"/>
      <c r="HAF17" s="235"/>
      <c r="HAG17" s="235"/>
      <c r="HAH17" s="235"/>
      <c r="HAI17" s="235"/>
      <c r="HAJ17" s="235"/>
      <c r="HAK17" s="235"/>
      <c r="HAL17" s="235"/>
      <c r="HAM17" s="235"/>
      <c r="HAN17" s="235"/>
      <c r="HAO17" s="235"/>
      <c r="HAP17" s="235"/>
      <c r="HAQ17" s="235"/>
      <c r="HAR17" s="235"/>
      <c r="HAS17" s="235"/>
      <c r="HAT17" s="235"/>
      <c r="HAU17" s="235"/>
      <c r="HAV17" s="235"/>
      <c r="HAW17" s="235"/>
      <c r="HAX17" s="235"/>
      <c r="HAY17" s="235"/>
      <c r="HAZ17" s="235"/>
      <c r="HBA17" s="235"/>
      <c r="HBB17" s="235"/>
      <c r="HBC17" s="235"/>
      <c r="HBD17" s="235"/>
      <c r="HBE17" s="235"/>
      <c r="HBF17" s="235"/>
      <c r="HBG17" s="235"/>
      <c r="HBH17" s="235"/>
      <c r="HBI17" s="235"/>
      <c r="HBJ17" s="235"/>
      <c r="HBK17" s="235"/>
      <c r="HBL17" s="235"/>
      <c r="HBM17" s="235"/>
      <c r="HBN17" s="235"/>
      <c r="HBO17" s="235"/>
      <c r="HBP17" s="235"/>
      <c r="HBQ17" s="235"/>
      <c r="HBR17" s="235"/>
      <c r="HBS17" s="235"/>
      <c r="HBT17" s="235"/>
      <c r="HBU17" s="235"/>
      <c r="HBV17" s="235"/>
      <c r="HBW17" s="235"/>
      <c r="HBX17" s="235"/>
      <c r="HBY17" s="235"/>
      <c r="HBZ17" s="235"/>
      <c r="HCA17" s="235"/>
      <c r="HCB17" s="235"/>
      <c r="HCC17" s="235"/>
      <c r="HCD17" s="235"/>
      <c r="HCE17" s="235"/>
      <c r="HCF17" s="235"/>
      <c r="HCG17" s="235"/>
      <c r="HCH17" s="235"/>
      <c r="HCI17" s="235"/>
      <c r="HCJ17" s="235"/>
      <c r="HCK17" s="235"/>
      <c r="HCL17" s="235"/>
      <c r="HCM17" s="235"/>
      <c r="HCN17" s="235"/>
      <c r="HCO17" s="235"/>
      <c r="HCP17" s="235"/>
      <c r="HCQ17" s="235"/>
      <c r="HCR17" s="235"/>
      <c r="HCS17" s="235"/>
      <c r="HCT17" s="235"/>
      <c r="HCU17" s="235"/>
      <c r="HCV17" s="235"/>
      <c r="HCW17" s="235"/>
      <c r="HCX17" s="235"/>
      <c r="HCY17" s="235"/>
      <c r="HCZ17" s="235"/>
      <c r="HDA17" s="235"/>
      <c r="HDB17" s="235"/>
      <c r="HDC17" s="235"/>
      <c r="HDD17" s="235"/>
      <c r="HDE17" s="235"/>
      <c r="HDF17" s="235"/>
      <c r="HDG17" s="235"/>
      <c r="HDH17" s="235"/>
      <c r="HDI17" s="235"/>
      <c r="HDJ17" s="235"/>
      <c r="HDK17" s="235"/>
      <c r="HDL17" s="235"/>
      <c r="HDM17" s="235"/>
      <c r="HDN17" s="235"/>
      <c r="HDO17" s="235"/>
      <c r="HDP17" s="235"/>
      <c r="HDQ17" s="235"/>
      <c r="HDR17" s="235"/>
      <c r="HDS17" s="235"/>
      <c r="HDT17" s="235"/>
      <c r="HDU17" s="235"/>
      <c r="HDV17" s="235"/>
      <c r="HDW17" s="235"/>
      <c r="HDX17" s="235"/>
      <c r="HDY17" s="235"/>
      <c r="HDZ17" s="235"/>
      <c r="HEA17" s="235"/>
      <c r="HEB17" s="235"/>
      <c r="HEC17" s="235"/>
      <c r="HED17" s="235"/>
      <c r="HEE17" s="235"/>
      <c r="HEF17" s="235"/>
      <c r="HEG17" s="235"/>
      <c r="HEH17" s="235"/>
      <c r="HEI17" s="235"/>
      <c r="HEJ17" s="235"/>
      <c r="HEK17" s="235"/>
      <c r="HEL17" s="235"/>
      <c r="HEM17" s="235"/>
      <c r="HEN17" s="235"/>
      <c r="HEO17" s="235"/>
      <c r="HEP17" s="235"/>
      <c r="HEQ17" s="235"/>
      <c r="HER17" s="235"/>
      <c r="HES17" s="235"/>
      <c r="HET17" s="235"/>
      <c r="HEU17" s="235"/>
      <c r="HEV17" s="235"/>
      <c r="HEW17" s="235"/>
      <c r="HEX17" s="235"/>
      <c r="HEY17" s="235"/>
      <c r="HEZ17" s="235"/>
      <c r="HFA17" s="235"/>
      <c r="HFB17" s="235"/>
      <c r="HFC17" s="235"/>
      <c r="HFD17" s="235"/>
      <c r="HFE17" s="235"/>
      <c r="HFF17" s="235"/>
      <c r="HFG17" s="235"/>
      <c r="HFH17" s="235"/>
      <c r="HFI17" s="235"/>
      <c r="HFJ17" s="235"/>
      <c r="HFK17" s="235"/>
      <c r="HFL17" s="235"/>
      <c r="HFM17" s="235"/>
      <c r="HFN17" s="235"/>
      <c r="HFO17" s="235"/>
      <c r="HFP17" s="235"/>
      <c r="HFQ17" s="235"/>
      <c r="HFR17" s="235"/>
      <c r="HFS17" s="235"/>
      <c r="HFT17" s="235"/>
      <c r="HFU17" s="235"/>
      <c r="HFV17" s="235"/>
      <c r="HFW17" s="235"/>
      <c r="HFX17" s="235"/>
      <c r="HFY17" s="235"/>
      <c r="HFZ17" s="235"/>
      <c r="HGA17" s="235"/>
      <c r="HGB17" s="235"/>
      <c r="HGC17" s="235"/>
      <c r="HGD17" s="235"/>
      <c r="HGE17" s="235"/>
      <c r="HGF17" s="235"/>
      <c r="HGG17" s="235"/>
      <c r="HGH17" s="235"/>
      <c r="HGI17" s="235"/>
      <c r="HGJ17" s="235"/>
      <c r="HGK17" s="235"/>
      <c r="HGL17" s="235"/>
      <c r="HGM17" s="235"/>
      <c r="HGN17" s="235"/>
      <c r="HGO17" s="235"/>
      <c r="HGP17" s="235"/>
      <c r="HGQ17" s="235"/>
      <c r="HGR17" s="235"/>
      <c r="HGS17" s="235"/>
      <c r="HGT17" s="235"/>
      <c r="HGU17" s="235"/>
      <c r="HGV17" s="235"/>
      <c r="HGW17" s="235"/>
      <c r="HGX17" s="235"/>
      <c r="HGY17" s="235"/>
      <c r="HGZ17" s="235"/>
      <c r="HHA17" s="235"/>
      <c r="HHB17" s="235"/>
      <c r="HHC17" s="235"/>
      <c r="HHD17" s="235"/>
      <c r="HHE17" s="235"/>
      <c r="HHF17" s="235"/>
      <c r="HHG17" s="235"/>
      <c r="HHH17" s="235"/>
      <c r="HHI17" s="235"/>
      <c r="HHJ17" s="235"/>
      <c r="HHK17" s="235"/>
      <c r="HHL17" s="235"/>
      <c r="HHM17" s="235"/>
      <c r="HHN17" s="235"/>
      <c r="HHO17" s="235"/>
      <c r="HHP17" s="235"/>
      <c r="HHQ17" s="235"/>
      <c r="HHR17" s="235"/>
      <c r="HHS17" s="235"/>
      <c r="HHT17" s="235"/>
      <c r="HHU17" s="235"/>
      <c r="HHV17" s="235"/>
      <c r="HHW17" s="235"/>
      <c r="HHX17" s="235"/>
      <c r="HHY17" s="235"/>
      <c r="HHZ17" s="235"/>
      <c r="HIA17" s="235"/>
      <c r="HIB17" s="235"/>
      <c r="HIC17" s="235"/>
      <c r="HID17" s="235"/>
      <c r="HIE17" s="235"/>
      <c r="HIF17" s="235"/>
      <c r="HIG17" s="235"/>
      <c r="HIH17" s="235"/>
      <c r="HII17" s="235"/>
      <c r="HIJ17" s="235"/>
      <c r="HIK17" s="235"/>
      <c r="HIL17" s="235"/>
      <c r="HIM17" s="235"/>
      <c r="HIN17" s="235"/>
      <c r="HIO17" s="235"/>
      <c r="HIP17" s="235"/>
      <c r="HIQ17" s="235"/>
      <c r="HIR17" s="235"/>
      <c r="HIS17" s="235"/>
      <c r="HIT17" s="235"/>
      <c r="HIU17" s="235"/>
      <c r="HIV17" s="235"/>
      <c r="HIW17" s="235"/>
      <c r="HIX17" s="235"/>
      <c r="HIY17" s="235"/>
      <c r="HIZ17" s="235"/>
      <c r="HJA17" s="235"/>
      <c r="HJB17" s="235"/>
      <c r="HJC17" s="235"/>
      <c r="HJD17" s="235"/>
      <c r="HJE17" s="235"/>
      <c r="HJF17" s="235"/>
      <c r="HJG17" s="235"/>
      <c r="HJH17" s="235"/>
      <c r="HJI17" s="235"/>
      <c r="HJJ17" s="235"/>
      <c r="HJK17" s="235"/>
      <c r="HJL17" s="235"/>
      <c r="HJM17" s="235"/>
      <c r="HJN17" s="235"/>
      <c r="HJO17" s="235"/>
      <c r="HJP17" s="235"/>
      <c r="HJQ17" s="235"/>
      <c r="HJR17" s="235"/>
      <c r="HJS17" s="235"/>
      <c r="HJT17" s="235"/>
      <c r="HJU17" s="235"/>
      <c r="HJV17" s="235"/>
      <c r="HJW17" s="235"/>
      <c r="HJX17" s="235"/>
      <c r="HJY17" s="235"/>
      <c r="HJZ17" s="235"/>
      <c r="HKA17" s="235"/>
      <c r="HKB17" s="235"/>
      <c r="HKC17" s="235"/>
      <c r="HKD17" s="235"/>
      <c r="HKE17" s="235"/>
      <c r="HKF17" s="235"/>
      <c r="HKG17" s="235"/>
      <c r="HKH17" s="235"/>
      <c r="HKI17" s="235"/>
      <c r="HKJ17" s="235"/>
      <c r="HKK17" s="235"/>
      <c r="HKL17" s="235"/>
      <c r="HKM17" s="235"/>
      <c r="HKN17" s="235"/>
      <c r="HKO17" s="235"/>
      <c r="HKP17" s="235"/>
      <c r="HKQ17" s="235"/>
      <c r="HKR17" s="235"/>
      <c r="HKS17" s="235"/>
      <c r="HKT17" s="235"/>
      <c r="HKU17" s="235"/>
      <c r="HKV17" s="235"/>
      <c r="HKW17" s="235"/>
      <c r="HKX17" s="235"/>
      <c r="HKY17" s="235"/>
      <c r="HKZ17" s="235"/>
      <c r="HLA17" s="235"/>
      <c r="HLB17" s="235"/>
      <c r="HLC17" s="235"/>
      <c r="HLD17" s="235"/>
      <c r="HLE17" s="235"/>
      <c r="HLF17" s="235"/>
      <c r="HLG17" s="235"/>
      <c r="HLH17" s="235"/>
      <c r="HLI17" s="235"/>
      <c r="HLJ17" s="235"/>
      <c r="HLK17" s="235"/>
      <c r="HLL17" s="235"/>
      <c r="HLM17" s="235"/>
      <c r="HLN17" s="235"/>
      <c r="HLO17" s="235"/>
      <c r="HLP17" s="235"/>
      <c r="HLQ17" s="235"/>
      <c r="HLR17" s="235"/>
      <c r="HLS17" s="235"/>
      <c r="HLT17" s="235"/>
      <c r="HLU17" s="235"/>
      <c r="HLV17" s="235"/>
      <c r="HLW17" s="235"/>
      <c r="HLX17" s="235"/>
      <c r="HLY17" s="235"/>
      <c r="HLZ17" s="235"/>
      <c r="HMA17" s="235"/>
      <c r="HMB17" s="235"/>
      <c r="HMC17" s="235"/>
      <c r="HMD17" s="235"/>
      <c r="HME17" s="235"/>
      <c r="HMF17" s="235"/>
      <c r="HMG17" s="235"/>
      <c r="HMH17" s="235"/>
      <c r="HMI17" s="235"/>
      <c r="HMJ17" s="235"/>
      <c r="HMK17" s="235"/>
      <c r="HML17" s="235"/>
      <c r="HMM17" s="235"/>
      <c r="HMN17" s="235"/>
      <c r="HMO17" s="235"/>
      <c r="HMP17" s="235"/>
      <c r="HMQ17" s="235"/>
      <c r="HMR17" s="235"/>
      <c r="HMS17" s="235"/>
      <c r="HMT17" s="235"/>
      <c r="HMU17" s="235"/>
      <c r="HMV17" s="235"/>
      <c r="HMW17" s="235"/>
      <c r="HMX17" s="235"/>
      <c r="HMY17" s="235"/>
      <c r="HMZ17" s="235"/>
      <c r="HNA17" s="235"/>
      <c r="HNB17" s="235"/>
      <c r="HNC17" s="235"/>
      <c r="HND17" s="235"/>
      <c r="HNE17" s="235"/>
      <c r="HNF17" s="235"/>
      <c r="HNG17" s="235"/>
      <c r="HNH17" s="235"/>
      <c r="HNI17" s="235"/>
      <c r="HNJ17" s="235"/>
      <c r="HNK17" s="235"/>
      <c r="HNL17" s="235"/>
      <c r="HNM17" s="235"/>
      <c r="HNN17" s="235"/>
      <c r="HNO17" s="235"/>
      <c r="HNP17" s="235"/>
      <c r="HNQ17" s="235"/>
      <c r="HNR17" s="235"/>
      <c r="HNS17" s="235"/>
      <c r="HNT17" s="235"/>
      <c r="HNU17" s="235"/>
      <c r="HNV17" s="235"/>
      <c r="HNW17" s="235"/>
      <c r="HNX17" s="235"/>
      <c r="HNY17" s="235"/>
      <c r="HNZ17" s="235"/>
      <c r="HOA17" s="235"/>
      <c r="HOB17" s="235"/>
      <c r="HOC17" s="235"/>
      <c r="HOD17" s="235"/>
      <c r="HOE17" s="235"/>
      <c r="HOF17" s="235"/>
      <c r="HOG17" s="235"/>
      <c r="HOH17" s="235"/>
      <c r="HOI17" s="235"/>
      <c r="HOJ17" s="235"/>
      <c r="HOK17" s="235"/>
      <c r="HOL17" s="235"/>
      <c r="HOM17" s="235"/>
      <c r="HON17" s="235"/>
      <c r="HOO17" s="235"/>
      <c r="HOP17" s="235"/>
      <c r="HOQ17" s="235"/>
      <c r="HOR17" s="235"/>
      <c r="HOS17" s="235"/>
      <c r="HOT17" s="235"/>
      <c r="HOU17" s="235"/>
      <c r="HOV17" s="235"/>
      <c r="HOW17" s="235"/>
      <c r="HOX17" s="235"/>
      <c r="HOY17" s="235"/>
      <c r="HOZ17" s="235"/>
      <c r="HPA17" s="235"/>
      <c r="HPB17" s="235"/>
      <c r="HPC17" s="235"/>
      <c r="HPD17" s="235"/>
      <c r="HPE17" s="235"/>
      <c r="HPF17" s="235"/>
      <c r="HPG17" s="235"/>
      <c r="HPH17" s="235"/>
      <c r="HPI17" s="235"/>
      <c r="HPJ17" s="235"/>
      <c r="HPK17" s="235"/>
      <c r="HPL17" s="235"/>
      <c r="HPM17" s="235"/>
      <c r="HPN17" s="235"/>
      <c r="HPO17" s="235"/>
      <c r="HPP17" s="235"/>
      <c r="HPQ17" s="235"/>
      <c r="HPR17" s="235"/>
      <c r="HPS17" s="235"/>
      <c r="HPT17" s="235"/>
      <c r="HPU17" s="235"/>
      <c r="HPV17" s="235"/>
      <c r="HPW17" s="235"/>
      <c r="HPX17" s="235"/>
      <c r="HPY17" s="235"/>
      <c r="HPZ17" s="235"/>
      <c r="HQA17" s="235"/>
      <c r="HQB17" s="235"/>
      <c r="HQC17" s="235"/>
      <c r="HQD17" s="235"/>
      <c r="HQE17" s="235"/>
      <c r="HQF17" s="235"/>
      <c r="HQG17" s="235"/>
      <c r="HQH17" s="235"/>
      <c r="HQI17" s="235"/>
      <c r="HQJ17" s="235"/>
      <c r="HQK17" s="235"/>
      <c r="HQL17" s="235"/>
      <c r="HQM17" s="235"/>
      <c r="HQN17" s="235"/>
      <c r="HQO17" s="235"/>
      <c r="HQP17" s="235"/>
      <c r="HQQ17" s="235"/>
      <c r="HQR17" s="235"/>
      <c r="HQS17" s="235"/>
      <c r="HQT17" s="235"/>
      <c r="HQU17" s="235"/>
      <c r="HQV17" s="235"/>
      <c r="HQW17" s="235"/>
      <c r="HQX17" s="235"/>
      <c r="HQY17" s="235"/>
      <c r="HQZ17" s="235"/>
      <c r="HRA17" s="235"/>
      <c r="HRB17" s="235"/>
      <c r="HRC17" s="235"/>
      <c r="HRD17" s="235"/>
      <c r="HRE17" s="235"/>
      <c r="HRF17" s="235"/>
      <c r="HRG17" s="235"/>
      <c r="HRH17" s="235"/>
      <c r="HRI17" s="235"/>
      <c r="HRJ17" s="235"/>
      <c r="HRK17" s="235"/>
      <c r="HRL17" s="235"/>
      <c r="HRM17" s="235"/>
      <c r="HRN17" s="235"/>
      <c r="HRO17" s="235"/>
      <c r="HRP17" s="235"/>
      <c r="HRQ17" s="235"/>
      <c r="HRR17" s="235"/>
      <c r="HRS17" s="235"/>
      <c r="HRT17" s="235"/>
      <c r="HRU17" s="235"/>
      <c r="HRV17" s="235"/>
      <c r="HRW17" s="235"/>
      <c r="HRX17" s="235"/>
      <c r="HRY17" s="235"/>
      <c r="HRZ17" s="235"/>
      <c r="HSA17" s="235"/>
      <c r="HSB17" s="235"/>
      <c r="HSC17" s="235"/>
      <c r="HSD17" s="235"/>
      <c r="HSE17" s="235"/>
      <c r="HSF17" s="235"/>
      <c r="HSG17" s="235"/>
      <c r="HSH17" s="235"/>
      <c r="HSI17" s="235"/>
      <c r="HSJ17" s="235"/>
      <c r="HSK17" s="235"/>
      <c r="HSL17" s="235"/>
      <c r="HSM17" s="235"/>
      <c r="HSN17" s="235"/>
      <c r="HSO17" s="235"/>
      <c r="HSP17" s="235"/>
      <c r="HSQ17" s="235"/>
      <c r="HSR17" s="235"/>
      <c r="HSS17" s="235"/>
      <c r="HST17" s="235"/>
      <c r="HSU17" s="235"/>
      <c r="HSV17" s="235"/>
      <c r="HSW17" s="235"/>
      <c r="HSX17" s="235"/>
      <c r="HSY17" s="235"/>
      <c r="HSZ17" s="235"/>
      <c r="HTA17" s="235"/>
      <c r="HTB17" s="235"/>
      <c r="HTC17" s="235"/>
      <c r="HTD17" s="235"/>
      <c r="HTE17" s="235"/>
      <c r="HTF17" s="235"/>
      <c r="HTG17" s="235"/>
      <c r="HTH17" s="235"/>
      <c r="HTI17" s="235"/>
      <c r="HTJ17" s="235"/>
      <c r="HTK17" s="235"/>
      <c r="HTL17" s="235"/>
      <c r="HTM17" s="235"/>
      <c r="HTN17" s="235"/>
      <c r="HTO17" s="235"/>
      <c r="HTP17" s="235"/>
      <c r="HTQ17" s="235"/>
      <c r="HTR17" s="235"/>
      <c r="HTS17" s="235"/>
      <c r="HTT17" s="235"/>
      <c r="HTU17" s="235"/>
      <c r="HTV17" s="235"/>
      <c r="HTW17" s="235"/>
      <c r="HTX17" s="235"/>
      <c r="HTY17" s="235"/>
      <c r="HTZ17" s="235"/>
      <c r="HUA17" s="235"/>
      <c r="HUB17" s="235"/>
      <c r="HUC17" s="235"/>
      <c r="HUD17" s="235"/>
      <c r="HUE17" s="235"/>
      <c r="HUF17" s="235"/>
      <c r="HUG17" s="235"/>
      <c r="HUH17" s="235"/>
      <c r="HUI17" s="235"/>
      <c r="HUJ17" s="235"/>
      <c r="HUK17" s="235"/>
      <c r="HUL17" s="235"/>
      <c r="HUM17" s="235"/>
      <c r="HUN17" s="235"/>
      <c r="HUO17" s="235"/>
      <c r="HUP17" s="235"/>
      <c r="HUQ17" s="235"/>
      <c r="HUR17" s="235"/>
      <c r="HUS17" s="235"/>
      <c r="HUT17" s="235"/>
      <c r="HUU17" s="235"/>
      <c r="HUV17" s="235"/>
      <c r="HUW17" s="235"/>
      <c r="HUX17" s="235"/>
      <c r="HUY17" s="235"/>
      <c r="HUZ17" s="235"/>
      <c r="HVA17" s="235"/>
      <c r="HVB17" s="235"/>
      <c r="HVC17" s="235"/>
      <c r="HVD17" s="235"/>
      <c r="HVE17" s="235"/>
      <c r="HVF17" s="235"/>
      <c r="HVG17" s="235"/>
      <c r="HVH17" s="235"/>
      <c r="HVI17" s="235"/>
      <c r="HVJ17" s="235"/>
      <c r="HVK17" s="235"/>
      <c r="HVL17" s="235"/>
      <c r="HVM17" s="235"/>
      <c r="HVN17" s="235"/>
      <c r="HVO17" s="235"/>
      <c r="HVP17" s="235"/>
      <c r="HVQ17" s="235"/>
      <c r="HVR17" s="235"/>
      <c r="HVS17" s="235"/>
      <c r="HVT17" s="235"/>
      <c r="HVU17" s="235"/>
      <c r="HVV17" s="235"/>
      <c r="HVW17" s="235"/>
      <c r="HVX17" s="235"/>
      <c r="HVY17" s="235"/>
      <c r="HVZ17" s="235"/>
      <c r="HWA17" s="235"/>
      <c r="HWB17" s="235"/>
      <c r="HWC17" s="235"/>
      <c r="HWD17" s="235"/>
      <c r="HWE17" s="235"/>
      <c r="HWF17" s="235"/>
      <c r="HWG17" s="235"/>
      <c r="HWH17" s="235"/>
      <c r="HWI17" s="235"/>
      <c r="HWJ17" s="235"/>
      <c r="HWK17" s="235"/>
      <c r="HWL17" s="235"/>
      <c r="HWM17" s="235"/>
      <c r="HWN17" s="235"/>
      <c r="HWO17" s="235"/>
      <c r="HWP17" s="235"/>
      <c r="HWQ17" s="235"/>
      <c r="HWR17" s="235"/>
      <c r="HWS17" s="235"/>
      <c r="HWT17" s="235"/>
      <c r="HWU17" s="235"/>
      <c r="HWV17" s="235"/>
      <c r="HWW17" s="235"/>
      <c r="HWX17" s="235"/>
      <c r="HWY17" s="235"/>
      <c r="HWZ17" s="235"/>
      <c r="HXA17" s="235"/>
      <c r="HXB17" s="235"/>
      <c r="HXC17" s="235"/>
      <c r="HXD17" s="235"/>
      <c r="HXE17" s="235"/>
      <c r="HXF17" s="235"/>
      <c r="HXG17" s="235"/>
      <c r="HXH17" s="235"/>
      <c r="HXI17" s="235"/>
      <c r="HXJ17" s="235"/>
      <c r="HXK17" s="235"/>
      <c r="HXL17" s="235"/>
      <c r="HXM17" s="235"/>
      <c r="HXN17" s="235"/>
      <c r="HXO17" s="235"/>
      <c r="HXP17" s="235"/>
      <c r="HXQ17" s="235"/>
      <c r="HXR17" s="235"/>
      <c r="HXS17" s="235"/>
      <c r="HXT17" s="235"/>
      <c r="HXU17" s="235"/>
      <c r="HXV17" s="235"/>
      <c r="HXW17" s="235"/>
      <c r="HXX17" s="235"/>
      <c r="HXY17" s="235"/>
      <c r="HXZ17" s="235"/>
      <c r="HYA17" s="235"/>
      <c r="HYB17" s="235"/>
      <c r="HYC17" s="235"/>
      <c r="HYD17" s="235"/>
      <c r="HYE17" s="235"/>
      <c r="HYF17" s="235"/>
      <c r="HYG17" s="235"/>
      <c r="HYH17" s="235"/>
      <c r="HYI17" s="235"/>
      <c r="HYJ17" s="235"/>
      <c r="HYK17" s="235"/>
      <c r="HYL17" s="235"/>
      <c r="HYM17" s="235"/>
      <c r="HYN17" s="235"/>
      <c r="HYO17" s="235"/>
      <c r="HYP17" s="235"/>
      <c r="HYQ17" s="235"/>
      <c r="HYR17" s="235"/>
      <c r="HYS17" s="235"/>
      <c r="HYT17" s="235"/>
      <c r="HYU17" s="235"/>
      <c r="HYV17" s="235"/>
      <c r="HYW17" s="235"/>
      <c r="HYX17" s="235"/>
      <c r="HYY17" s="235"/>
      <c r="HYZ17" s="235"/>
      <c r="HZA17" s="235"/>
      <c r="HZB17" s="235"/>
      <c r="HZC17" s="235"/>
      <c r="HZD17" s="235"/>
      <c r="HZE17" s="235"/>
      <c r="HZF17" s="235"/>
      <c r="HZG17" s="235"/>
      <c r="HZH17" s="235"/>
      <c r="HZI17" s="235"/>
      <c r="HZJ17" s="235"/>
      <c r="HZK17" s="235"/>
      <c r="HZL17" s="235"/>
      <c r="HZM17" s="235"/>
      <c r="HZN17" s="235"/>
      <c r="HZO17" s="235"/>
      <c r="HZP17" s="235"/>
      <c r="HZQ17" s="235"/>
      <c r="HZR17" s="235"/>
      <c r="HZS17" s="235"/>
      <c r="HZT17" s="235"/>
      <c r="HZU17" s="235"/>
      <c r="HZV17" s="235"/>
      <c r="HZW17" s="235"/>
      <c r="HZX17" s="235"/>
      <c r="HZY17" s="235"/>
      <c r="HZZ17" s="235"/>
      <c r="IAA17" s="235"/>
      <c r="IAB17" s="235"/>
      <c r="IAC17" s="235"/>
      <c r="IAD17" s="235"/>
      <c r="IAE17" s="235"/>
      <c r="IAF17" s="235"/>
      <c r="IAG17" s="235"/>
      <c r="IAH17" s="235"/>
      <c r="IAI17" s="235"/>
      <c r="IAJ17" s="235"/>
      <c r="IAK17" s="235"/>
      <c r="IAL17" s="235"/>
      <c r="IAM17" s="235"/>
      <c r="IAN17" s="235"/>
      <c r="IAO17" s="235"/>
      <c r="IAP17" s="235"/>
      <c r="IAQ17" s="235"/>
      <c r="IAR17" s="235"/>
      <c r="IAS17" s="235"/>
      <c r="IAT17" s="235"/>
      <c r="IAU17" s="235"/>
      <c r="IAV17" s="235"/>
      <c r="IAW17" s="235"/>
      <c r="IAX17" s="235"/>
      <c r="IAY17" s="235"/>
      <c r="IAZ17" s="235"/>
      <c r="IBA17" s="235"/>
      <c r="IBB17" s="235"/>
      <c r="IBC17" s="235"/>
      <c r="IBD17" s="235"/>
      <c r="IBE17" s="235"/>
      <c r="IBF17" s="235"/>
      <c r="IBG17" s="235"/>
      <c r="IBH17" s="235"/>
      <c r="IBI17" s="235"/>
      <c r="IBJ17" s="235"/>
      <c r="IBK17" s="235"/>
      <c r="IBL17" s="235"/>
      <c r="IBM17" s="235"/>
      <c r="IBN17" s="235"/>
      <c r="IBO17" s="235"/>
      <c r="IBP17" s="235"/>
      <c r="IBQ17" s="235"/>
      <c r="IBR17" s="235"/>
      <c r="IBS17" s="235"/>
      <c r="IBT17" s="235"/>
      <c r="IBU17" s="235"/>
      <c r="IBV17" s="235"/>
      <c r="IBW17" s="235"/>
      <c r="IBX17" s="235"/>
      <c r="IBY17" s="235"/>
      <c r="IBZ17" s="235"/>
      <c r="ICA17" s="235"/>
      <c r="ICB17" s="235"/>
      <c r="ICC17" s="235"/>
      <c r="ICD17" s="235"/>
      <c r="ICE17" s="235"/>
      <c r="ICF17" s="235"/>
      <c r="ICG17" s="235"/>
      <c r="ICH17" s="235"/>
      <c r="ICI17" s="235"/>
      <c r="ICJ17" s="235"/>
      <c r="ICK17" s="235"/>
      <c r="ICL17" s="235"/>
      <c r="ICM17" s="235"/>
      <c r="ICN17" s="235"/>
      <c r="ICO17" s="235"/>
      <c r="ICP17" s="235"/>
      <c r="ICQ17" s="235"/>
      <c r="ICR17" s="235"/>
      <c r="ICS17" s="235"/>
      <c r="ICT17" s="235"/>
      <c r="ICU17" s="235"/>
      <c r="ICV17" s="235"/>
      <c r="ICW17" s="235"/>
      <c r="ICX17" s="235"/>
      <c r="ICY17" s="235"/>
      <c r="ICZ17" s="235"/>
      <c r="IDA17" s="235"/>
      <c r="IDB17" s="235"/>
      <c r="IDC17" s="235"/>
      <c r="IDD17" s="235"/>
      <c r="IDE17" s="235"/>
      <c r="IDF17" s="235"/>
      <c r="IDG17" s="235"/>
      <c r="IDH17" s="235"/>
      <c r="IDI17" s="235"/>
      <c r="IDJ17" s="235"/>
      <c r="IDK17" s="235"/>
      <c r="IDL17" s="235"/>
      <c r="IDM17" s="235"/>
      <c r="IDN17" s="235"/>
      <c r="IDO17" s="235"/>
      <c r="IDP17" s="235"/>
      <c r="IDQ17" s="235"/>
      <c r="IDR17" s="235"/>
      <c r="IDS17" s="235"/>
      <c r="IDT17" s="235"/>
      <c r="IDU17" s="235"/>
      <c r="IDV17" s="235"/>
      <c r="IDW17" s="235"/>
      <c r="IDX17" s="235"/>
      <c r="IDY17" s="235"/>
      <c r="IDZ17" s="235"/>
      <c r="IEA17" s="235"/>
      <c r="IEB17" s="235"/>
      <c r="IEC17" s="235"/>
      <c r="IED17" s="235"/>
      <c r="IEE17" s="235"/>
      <c r="IEF17" s="235"/>
      <c r="IEG17" s="235"/>
      <c r="IEH17" s="235"/>
      <c r="IEI17" s="235"/>
      <c r="IEJ17" s="235"/>
      <c r="IEK17" s="235"/>
      <c r="IEL17" s="235"/>
      <c r="IEM17" s="235"/>
      <c r="IEN17" s="235"/>
      <c r="IEO17" s="235"/>
      <c r="IEP17" s="235"/>
      <c r="IEQ17" s="235"/>
      <c r="IER17" s="235"/>
      <c r="IES17" s="235"/>
      <c r="IET17" s="235"/>
      <c r="IEU17" s="235"/>
      <c r="IEV17" s="235"/>
      <c r="IEW17" s="235"/>
      <c r="IEX17" s="235"/>
      <c r="IEY17" s="235"/>
      <c r="IEZ17" s="235"/>
      <c r="IFA17" s="235"/>
      <c r="IFB17" s="235"/>
      <c r="IFC17" s="235"/>
      <c r="IFD17" s="235"/>
      <c r="IFE17" s="235"/>
      <c r="IFF17" s="235"/>
      <c r="IFG17" s="235"/>
      <c r="IFH17" s="235"/>
      <c r="IFI17" s="235"/>
      <c r="IFJ17" s="235"/>
      <c r="IFK17" s="235"/>
      <c r="IFL17" s="235"/>
      <c r="IFM17" s="235"/>
      <c r="IFN17" s="235"/>
      <c r="IFO17" s="235"/>
      <c r="IFP17" s="235"/>
      <c r="IFQ17" s="235"/>
      <c r="IFR17" s="235"/>
      <c r="IFS17" s="235"/>
      <c r="IFT17" s="235"/>
      <c r="IFU17" s="235"/>
      <c r="IFV17" s="235"/>
      <c r="IFW17" s="235"/>
      <c r="IFX17" s="235"/>
      <c r="IFY17" s="235"/>
      <c r="IFZ17" s="235"/>
      <c r="IGA17" s="235"/>
      <c r="IGB17" s="235"/>
      <c r="IGC17" s="235"/>
      <c r="IGD17" s="235"/>
      <c r="IGE17" s="235"/>
      <c r="IGF17" s="235"/>
      <c r="IGG17" s="235"/>
      <c r="IGH17" s="235"/>
      <c r="IGI17" s="235"/>
      <c r="IGJ17" s="235"/>
      <c r="IGK17" s="235"/>
      <c r="IGL17" s="235"/>
      <c r="IGM17" s="235"/>
      <c r="IGN17" s="235"/>
      <c r="IGO17" s="235"/>
      <c r="IGP17" s="235"/>
      <c r="IGQ17" s="235"/>
      <c r="IGR17" s="235"/>
      <c r="IGS17" s="235"/>
      <c r="IGT17" s="235"/>
      <c r="IGU17" s="235"/>
      <c r="IGV17" s="235"/>
      <c r="IGW17" s="235"/>
      <c r="IGX17" s="235"/>
      <c r="IGY17" s="235"/>
      <c r="IGZ17" s="235"/>
      <c r="IHA17" s="235"/>
      <c r="IHB17" s="235"/>
      <c r="IHC17" s="235"/>
      <c r="IHD17" s="235"/>
      <c r="IHE17" s="235"/>
      <c r="IHF17" s="235"/>
      <c r="IHG17" s="235"/>
      <c r="IHH17" s="235"/>
      <c r="IHI17" s="235"/>
      <c r="IHJ17" s="235"/>
      <c r="IHK17" s="235"/>
      <c r="IHL17" s="235"/>
      <c r="IHM17" s="235"/>
      <c r="IHN17" s="235"/>
      <c r="IHO17" s="235"/>
      <c r="IHP17" s="235"/>
      <c r="IHQ17" s="235"/>
      <c r="IHR17" s="235"/>
      <c r="IHS17" s="235"/>
      <c r="IHT17" s="235"/>
      <c r="IHU17" s="235"/>
      <c r="IHV17" s="235"/>
      <c r="IHW17" s="235"/>
      <c r="IHX17" s="235"/>
      <c r="IHY17" s="235"/>
      <c r="IHZ17" s="235"/>
      <c r="IIA17" s="235"/>
      <c r="IIB17" s="235"/>
      <c r="IIC17" s="235"/>
      <c r="IID17" s="235"/>
      <c r="IIE17" s="235"/>
      <c r="IIF17" s="235"/>
      <c r="IIG17" s="235"/>
      <c r="IIH17" s="235"/>
      <c r="III17" s="235"/>
      <c r="IIJ17" s="235"/>
      <c r="IIK17" s="235"/>
      <c r="IIL17" s="235"/>
      <c r="IIM17" s="235"/>
      <c r="IIN17" s="235"/>
      <c r="IIO17" s="235"/>
      <c r="IIP17" s="235"/>
      <c r="IIQ17" s="235"/>
      <c r="IIR17" s="235"/>
      <c r="IIS17" s="235"/>
      <c r="IIT17" s="235"/>
      <c r="IIU17" s="235"/>
      <c r="IIV17" s="235"/>
      <c r="IIW17" s="235"/>
      <c r="IIX17" s="235"/>
      <c r="IIY17" s="235"/>
      <c r="IIZ17" s="235"/>
      <c r="IJA17" s="235"/>
      <c r="IJB17" s="235"/>
      <c r="IJC17" s="235"/>
      <c r="IJD17" s="235"/>
      <c r="IJE17" s="235"/>
      <c r="IJF17" s="235"/>
      <c r="IJG17" s="235"/>
      <c r="IJH17" s="235"/>
      <c r="IJI17" s="235"/>
      <c r="IJJ17" s="235"/>
      <c r="IJK17" s="235"/>
      <c r="IJL17" s="235"/>
      <c r="IJM17" s="235"/>
      <c r="IJN17" s="235"/>
      <c r="IJO17" s="235"/>
      <c r="IJP17" s="235"/>
      <c r="IJQ17" s="235"/>
      <c r="IJR17" s="235"/>
      <c r="IJS17" s="235"/>
      <c r="IJT17" s="235"/>
      <c r="IJU17" s="235"/>
      <c r="IJV17" s="235"/>
      <c r="IJW17" s="235"/>
      <c r="IJX17" s="235"/>
      <c r="IJY17" s="235"/>
      <c r="IJZ17" s="235"/>
      <c r="IKA17" s="235"/>
      <c r="IKB17" s="235"/>
      <c r="IKC17" s="235"/>
      <c r="IKD17" s="235"/>
      <c r="IKE17" s="235"/>
      <c r="IKF17" s="235"/>
      <c r="IKG17" s="235"/>
      <c r="IKH17" s="235"/>
      <c r="IKI17" s="235"/>
      <c r="IKJ17" s="235"/>
      <c r="IKK17" s="235"/>
      <c r="IKL17" s="235"/>
      <c r="IKM17" s="235"/>
      <c r="IKN17" s="235"/>
      <c r="IKO17" s="235"/>
      <c r="IKP17" s="235"/>
      <c r="IKQ17" s="235"/>
      <c r="IKR17" s="235"/>
      <c r="IKS17" s="235"/>
      <c r="IKT17" s="235"/>
      <c r="IKU17" s="235"/>
      <c r="IKV17" s="235"/>
      <c r="IKW17" s="235"/>
      <c r="IKX17" s="235"/>
      <c r="IKY17" s="235"/>
      <c r="IKZ17" s="235"/>
      <c r="ILA17" s="235"/>
      <c r="ILB17" s="235"/>
      <c r="ILC17" s="235"/>
      <c r="ILD17" s="235"/>
      <c r="ILE17" s="235"/>
      <c r="ILF17" s="235"/>
      <c r="ILG17" s="235"/>
      <c r="ILH17" s="235"/>
      <c r="ILI17" s="235"/>
      <c r="ILJ17" s="235"/>
      <c r="ILK17" s="235"/>
      <c r="ILL17" s="235"/>
      <c r="ILM17" s="235"/>
      <c r="ILN17" s="235"/>
      <c r="ILO17" s="235"/>
      <c r="ILP17" s="235"/>
      <c r="ILQ17" s="235"/>
      <c r="ILR17" s="235"/>
      <c r="ILS17" s="235"/>
      <c r="ILT17" s="235"/>
      <c r="ILU17" s="235"/>
      <c r="ILV17" s="235"/>
      <c r="ILW17" s="235"/>
      <c r="ILX17" s="235"/>
      <c r="ILY17" s="235"/>
      <c r="ILZ17" s="235"/>
      <c r="IMA17" s="235"/>
      <c r="IMB17" s="235"/>
      <c r="IMC17" s="235"/>
      <c r="IMD17" s="235"/>
      <c r="IME17" s="235"/>
      <c r="IMF17" s="235"/>
      <c r="IMG17" s="235"/>
      <c r="IMH17" s="235"/>
      <c r="IMI17" s="235"/>
      <c r="IMJ17" s="235"/>
      <c r="IMK17" s="235"/>
      <c r="IML17" s="235"/>
      <c r="IMM17" s="235"/>
      <c r="IMN17" s="235"/>
      <c r="IMO17" s="235"/>
      <c r="IMP17" s="235"/>
      <c r="IMQ17" s="235"/>
      <c r="IMR17" s="235"/>
      <c r="IMS17" s="235"/>
      <c r="IMT17" s="235"/>
      <c r="IMU17" s="235"/>
      <c r="IMV17" s="235"/>
      <c r="IMW17" s="235"/>
      <c r="IMX17" s="235"/>
      <c r="IMY17" s="235"/>
      <c r="IMZ17" s="235"/>
      <c r="INA17" s="235"/>
      <c r="INB17" s="235"/>
      <c r="INC17" s="235"/>
      <c r="IND17" s="235"/>
      <c r="INE17" s="235"/>
      <c r="INF17" s="235"/>
      <c r="ING17" s="235"/>
      <c r="INH17" s="235"/>
      <c r="INI17" s="235"/>
      <c r="INJ17" s="235"/>
      <c r="INK17" s="235"/>
      <c r="INL17" s="235"/>
      <c r="INM17" s="235"/>
      <c r="INN17" s="235"/>
      <c r="INO17" s="235"/>
      <c r="INP17" s="235"/>
      <c r="INQ17" s="235"/>
      <c r="INR17" s="235"/>
      <c r="INS17" s="235"/>
      <c r="INT17" s="235"/>
      <c r="INU17" s="235"/>
      <c r="INV17" s="235"/>
      <c r="INW17" s="235"/>
      <c r="INX17" s="235"/>
      <c r="INY17" s="235"/>
      <c r="INZ17" s="235"/>
      <c r="IOA17" s="235"/>
      <c r="IOB17" s="235"/>
      <c r="IOC17" s="235"/>
      <c r="IOD17" s="235"/>
      <c r="IOE17" s="235"/>
      <c r="IOF17" s="235"/>
      <c r="IOG17" s="235"/>
      <c r="IOH17" s="235"/>
      <c r="IOI17" s="235"/>
      <c r="IOJ17" s="235"/>
      <c r="IOK17" s="235"/>
      <c r="IOL17" s="235"/>
      <c r="IOM17" s="235"/>
      <c r="ION17" s="235"/>
      <c r="IOO17" s="235"/>
      <c r="IOP17" s="235"/>
      <c r="IOQ17" s="235"/>
      <c r="IOR17" s="235"/>
      <c r="IOS17" s="235"/>
      <c r="IOT17" s="235"/>
      <c r="IOU17" s="235"/>
      <c r="IOV17" s="235"/>
      <c r="IOW17" s="235"/>
      <c r="IOX17" s="235"/>
      <c r="IOY17" s="235"/>
      <c r="IOZ17" s="235"/>
      <c r="IPA17" s="235"/>
      <c r="IPB17" s="235"/>
      <c r="IPC17" s="235"/>
      <c r="IPD17" s="235"/>
      <c r="IPE17" s="235"/>
      <c r="IPF17" s="235"/>
      <c r="IPG17" s="235"/>
      <c r="IPH17" s="235"/>
      <c r="IPI17" s="235"/>
      <c r="IPJ17" s="235"/>
      <c r="IPK17" s="235"/>
      <c r="IPL17" s="235"/>
      <c r="IPM17" s="235"/>
      <c r="IPN17" s="235"/>
      <c r="IPO17" s="235"/>
      <c r="IPP17" s="235"/>
      <c r="IPQ17" s="235"/>
      <c r="IPR17" s="235"/>
      <c r="IPS17" s="235"/>
      <c r="IPT17" s="235"/>
      <c r="IPU17" s="235"/>
      <c r="IPV17" s="235"/>
      <c r="IPW17" s="235"/>
      <c r="IPX17" s="235"/>
      <c r="IPY17" s="235"/>
      <c r="IPZ17" s="235"/>
      <c r="IQA17" s="235"/>
      <c r="IQB17" s="235"/>
      <c r="IQC17" s="235"/>
      <c r="IQD17" s="235"/>
      <c r="IQE17" s="235"/>
      <c r="IQF17" s="235"/>
      <c r="IQG17" s="235"/>
      <c r="IQH17" s="235"/>
      <c r="IQI17" s="235"/>
      <c r="IQJ17" s="235"/>
      <c r="IQK17" s="235"/>
      <c r="IQL17" s="235"/>
      <c r="IQM17" s="235"/>
      <c r="IQN17" s="235"/>
      <c r="IQO17" s="235"/>
      <c r="IQP17" s="235"/>
      <c r="IQQ17" s="235"/>
      <c r="IQR17" s="235"/>
      <c r="IQS17" s="235"/>
      <c r="IQT17" s="235"/>
      <c r="IQU17" s="235"/>
      <c r="IQV17" s="235"/>
      <c r="IQW17" s="235"/>
      <c r="IQX17" s="235"/>
      <c r="IQY17" s="235"/>
      <c r="IQZ17" s="235"/>
      <c r="IRA17" s="235"/>
      <c r="IRB17" s="235"/>
      <c r="IRC17" s="235"/>
      <c r="IRD17" s="235"/>
      <c r="IRE17" s="235"/>
      <c r="IRF17" s="235"/>
      <c r="IRG17" s="235"/>
      <c r="IRH17" s="235"/>
      <c r="IRI17" s="235"/>
      <c r="IRJ17" s="235"/>
      <c r="IRK17" s="235"/>
      <c r="IRL17" s="235"/>
      <c r="IRM17" s="235"/>
      <c r="IRN17" s="235"/>
      <c r="IRO17" s="235"/>
      <c r="IRP17" s="235"/>
      <c r="IRQ17" s="235"/>
      <c r="IRR17" s="235"/>
      <c r="IRS17" s="235"/>
      <c r="IRT17" s="235"/>
      <c r="IRU17" s="235"/>
      <c r="IRV17" s="235"/>
      <c r="IRW17" s="235"/>
      <c r="IRX17" s="235"/>
      <c r="IRY17" s="235"/>
      <c r="IRZ17" s="235"/>
      <c r="ISA17" s="235"/>
      <c r="ISB17" s="235"/>
      <c r="ISC17" s="235"/>
      <c r="ISD17" s="235"/>
      <c r="ISE17" s="235"/>
      <c r="ISF17" s="235"/>
      <c r="ISG17" s="235"/>
      <c r="ISH17" s="235"/>
      <c r="ISI17" s="235"/>
      <c r="ISJ17" s="235"/>
      <c r="ISK17" s="235"/>
      <c r="ISL17" s="235"/>
      <c r="ISM17" s="235"/>
      <c r="ISN17" s="235"/>
      <c r="ISO17" s="235"/>
      <c r="ISP17" s="235"/>
      <c r="ISQ17" s="235"/>
      <c r="ISR17" s="235"/>
      <c r="ISS17" s="235"/>
      <c r="IST17" s="235"/>
      <c r="ISU17" s="235"/>
      <c r="ISV17" s="235"/>
      <c r="ISW17" s="235"/>
      <c r="ISX17" s="235"/>
      <c r="ISY17" s="235"/>
      <c r="ISZ17" s="235"/>
      <c r="ITA17" s="235"/>
      <c r="ITB17" s="235"/>
      <c r="ITC17" s="235"/>
      <c r="ITD17" s="235"/>
      <c r="ITE17" s="235"/>
      <c r="ITF17" s="235"/>
      <c r="ITG17" s="235"/>
      <c r="ITH17" s="235"/>
      <c r="ITI17" s="235"/>
      <c r="ITJ17" s="235"/>
      <c r="ITK17" s="235"/>
      <c r="ITL17" s="235"/>
      <c r="ITM17" s="235"/>
      <c r="ITN17" s="235"/>
      <c r="ITO17" s="235"/>
      <c r="ITP17" s="235"/>
      <c r="ITQ17" s="235"/>
      <c r="ITR17" s="235"/>
      <c r="ITS17" s="235"/>
      <c r="ITT17" s="235"/>
      <c r="ITU17" s="235"/>
      <c r="ITV17" s="235"/>
      <c r="ITW17" s="235"/>
      <c r="ITX17" s="235"/>
      <c r="ITY17" s="235"/>
      <c r="ITZ17" s="235"/>
      <c r="IUA17" s="235"/>
      <c r="IUB17" s="235"/>
      <c r="IUC17" s="235"/>
      <c r="IUD17" s="235"/>
      <c r="IUE17" s="235"/>
      <c r="IUF17" s="235"/>
      <c r="IUG17" s="235"/>
      <c r="IUH17" s="235"/>
      <c r="IUI17" s="235"/>
      <c r="IUJ17" s="235"/>
      <c r="IUK17" s="235"/>
      <c r="IUL17" s="235"/>
      <c r="IUM17" s="235"/>
      <c r="IUN17" s="235"/>
      <c r="IUO17" s="235"/>
      <c r="IUP17" s="235"/>
      <c r="IUQ17" s="235"/>
      <c r="IUR17" s="235"/>
      <c r="IUS17" s="235"/>
      <c r="IUT17" s="235"/>
      <c r="IUU17" s="235"/>
      <c r="IUV17" s="235"/>
      <c r="IUW17" s="235"/>
      <c r="IUX17" s="235"/>
      <c r="IUY17" s="235"/>
      <c r="IUZ17" s="235"/>
      <c r="IVA17" s="235"/>
      <c r="IVB17" s="235"/>
      <c r="IVC17" s="235"/>
      <c r="IVD17" s="235"/>
      <c r="IVE17" s="235"/>
      <c r="IVF17" s="235"/>
      <c r="IVG17" s="235"/>
      <c r="IVH17" s="235"/>
      <c r="IVI17" s="235"/>
      <c r="IVJ17" s="235"/>
      <c r="IVK17" s="235"/>
      <c r="IVL17" s="235"/>
      <c r="IVM17" s="235"/>
      <c r="IVN17" s="235"/>
      <c r="IVO17" s="235"/>
      <c r="IVP17" s="235"/>
      <c r="IVQ17" s="235"/>
      <c r="IVR17" s="235"/>
      <c r="IVS17" s="235"/>
      <c r="IVT17" s="235"/>
      <c r="IVU17" s="235"/>
      <c r="IVV17" s="235"/>
      <c r="IVW17" s="235"/>
      <c r="IVX17" s="235"/>
      <c r="IVY17" s="235"/>
      <c r="IVZ17" s="235"/>
      <c r="IWA17" s="235"/>
      <c r="IWB17" s="235"/>
      <c r="IWC17" s="235"/>
      <c r="IWD17" s="235"/>
      <c r="IWE17" s="235"/>
      <c r="IWF17" s="235"/>
      <c r="IWG17" s="235"/>
      <c r="IWH17" s="235"/>
      <c r="IWI17" s="235"/>
      <c r="IWJ17" s="235"/>
      <c r="IWK17" s="235"/>
      <c r="IWL17" s="235"/>
      <c r="IWM17" s="235"/>
      <c r="IWN17" s="235"/>
      <c r="IWO17" s="235"/>
      <c r="IWP17" s="235"/>
      <c r="IWQ17" s="235"/>
      <c r="IWR17" s="235"/>
      <c r="IWS17" s="235"/>
      <c r="IWT17" s="235"/>
      <c r="IWU17" s="235"/>
      <c r="IWV17" s="235"/>
      <c r="IWW17" s="235"/>
      <c r="IWX17" s="235"/>
      <c r="IWY17" s="235"/>
      <c r="IWZ17" s="235"/>
      <c r="IXA17" s="235"/>
      <c r="IXB17" s="235"/>
      <c r="IXC17" s="235"/>
      <c r="IXD17" s="235"/>
      <c r="IXE17" s="235"/>
      <c r="IXF17" s="235"/>
      <c r="IXG17" s="235"/>
      <c r="IXH17" s="235"/>
      <c r="IXI17" s="235"/>
      <c r="IXJ17" s="235"/>
      <c r="IXK17" s="235"/>
      <c r="IXL17" s="235"/>
      <c r="IXM17" s="235"/>
      <c r="IXN17" s="235"/>
      <c r="IXO17" s="235"/>
      <c r="IXP17" s="235"/>
      <c r="IXQ17" s="235"/>
      <c r="IXR17" s="235"/>
      <c r="IXS17" s="235"/>
      <c r="IXT17" s="235"/>
      <c r="IXU17" s="235"/>
      <c r="IXV17" s="235"/>
      <c r="IXW17" s="235"/>
      <c r="IXX17" s="235"/>
      <c r="IXY17" s="235"/>
      <c r="IXZ17" s="235"/>
      <c r="IYA17" s="235"/>
      <c r="IYB17" s="235"/>
      <c r="IYC17" s="235"/>
      <c r="IYD17" s="235"/>
      <c r="IYE17" s="235"/>
      <c r="IYF17" s="235"/>
      <c r="IYG17" s="235"/>
      <c r="IYH17" s="235"/>
      <c r="IYI17" s="235"/>
      <c r="IYJ17" s="235"/>
      <c r="IYK17" s="235"/>
      <c r="IYL17" s="235"/>
      <c r="IYM17" s="235"/>
      <c r="IYN17" s="235"/>
      <c r="IYO17" s="235"/>
      <c r="IYP17" s="235"/>
      <c r="IYQ17" s="235"/>
      <c r="IYR17" s="235"/>
      <c r="IYS17" s="235"/>
      <c r="IYT17" s="235"/>
      <c r="IYU17" s="235"/>
      <c r="IYV17" s="235"/>
      <c r="IYW17" s="235"/>
      <c r="IYX17" s="235"/>
      <c r="IYY17" s="235"/>
      <c r="IYZ17" s="235"/>
      <c r="IZA17" s="235"/>
      <c r="IZB17" s="235"/>
      <c r="IZC17" s="235"/>
      <c r="IZD17" s="235"/>
      <c r="IZE17" s="235"/>
      <c r="IZF17" s="235"/>
      <c r="IZG17" s="235"/>
      <c r="IZH17" s="235"/>
      <c r="IZI17" s="235"/>
      <c r="IZJ17" s="235"/>
      <c r="IZK17" s="235"/>
      <c r="IZL17" s="235"/>
      <c r="IZM17" s="235"/>
      <c r="IZN17" s="235"/>
      <c r="IZO17" s="235"/>
      <c r="IZP17" s="235"/>
      <c r="IZQ17" s="235"/>
      <c r="IZR17" s="235"/>
      <c r="IZS17" s="235"/>
      <c r="IZT17" s="235"/>
      <c r="IZU17" s="235"/>
      <c r="IZV17" s="235"/>
      <c r="IZW17" s="235"/>
      <c r="IZX17" s="235"/>
      <c r="IZY17" s="235"/>
      <c r="IZZ17" s="235"/>
      <c r="JAA17" s="235"/>
      <c r="JAB17" s="235"/>
      <c r="JAC17" s="235"/>
      <c r="JAD17" s="235"/>
      <c r="JAE17" s="235"/>
      <c r="JAF17" s="235"/>
      <c r="JAG17" s="235"/>
      <c r="JAH17" s="235"/>
      <c r="JAI17" s="235"/>
      <c r="JAJ17" s="235"/>
      <c r="JAK17" s="235"/>
      <c r="JAL17" s="235"/>
      <c r="JAM17" s="235"/>
      <c r="JAN17" s="235"/>
      <c r="JAO17" s="235"/>
      <c r="JAP17" s="235"/>
      <c r="JAQ17" s="235"/>
      <c r="JAR17" s="235"/>
      <c r="JAS17" s="235"/>
      <c r="JAT17" s="235"/>
      <c r="JAU17" s="235"/>
      <c r="JAV17" s="235"/>
      <c r="JAW17" s="235"/>
      <c r="JAX17" s="235"/>
      <c r="JAY17" s="235"/>
      <c r="JAZ17" s="235"/>
      <c r="JBA17" s="235"/>
      <c r="JBB17" s="235"/>
      <c r="JBC17" s="235"/>
      <c r="JBD17" s="235"/>
      <c r="JBE17" s="235"/>
      <c r="JBF17" s="235"/>
      <c r="JBG17" s="235"/>
      <c r="JBH17" s="235"/>
      <c r="JBI17" s="235"/>
      <c r="JBJ17" s="235"/>
      <c r="JBK17" s="235"/>
      <c r="JBL17" s="235"/>
      <c r="JBM17" s="235"/>
      <c r="JBN17" s="235"/>
      <c r="JBO17" s="235"/>
      <c r="JBP17" s="235"/>
      <c r="JBQ17" s="235"/>
      <c r="JBR17" s="235"/>
      <c r="JBS17" s="235"/>
      <c r="JBT17" s="235"/>
      <c r="JBU17" s="235"/>
      <c r="JBV17" s="235"/>
      <c r="JBW17" s="235"/>
      <c r="JBX17" s="235"/>
      <c r="JBY17" s="235"/>
      <c r="JBZ17" s="235"/>
      <c r="JCA17" s="235"/>
      <c r="JCB17" s="235"/>
      <c r="JCC17" s="235"/>
      <c r="JCD17" s="235"/>
      <c r="JCE17" s="235"/>
      <c r="JCF17" s="235"/>
      <c r="JCG17" s="235"/>
      <c r="JCH17" s="235"/>
      <c r="JCI17" s="235"/>
      <c r="JCJ17" s="235"/>
      <c r="JCK17" s="235"/>
      <c r="JCL17" s="235"/>
      <c r="JCM17" s="235"/>
      <c r="JCN17" s="235"/>
      <c r="JCO17" s="235"/>
      <c r="JCP17" s="235"/>
      <c r="JCQ17" s="235"/>
      <c r="JCR17" s="235"/>
      <c r="JCS17" s="235"/>
      <c r="JCT17" s="235"/>
      <c r="JCU17" s="235"/>
      <c r="JCV17" s="235"/>
      <c r="JCW17" s="235"/>
      <c r="JCX17" s="235"/>
      <c r="JCY17" s="235"/>
      <c r="JCZ17" s="235"/>
      <c r="JDA17" s="235"/>
      <c r="JDB17" s="235"/>
      <c r="JDC17" s="235"/>
      <c r="JDD17" s="235"/>
      <c r="JDE17" s="235"/>
      <c r="JDF17" s="235"/>
      <c r="JDG17" s="235"/>
      <c r="JDH17" s="235"/>
      <c r="JDI17" s="235"/>
      <c r="JDJ17" s="235"/>
      <c r="JDK17" s="235"/>
      <c r="JDL17" s="235"/>
      <c r="JDM17" s="235"/>
      <c r="JDN17" s="235"/>
      <c r="JDO17" s="235"/>
      <c r="JDP17" s="235"/>
      <c r="JDQ17" s="235"/>
      <c r="JDR17" s="235"/>
      <c r="JDS17" s="235"/>
      <c r="JDT17" s="235"/>
      <c r="JDU17" s="235"/>
      <c r="JDV17" s="235"/>
      <c r="JDW17" s="235"/>
      <c r="JDX17" s="235"/>
      <c r="JDY17" s="235"/>
      <c r="JDZ17" s="235"/>
      <c r="JEA17" s="235"/>
      <c r="JEB17" s="235"/>
      <c r="JEC17" s="235"/>
      <c r="JED17" s="235"/>
      <c r="JEE17" s="235"/>
      <c r="JEF17" s="235"/>
      <c r="JEG17" s="235"/>
      <c r="JEH17" s="235"/>
      <c r="JEI17" s="235"/>
      <c r="JEJ17" s="235"/>
      <c r="JEK17" s="235"/>
      <c r="JEL17" s="235"/>
      <c r="JEM17" s="235"/>
      <c r="JEN17" s="235"/>
      <c r="JEO17" s="235"/>
      <c r="JEP17" s="235"/>
      <c r="JEQ17" s="235"/>
      <c r="JER17" s="235"/>
      <c r="JES17" s="235"/>
      <c r="JET17" s="235"/>
      <c r="JEU17" s="235"/>
      <c r="JEV17" s="235"/>
      <c r="JEW17" s="235"/>
      <c r="JEX17" s="235"/>
      <c r="JEY17" s="235"/>
      <c r="JEZ17" s="235"/>
      <c r="JFA17" s="235"/>
      <c r="JFB17" s="235"/>
      <c r="JFC17" s="235"/>
      <c r="JFD17" s="235"/>
      <c r="JFE17" s="235"/>
      <c r="JFF17" s="235"/>
      <c r="JFG17" s="235"/>
      <c r="JFH17" s="235"/>
      <c r="JFI17" s="235"/>
      <c r="JFJ17" s="235"/>
      <c r="JFK17" s="235"/>
      <c r="JFL17" s="235"/>
      <c r="JFM17" s="235"/>
      <c r="JFN17" s="235"/>
      <c r="JFO17" s="235"/>
      <c r="JFP17" s="235"/>
      <c r="JFQ17" s="235"/>
      <c r="JFR17" s="235"/>
      <c r="JFS17" s="235"/>
      <c r="JFT17" s="235"/>
      <c r="JFU17" s="235"/>
      <c r="JFV17" s="235"/>
      <c r="JFW17" s="235"/>
      <c r="JFX17" s="235"/>
      <c r="JFY17" s="235"/>
      <c r="JFZ17" s="235"/>
      <c r="JGA17" s="235"/>
      <c r="JGB17" s="235"/>
      <c r="JGC17" s="235"/>
      <c r="JGD17" s="235"/>
      <c r="JGE17" s="235"/>
      <c r="JGF17" s="235"/>
      <c r="JGG17" s="235"/>
      <c r="JGH17" s="235"/>
      <c r="JGI17" s="235"/>
      <c r="JGJ17" s="235"/>
      <c r="JGK17" s="235"/>
      <c r="JGL17" s="235"/>
      <c r="JGM17" s="235"/>
      <c r="JGN17" s="235"/>
      <c r="JGO17" s="235"/>
      <c r="JGP17" s="235"/>
      <c r="JGQ17" s="235"/>
      <c r="JGR17" s="235"/>
      <c r="JGS17" s="235"/>
      <c r="JGT17" s="235"/>
      <c r="JGU17" s="235"/>
      <c r="JGV17" s="235"/>
      <c r="JGW17" s="235"/>
      <c r="JGX17" s="235"/>
      <c r="JGY17" s="235"/>
      <c r="JGZ17" s="235"/>
      <c r="JHA17" s="235"/>
      <c r="JHB17" s="235"/>
      <c r="JHC17" s="235"/>
      <c r="JHD17" s="235"/>
      <c r="JHE17" s="235"/>
      <c r="JHF17" s="235"/>
      <c r="JHG17" s="235"/>
      <c r="JHH17" s="235"/>
      <c r="JHI17" s="235"/>
      <c r="JHJ17" s="235"/>
      <c r="JHK17" s="235"/>
      <c r="JHL17" s="235"/>
      <c r="JHM17" s="235"/>
      <c r="JHN17" s="235"/>
      <c r="JHO17" s="235"/>
      <c r="JHP17" s="235"/>
      <c r="JHQ17" s="235"/>
      <c r="JHR17" s="235"/>
      <c r="JHS17" s="235"/>
      <c r="JHT17" s="235"/>
      <c r="JHU17" s="235"/>
      <c r="JHV17" s="235"/>
      <c r="JHW17" s="235"/>
      <c r="JHX17" s="235"/>
      <c r="JHY17" s="235"/>
      <c r="JHZ17" s="235"/>
      <c r="JIA17" s="235"/>
      <c r="JIB17" s="235"/>
      <c r="JIC17" s="235"/>
      <c r="JID17" s="235"/>
      <c r="JIE17" s="235"/>
      <c r="JIF17" s="235"/>
      <c r="JIG17" s="235"/>
      <c r="JIH17" s="235"/>
      <c r="JII17" s="235"/>
      <c r="JIJ17" s="235"/>
      <c r="JIK17" s="235"/>
      <c r="JIL17" s="235"/>
      <c r="JIM17" s="235"/>
      <c r="JIN17" s="235"/>
      <c r="JIO17" s="235"/>
      <c r="JIP17" s="235"/>
      <c r="JIQ17" s="235"/>
      <c r="JIR17" s="235"/>
      <c r="JIS17" s="235"/>
      <c r="JIT17" s="235"/>
      <c r="JIU17" s="235"/>
      <c r="JIV17" s="235"/>
      <c r="JIW17" s="235"/>
      <c r="JIX17" s="235"/>
      <c r="JIY17" s="235"/>
      <c r="JIZ17" s="235"/>
      <c r="JJA17" s="235"/>
      <c r="JJB17" s="235"/>
      <c r="JJC17" s="235"/>
      <c r="JJD17" s="235"/>
      <c r="JJE17" s="235"/>
      <c r="JJF17" s="235"/>
      <c r="JJG17" s="235"/>
      <c r="JJH17" s="235"/>
      <c r="JJI17" s="235"/>
      <c r="JJJ17" s="235"/>
      <c r="JJK17" s="235"/>
      <c r="JJL17" s="235"/>
      <c r="JJM17" s="235"/>
      <c r="JJN17" s="235"/>
      <c r="JJO17" s="235"/>
      <c r="JJP17" s="235"/>
      <c r="JJQ17" s="235"/>
      <c r="JJR17" s="235"/>
      <c r="JJS17" s="235"/>
      <c r="JJT17" s="235"/>
      <c r="JJU17" s="235"/>
      <c r="JJV17" s="235"/>
      <c r="JJW17" s="235"/>
      <c r="JJX17" s="235"/>
      <c r="JJY17" s="235"/>
      <c r="JJZ17" s="235"/>
      <c r="JKA17" s="235"/>
      <c r="JKB17" s="235"/>
      <c r="JKC17" s="235"/>
      <c r="JKD17" s="235"/>
      <c r="JKE17" s="235"/>
      <c r="JKF17" s="235"/>
      <c r="JKG17" s="235"/>
      <c r="JKH17" s="235"/>
      <c r="JKI17" s="235"/>
      <c r="JKJ17" s="235"/>
      <c r="JKK17" s="235"/>
      <c r="JKL17" s="235"/>
      <c r="JKM17" s="235"/>
      <c r="JKN17" s="235"/>
      <c r="JKO17" s="235"/>
      <c r="JKP17" s="235"/>
      <c r="JKQ17" s="235"/>
      <c r="JKR17" s="235"/>
      <c r="JKS17" s="235"/>
      <c r="JKT17" s="235"/>
      <c r="JKU17" s="235"/>
      <c r="JKV17" s="235"/>
      <c r="JKW17" s="235"/>
      <c r="JKX17" s="235"/>
      <c r="JKY17" s="235"/>
      <c r="JKZ17" s="235"/>
      <c r="JLA17" s="235"/>
      <c r="JLB17" s="235"/>
      <c r="JLC17" s="235"/>
      <c r="JLD17" s="235"/>
      <c r="JLE17" s="235"/>
      <c r="JLF17" s="235"/>
      <c r="JLG17" s="235"/>
      <c r="JLH17" s="235"/>
      <c r="JLI17" s="235"/>
      <c r="JLJ17" s="235"/>
      <c r="JLK17" s="235"/>
      <c r="JLL17" s="235"/>
      <c r="JLM17" s="235"/>
      <c r="JLN17" s="235"/>
      <c r="JLO17" s="235"/>
      <c r="JLP17" s="235"/>
      <c r="JLQ17" s="235"/>
      <c r="JLR17" s="235"/>
      <c r="JLS17" s="235"/>
      <c r="JLT17" s="235"/>
      <c r="JLU17" s="235"/>
      <c r="JLV17" s="235"/>
      <c r="JLW17" s="235"/>
      <c r="JLX17" s="235"/>
      <c r="JLY17" s="235"/>
      <c r="JLZ17" s="235"/>
      <c r="JMA17" s="235"/>
      <c r="JMB17" s="235"/>
      <c r="JMC17" s="235"/>
      <c r="JMD17" s="235"/>
      <c r="JME17" s="235"/>
      <c r="JMF17" s="235"/>
      <c r="JMG17" s="235"/>
      <c r="JMH17" s="235"/>
      <c r="JMI17" s="235"/>
      <c r="JMJ17" s="235"/>
      <c r="JMK17" s="235"/>
      <c r="JML17" s="235"/>
      <c r="JMM17" s="235"/>
      <c r="JMN17" s="235"/>
      <c r="JMO17" s="235"/>
      <c r="JMP17" s="235"/>
      <c r="JMQ17" s="235"/>
      <c r="JMR17" s="235"/>
      <c r="JMS17" s="235"/>
      <c r="JMT17" s="235"/>
      <c r="JMU17" s="235"/>
      <c r="JMV17" s="235"/>
      <c r="JMW17" s="235"/>
      <c r="JMX17" s="235"/>
      <c r="JMY17" s="235"/>
      <c r="JMZ17" s="235"/>
      <c r="JNA17" s="235"/>
      <c r="JNB17" s="235"/>
      <c r="JNC17" s="235"/>
      <c r="JND17" s="235"/>
      <c r="JNE17" s="235"/>
      <c r="JNF17" s="235"/>
      <c r="JNG17" s="235"/>
      <c r="JNH17" s="235"/>
      <c r="JNI17" s="235"/>
      <c r="JNJ17" s="235"/>
      <c r="JNK17" s="235"/>
      <c r="JNL17" s="235"/>
      <c r="JNM17" s="235"/>
      <c r="JNN17" s="235"/>
      <c r="JNO17" s="235"/>
      <c r="JNP17" s="235"/>
      <c r="JNQ17" s="235"/>
      <c r="JNR17" s="235"/>
      <c r="JNS17" s="235"/>
      <c r="JNT17" s="235"/>
      <c r="JNU17" s="235"/>
      <c r="JNV17" s="235"/>
      <c r="JNW17" s="235"/>
      <c r="JNX17" s="235"/>
      <c r="JNY17" s="235"/>
      <c r="JNZ17" s="235"/>
      <c r="JOA17" s="235"/>
      <c r="JOB17" s="235"/>
      <c r="JOC17" s="235"/>
      <c r="JOD17" s="235"/>
      <c r="JOE17" s="235"/>
      <c r="JOF17" s="235"/>
      <c r="JOG17" s="235"/>
      <c r="JOH17" s="235"/>
      <c r="JOI17" s="235"/>
      <c r="JOJ17" s="235"/>
      <c r="JOK17" s="235"/>
      <c r="JOL17" s="235"/>
      <c r="JOM17" s="235"/>
      <c r="JON17" s="235"/>
      <c r="JOO17" s="235"/>
      <c r="JOP17" s="235"/>
      <c r="JOQ17" s="235"/>
      <c r="JOR17" s="235"/>
      <c r="JOS17" s="235"/>
      <c r="JOT17" s="235"/>
      <c r="JOU17" s="235"/>
      <c r="JOV17" s="235"/>
      <c r="JOW17" s="235"/>
      <c r="JOX17" s="235"/>
      <c r="JOY17" s="235"/>
      <c r="JOZ17" s="235"/>
      <c r="JPA17" s="235"/>
      <c r="JPB17" s="235"/>
      <c r="JPC17" s="235"/>
      <c r="JPD17" s="235"/>
      <c r="JPE17" s="235"/>
      <c r="JPF17" s="235"/>
      <c r="JPG17" s="235"/>
      <c r="JPH17" s="235"/>
      <c r="JPI17" s="235"/>
      <c r="JPJ17" s="235"/>
      <c r="JPK17" s="235"/>
      <c r="JPL17" s="235"/>
      <c r="JPM17" s="235"/>
      <c r="JPN17" s="235"/>
      <c r="JPO17" s="235"/>
      <c r="JPP17" s="235"/>
      <c r="JPQ17" s="235"/>
      <c r="JPR17" s="235"/>
      <c r="JPS17" s="235"/>
      <c r="JPT17" s="235"/>
      <c r="JPU17" s="235"/>
      <c r="JPV17" s="235"/>
      <c r="JPW17" s="235"/>
      <c r="JPX17" s="235"/>
      <c r="JPY17" s="235"/>
      <c r="JPZ17" s="235"/>
      <c r="JQA17" s="235"/>
      <c r="JQB17" s="235"/>
      <c r="JQC17" s="235"/>
      <c r="JQD17" s="235"/>
      <c r="JQE17" s="235"/>
      <c r="JQF17" s="235"/>
      <c r="JQG17" s="235"/>
      <c r="JQH17" s="235"/>
      <c r="JQI17" s="235"/>
      <c r="JQJ17" s="235"/>
      <c r="JQK17" s="235"/>
      <c r="JQL17" s="235"/>
      <c r="JQM17" s="235"/>
      <c r="JQN17" s="235"/>
      <c r="JQO17" s="235"/>
      <c r="JQP17" s="235"/>
      <c r="JQQ17" s="235"/>
      <c r="JQR17" s="235"/>
      <c r="JQS17" s="235"/>
      <c r="JQT17" s="235"/>
      <c r="JQU17" s="235"/>
      <c r="JQV17" s="235"/>
      <c r="JQW17" s="235"/>
      <c r="JQX17" s="235"/>
      <c r="JQY17" s="235"/>
      <c r="JQZ17" s="235"/>
      <c r="JRA17" s="235"/>
      <c r="JRB17" s="235"/>
      <c r="JRC17" s="235"/>
      <c r="JRD17" s="235"/>
      <c r="JRE17" s="235"/>
      <c r="JRF17" s="235"/>
      <c r="JRG17" s="235"/>
      <c r="JRH17" s="235"/>
      <c r="JRI17" s="235"/>
      <c r="JRJ17" s="235"/>
      <c r="JRK17" s="235"/>
      <c r="JRL17" s="235"/>
      <c r="JRM17" s="235"/>
      <c r="JRN17" s="235"/>
      <c r="JRO17" s="235"/>
      <c r="JRP17" s="235"/>
      <c r="JRQ17" s="235"/>
      <c r="JRR17" s="235"/>
      <c r="JRS17" s="235"/>
      <c r="JRT17" s="235"/>
      <c r="JRU17" s="235"/>
      <c r="JRV17" s="235"/>
      <c r="JRW17" s="235"/>
      <c r="JRX17" s="235"/>
      <c r="JRY17" s="235"/>
      <c r="JRZ17" s="235"/>
      <c r="JSA17" s="235"/>
      <c r="JSB17" s="235"/>
      <c r="JSC17" s="235"/>
      <c r="JSD17" s="235"/>
      <c r="JSE17" s="235"/>
      <c r="JSF17" s="235"/>
      <c r="JSG17" s="235"/>
      <c r="JSH17" s="235"/>
      <c r="JSI17" s="235"/>
      <c r="JSJ17" s="235"/>
      <c r="JSK17" s="235"/>
      <c r="JSL17" s="235"/>
      <c r="JSM17" s="235"/>
      <c r="JSN17" s="235"/>
      <c r="JSO17" s="235"/>
      <c r="JSP17" s="235"/>
      <c r="JSQ17" s="235"/>
      <c r="JSR17" s="235"/>
      <c r="JSS17" s="235"/>
      <c r="JST17" s="235"/>
      <c r="JSU17" s="235"/>
      <c r="JSV17" s="235"/>
      <c r="JSW17" s="235"/>
      <c r="JSX17" s="235"/>
      <c r="JSY17" s="235"/>
      <c r="JSZ17" s="235"/>
      <c r="JTA17" s="235"/>
      <c r="JTB17" s="235"/>
      <c r="JTC17" s="235"/>
      <c r="JTD17" s="235"/>
      <c r="JTE17" s="235"/>
      <c r="JTF17" s="235"/>
      <c r="JTG17" s="235"/>
      <c r="JTH17" s="235"/>
      <c r="JTI17" s="235"/>
      <c r="JTJ17" s="235"/>
      <c r="JTK17" s="235"/>
      <c r="JTL17" s="235"/>
      <c r="JTM17" s="235"/>
      <c r="JTN17" s="235"/>
      <c r="JTO17" s="235"/>
      <c r="JTP17" s="235"/>
      <c r="JTQ17" s="235"/>
      <c r="JTR17" s="235"/>
      <c r="JTS17" s="235"/>
      <c r="JTT17" s="235"/>
      <c r="JTU17" s="235"/>
      <c r="JTV17" s="235"/>
      <c r="JTW17" s="235"/>
      <c r="JTX17" s="235"/>
      <c r="JTY17" s="235"/>
      <c r="JTZ17" s="235"/>
      <c r="JUA17" s="235"/>
      <c r="JUB17" s="235"/>
      <c r="JUC17" s="235"/>
      <c r="JUD17" s="235"/>
      <c r="JUE17" s="235"/>
      <c r="JUF17" s="235"/>
      <c r="JUG17" s="235"/>
      <c r="JUH17" s="235"/>
      <c r="JUI17" s="235"/>
      <c r="JUJ17" s="235"/>
      <c r="JUK17" s="235"/>
      <c r="JUL17" s="235"/>
      <c r="JUM17" s="235"/>
      <c r="JUN17" s="235"/>
      <c r="JUO17" s="235"/>
      <c r="JUP17" s="235"/>
      <c r="JUQ17" s="235"/>
      <c r="JUR17" s="235"/>
      <c r="JUS17" s="235"/>
      <c r="JUT17" s="235"/>
      <c r="JUU17" s="235"/>
      <c r="JUV17" s="235"/>
      <c r="JUW17" s="235"/>
      <c r="JUX17" s="235"/>
      <c r="JUY17" s="235"/>
      <c r="JUZ17" s="235"/>
      <c r="JVA17" s="235"/>
      <c r="JVB17" s="235"/>
      <c r="JVC17" s="235"/>
      <c r="JVD17" s="235"/>
      <c r="JVE17" s="235"/>
      <c r="JVF17" s="235"/>
      <c r="JVG17" s="235"/>
      <c r="JVH17" s="235"/>
      <c r="JVI17" s="235"/>
      <c r="JVJ17" s="235"/>
      <c r="JVK17" s="235"/>
      <c r="JVL17" s="235"/>
      <c r="JVM17" s="235"/>
      <c r="JVN17" s="235"/>
      <c r="JVO17" s="235"/>
      <c r="JVP17" s="235"/>
      <c r="JVQ17" s="235"/>
      <c r="JVR17" s="235"/>
      <c r="JVS17" s="235"/>
      <c r="JVT17" s="235"/>
      <c r="JVU17" s="235"/>
      <c r="JVV17" s="235"/>
      <c r="JVW17" s="235"/>
      <c r="JVX17" s="235"/>
      <c r="JVY17" s="235"/>
      <c r="JVZ17" s="235"/>
      <c r="JWA17" s="235"/>
      <c r="JWB17" s="235"/>
      <c r="JWC17" s="235"/>
      <c r="JWD17" s="235"/>
      <c r="JWE17" s="235"/>
      <c r="JWF17" s="235"/>
      <c r="JWG17" s="235"/>
      <c r="JWH17" s="235"/>
      <c r="JWI17" s="235"/>
      <c r="JWJ17" s="235"/>
      <c r="JWK17" s="235"/>
      <c r="JWL17" s="235"/>
      <c r="JWM17" s="235"/>
      <c r="JWN17" s="235"/>
      <c r="JWO17" s="235"/>
      <c r="JWP17" s="235"/>
      <c r="JWQ17" s="235"/>
      <c r="JWR17" s="235"/>
      <c r="JWS17" s="235"/>
      <c r="JWT17" s="235"/>
      <c r="JWU17" s="235"/>
      <c r="JWV17" s="235"/>
      <c r="JWW17" s="235"/>
      <c r="JWX17" s="235"/>
      <c r="JWY17" s="235"/>
      <c r="JWZ17" s="235"/>
      <c r="JXA17" s="235"/>
      <c r="JXB17" s="235"/>
      <c r="JXC17" s="235"/>
      <c r="JXD17" s="235"/>
      <c r="JXE17" s="235"/>
      <c r="JXF17" s="235"/>
      <c r="JXG17" s="235"/>
      <c r="JXH17" s="235"/>
      <c r="JXI17" s="235"/>
      <c r="JXJ17" s="235"/>
      <c r="JXK17" s="235"/>
      <c r="JXL17" s="235"/>
      <c r="JXM17" s="235"/>
      <c r="JXN17" s="235"/>
      <c r="JXO17" s="235"/>
      <c r="JXP17" s="235"/>
      <c r="JXQ17" s="235"/>
      <c r="JXR17" s="235"/>
      <c r="JXS17" s="235"/>
      <c r="JXT17" s="235"/>
      <c r="JXU17" s="235"/>
      <c r="JXV17" s="235"/>
      <c r="JXW17" s="235"/>
      <c r="JXX17" s="235"/>
      <c r="JXY17" s="235"/>
      <c r="JXZ17" s="235"/>
      <c r="JYA17" s="235"/>
      <c r="JYB17" s="235"/>
      <c r="JYC17" s="235"/>
      <c r="JYD17" s="235"/>
      <c r="JYE17" s="235"/>
      <c r="JYF17" s="235"/>
      <c r="JYG17" s="235"/>
      <c r="JYH17" s="235"/>
      <c r="JYI17" s="235"/>
      <c r="JYJ17" s="235"/>
      <c r="JYK17" s="235"/>
      <c r="JYL17" s="235"/>
      <c r="JYM17" s="235"/>
      <c r="JYN17" s="235"/>
      <c r="JYO17" s="235"/>
      <c r="JYP17" s="235"/>
      <c r="JYQ17" s="235"/>
      <c r="JYR17" s="235"/>
      <c r="JYS17" s="235"/>
      <c r="JYT17" s="235"/>
      <c r="JYU17" s="235"/>
      <c r="JYV17" s="235"/>
      <c r="JYW17" s="235"/>
      <c r="JYX17" s="235"/>
      <c r="JYY17" s="235"/>
      <c r="JYZ17" s="235"/>
      <c r="JZA17" s="235"/>
      <c r="JZB17" s="235"/>
      <c r="JZC17" s="235"/>
      <c r="JZD17" s="235"/>
      <c r="JZE17" s="235"/>
      <c r="JZF17" s="235"/>
      <c r="JZG17" s="235"/>
      <c r="JZH17" s="235"/>
      <c r="JZI17" s="235"/>
      <c r="JZJ17" s="235"/>
      <c r="JZK17" s="235"/>
      <c r="JZL17" s="235"/>
      <c r="JZM17" s="235"/>
      <c r="JZN17" s="235"/>
      <c r="JZO17" s="235"/>
      <c r="JZP17" s="235"/>
      <c r="JZQ17" s="235"/>
      <c r="JZR17" s="235"/>
      <c r="JZS17" s="235"/>
      <c r="JZT17" s="235"/>
      <c r="JZU17" s="235"/>
      <c r="JZV17" s="235"/>
      <c r="JZW17" s="235"/>
      <c r="JZX17" s="235"/>
      <c r="JZY17" s="235"/>
      <c r="JZZ17" s="235"/>
      <c r="KAA17" s="235"/>
      <c r="KAB17" s="235"/>
      <c r="KAC17" s="235"/>
      <c r="KAD17" s="235"/>
      <c r="KAE17" s="235"/>
      <c r="KAF17" s="235"/>
      <c r="KAG17" s="235"/>
      <c r="KAH17" s="235"/>
      <c r="KAI17" s="235"/>
      <c r="KAJ17" s="235"/>
      <c r="KAK17" s="235"/>
      <c r="KAL17" s="235"/>
      <c r="KAM17" s="235"/>
      <c r="KAN17" s="235"/>
      <c r="KAO17" s="235"/>
      <c r="KAP17" s="235"/>
      <c r="KAQ17" s="235"/>
      <c r="KAR17" s="235"/>
      <c r="KAS17" s="235"/>
      <c r="KAT17" s="235"/>
      <c r="KAU17" s="235"/>
      <c r="KAV17" s="235"/>
      <c r="KAW17" s="235"/>
      <c r="KAX17" s="235"/>
      <c r="KAY17" s="235"/>
      <c r="KAZ17" s="235"/>
      <c r="KBA17" s="235"/>
      <c r="KBB17" s="235"/>
      <c r="KBC17" s="235"/>
      <c r="KBD17" s="235"/>
      <c r="KBE17" s="235"/>
      <c r="KBF17" s="235"/>
      <c r="KBG17" s="235"/>
      <c r="KBH17" s="235"/>
      <c r="KBI17" s="235"/>
      <c r="KBJ17" s="235"/>
      <c r="KBK17" s="235"/>
      <c r="KBL17" s="235"/>
      <c r="KBM17" s="235"/>
      <c r="KBN17" s="235"/>
      <c r="KBO17" s="235"/>
      <c r="KBP17" s="235"/>
      <c r="KBQ17" s="235"/>
      <c r="KBR17" s="235"/>
      <c r="KBS17" s="235"/>
      <c r="KBT17" s="235"/>
      <c r="KBU17" s="235"/>
      <c r="KBV17" s="235"/>
      <c r="KBW17" s="235"/>
      <c r="KBX17" s="235"/>
      <c r="KBY17" s="235"/>
      <c r="KBZ17" s="235"/>
      <c r="KCA17" s="235"/>
      <c r="KCB17" s="235"/>
      <c r="KCC17" s="235"/>
      <c r="KCD17" s="235"/>
      <c r="KCE17" s="235"/>
      <c r="KCF17" s="235"/>
      <c r="KCG17" s="235"/>
      <c r="KCH17" s="235"/>
      <c r="KCI17" s="235"/>
      <c r="KCJ17" s="235"/>
      <c r="KCK17" s="235"/>
      <c r="KCL17" s="235"/>
      <c r="KCM17" s="235"/>
      <c r="KCN17" s="235"/>
      <c r="KCO17" s="235"/>
      <c r="KCP17" s="235"/>
      <c r="KCQ17" s="235"/>
      <c r="KCR17" s="235"/>
      <c r="KCS17" s="235"/>
      <c r="KCT17" s="235"/>
      <c r="KCU17" s="235"/>
      <c r="KCV17" s="235"/>
      <c r="KCW17" s="235"/>
      <c r="KCX17" s="235"/>
      <c r="KCY17" s="235"/>
      <c r="KCZ17" s="235"/>
      <c r="KDA17" s="235"/>
      <c r="KDB17" s="235"/>
      <c r="KDC17" s="235"/>
      <c r="KDD17" s="235"/>
      <c r="KDE17" s="235"/>
      <c r="KDF17" s="235"/>
      <c r="KDG17" s="235"/>
      <c r="KDH17" s="235"/>
      <c r="KDI17" s="235"/>
      <c r="KDJ17" s="235"/>
      <c r="KDK17" s="235"/>
      <c r="KDL17" s="235"/>
      <c r="KDM17" s="235"/>
      <c r="KDN17" s="235"/>
      <c r="KDO17" s="235"/>
      <c r="KDP17" s="235"/>
      <c r="KDQ17" s="235"/>
      <c r="KDR17" s="235"/>
      <c r="KDS17" s="235"/>
      <c r="KDT17" s="235"/>
      <c r="KDU17" s="235"/>
      <c r="KDV17" s="235"/>
      <c r="KDW17" s="235"/>
      <c r="KDX17" s="235"/>
      <c r="KDY17" s="235"/>
      <c r="KDZ17" s="235"/>
      <c r="KEA17" s="235"/>
      <c r="KEB17" s="235"/>
      <c r="KEC17" s="235"/>
      <c r="KED17" s="235"/>
      <c r="KEE17" s="235"/>
      <c r="KEF17" s="235"/>
      <c r="KEG17" s="235"/>
      <c r="KEH17" s="235"/>
      <c r="KEI17" s="235"/>
      <c r="KEJ17" s="235"/>
      <c r="KEK17" s="235"/>
      <c r="KEL17" s="235"/>
      <c r="KEM17" s="235"/>
      <c r="KEN17" s="235"/>
      <c r="KEO17" s="235"/>
      <c r="KEP17" s="235"/>
      <c r="KEQ17" s="235"/>
      <c r="KER17" s="235"/>
      <c r="KES17" s="235"/>
      <c r="KET17" s="235"/>
      <c r="KEU17" s="235"/>
      <c r="KEV17" s="235"/>
      <c r="KEW17" s="235"/>
      <c r="KEX17" s="235"/>
      <c r="KEY17" s="235"/>
      <c r="KEZ17" s="235"/>
      <c r="KFA17" s="235"/>
      <c r="KFB17" s="235"/>
      <c r="KFC17" s="235"/>
      <c r="KFD17" s="235"/>
      <c r="KFE17" s="235"/>
      <c r="KFF17" s="235"/>
      <c r="KFG17" s="235"/>
      <c r="KFH17" s="235"/>
      <c r="KFI17" s="235"/>
      <c r="KFJ17" s="235"/>
      <c r="KFK17" s="235"/>
      <c r="KFL17" s="235"/>
      <c r="KFM17" s="235"/>
      <c r="KFN17" s="235"/>
      <c r="KFO17" s="235"/>
      <c r="KFP17" s="235"/>
      <c r="KFQ17" s="235"/>
      <c r="KFR17" s="235"/>
      <c r="KFS17" s="235"/>
      <c r="KFT17" s="235"/>
      <c r="KFU17" s="235"/>
      <c r="KFV17" s="235"/>
      <c r="KFW17" s="235"/>
      <c r="KFX17" s="235"/>
      <c r="KFY17" s="235"/>
      <c r="KFZ17" s="235"/>
      <c r="KGA17" s="235"/>
      <c r="KGB17" s="235"/>
      <c r="KGC17" s="235"/>
      <c r="KGD17" s="235"/>
      <c r="KGE17" s="235"/>
      <c r="KGF17" s="235"/>
      <c r="KGG17" s="235"/>
      <c r="KGH17" s="235"/>
      <c r="KGI17" s="235"/>
      <c r="KGJ17" s="235"/>
      <c r="KGK17" s="235"/>
      <c r="KGL17" s="235"/>
      <c r="KGM17" s="235"/>
      <c r="KGN17" s="235"/>
      <c r="KGO17" s="235"/>
      <c r="KGP17" s="235"/>
      <c r="KGQ17" s="235"/>
      <c r="KGR17" s="235"/>
      <c r="KGS17" s="235"/>
      <c r="KGT17" s="235"/>
      <c r="KGU17" s="235"/>
      <c r="KGV17" s="235"/>
      <c r="KGW17" s="235"/>
      <c r="KGX17" s="235"/>
      <c r="KGY17" s="235"/>
      <c r="KGZ17" s="235"/>
      <c r="KHA17" s="235"/>
      <c r="KHB17" s="235"/>
      <c r="KHC17" s="235"/>
      <c r="KHD17" s="235"/>
      <c r="KHE17" s="235"/>
      <c r="KHF17" s="235"/>
      <c r="KHG17" s="235"/>
      <c r="KHH17" s="235"/>
      <c r="KHI17" s="235"/>
      <c r="KHJ17" s="235"/>
      <c r="KHK17" s="235"/>
      <c r="KHL17" s="235"/>
      <c r="KHM17" s="235"/>
      <c r="KHN17" s="235"/>
      <c r="KHO17" s="235"/>
      <c r="KHP17" s="235"/>
      <c r="KHQ17" s="235"/>
      <c r="KHR17" s="235"/>
      <c r="KHS17" s="235"/>
      <c r="KHT17" s="235"/>
      <c r="KHU17" s="235"/>
      <c r="KHV17" s="235"/>
      <c r="KHW17" s="235"/>
      <c r="KHX17" s="235"/>
      <c r="KHY17" s="235"/>
      <c r="KHZ17" s="235"/>
      <c r="KIA17" s="235"/>
      <c r="KIB17" s="235"/>
      <c r="KIC17" s="235"/>
      <c r="KID17" s="235"/>
      <c r="KIE17" s="235"/>
      <c r="KIF17" s="235"/>
      <c r="KIG17" s="235"/>
      <c r="KIH17" s="235"/>
      <c r="KII17" s="235"/>
      <c r="KIJ17" s="235"/>
      <c r="KIK17" s="235"/>
      <c r="KIL17" s="235"/>
      <c r="KIM17" s="235"/>
      <c r="KIN17" s="235"/>
      <c r="KIO17" s="235"/>
      <c r="KIP17" s="235"/>
      <c r="KIQ17" s="235"/>
      <c r="KIR17" s="235"/>
      <c r="KIS17" s="235"/>
      <c r="KIT17" s="235"/>
      <c r="KIU17" s="235"/>
      <c r="KIV17" s="235"/>
      <c r="KIW17" s="235"/>
      <c r="KIX17" s="235"/>
      <c r="KIY17" s="235"/>
      <c r="KIZ17" s="235"/>
      <c r="KJA17" s="235"/>
      <c r="KJB17" s="235"/>
      <c r="KJC17" s="235"/>
      <c r="KJD17" s="235"/>
      <c r="KJE17" s="235"/>
      <c r="KJF17" s="235"/>
      <c r="KJG17" s="235"/>
      <c r="KJH17" s="235"/>
      <c r="KJI17" s="235"/>
      <c r="KJJ17" s="235"/>
      <c r="KJK17" s="235"/>
      <c r="KJL17" s="235"/>
      <c r="KJM17" s="235"/>
      <c r="KJN17" s="235"/>
      <c r="KJO17" s="235"/>
      <c r="KJP17" s="235"/>
      <c r="KJQ17" s="235"/>
      <c r="KJR17" s="235"/>
      <c r="KJS17" s="235"/>
      <c r="KJT17" s="235"/>
      <c r="KJU17" s="235"/>
      <c r="KJV17" s="235"/>
      <c r="KJW17" s="235"/>
      <c r="KJX17" s="235"/>
      <c r="KJY17" s="235"/>
      <c r="KJZ17" s="235"/>
      <c r="KKA17" s="235"/>
      <c r="KKB17" s="235"/>
      <c r="KKC17" s="235"/>
      <c r="KKD17" s="235"/>
      <c r="KKE17" s="235"/>
      <c r="KKF17" s="235"/>
      <c r="KKG17" s="235"/>
      <c r="KKH17" s="235"/>
      <c r="KKI17" s="235"/>
      <c r="KKJ17" s="235"/>
      <c r="KKK17" s="235"/>
      <c r="KKL17" s="235"/>
      <c r="KKM17" s="235"/>
      <c r="KKN17" s="235"/>
      <c r="KKO17" s="235"/>
      <c r="KKP17" s="235"/>
      <c r="KKQ17" s="235"/>
      <c r="KKR17" s="235"/>
      <c r="KKS17" s="235"/>
      <c r="KKT17" s="235"/>
      <c r="KKU17" s="235"/>
      <c r="KKV17" s="235"/>
      <c r="KKW17" s="235"/>
      <c r="KKX17" s="235"/>
      <c r="KKY17" s="235"/>
      <c r="KKZ17" s="235"/>
      <c r="KLA17" s="235"/>
      <c r="KLB17" s="235"/>
      <c r="KLC17" s="235"/>
      <c r="KLD17" s="235"/>
      <c r="KLE17" s="235"/>
      <c r="KLF17" s="235"/>
      <c r="KLG17" s="235"/>
      <c r="KLH17" s="235"/>
      <c r="KLI17" s="235"/>
      <c r="KLJ17" s="235"/>
      <c r="KLK17" s="235"/>
      <c r="KLL17" s="235"/>
      <c r="KLM17" s="235"/>
      <c r="KLN17" s="235"/>
      <c r="KLO17" s="235"/>
      <c r="KLP17" s="235"/>
      <c r="KLQ17" s="235"/>
      <c r="KLR17" s="235"/>
      <c r="KLS17" s="235"/>
      <c r="KLT17" s="235"/>
      <c r="KLU17" s="235"/>
      <c r="KLV17" s="235"/>
      <c r="KLW17" s="235"/>
      <c r="KLX17" s="235"/>
      <c r="KLY17" s="235"/>
      <c r="KLZ17" s="235"/>
      <c r="KMA17" s="235"/>
      <c r="KMB17" s="235"/>
      <c r="KMC17" s="235"/>
      <c r="KMD17" s="235"/>
      <c r="KME17" s="235"/>
      <c r="KMF17" s="235"/>
      <c r="KMG17" s="235"/>
      <c r="KMH17" s="235"/>
      <c r="KMI17" s="235"/>
      <c r="KMJ17" s="235"/>
      <c r="KMK17" s="235"/>
      <c r="KML17" s="235"/>
      <c r="KMM17" s="235"/>
      <c r="KMN17" s="235"/>
      <c r="KMO17" s="235"/>
      <c r="KMP17" s="235"/>
      <c r="KMQ17" s="235"/>
      <c r="KMR17" s="235"/>
      <c r="KMS17" s="235"/>
      <c r="KMT17" s="235"/>
      <c r="KMU17" s="235"/>
      <c r="KMV17" s="235"/>
      <c r="KMW17" s="235"/>
      <c r="KMX17" s="235"/>
      <c r="KMY17" s="235"/>
      <c r="KMZ17" s="235"/>
      <c r="KNA17" s="235"/>
      <c r="KNB17" s="235"/>
      <c r="KNC17" s="235"/>
      <c r="KND17" s="235"/>
      <c r="KNE17" s="235"/>
      <c r="KNF17" s="235"/>
      <c r="KNG17" s="235"/>
      <c r="KNH17" s="235"/>
      <c r="KNI17" s="235"/>
      <c r="KNJ17" s="235"/>
      <c r="KNK17" s="235"/>
      <c r="KNL17" s="235"/>
      <c r="KNM17" s="235"/>
      <c r="KNN17" s="235"/>
      <c r="KNO17" s="235"/>
      <c r="KNP17" s="235"/>
      <c r="KNQ17" s="235"/>
      <c r="KNR17" s="235"/>
      <c r="KNS17" s="235"/>
      <c r="KNT17" s="235"/>
      <c r="KNU17" s="235"/>
      <c r="KNV17" s="235"/>
      <c r="KNW17" s="235"/>
      <c r="KNX17" s="235"/>
      <c r="KNY17" s="235"/>
      <c r="KNZ17" s="235"/>
      <c r="KOA17" s="235"/>
      <c r="KOB17" s="235"/>
      <c r="KOC17" s="235"/>
      <c r="KOD17" s="235"/>
      <c r="KOE17" s="235"/>
      <c r="KOF17" s="235"/>
      <c r="KOG17" s="235"/>
      <c r="KOH17" s="235"/>
      <c r="KOI17" s="235"/>
      <c r="KOJ17" s="235"/>
      <c r="KOK17" s="235"/>
      <c r="KOL17" s="235"/>
      <c r="KOM17" s="235"/>
      <c r="KON17" s="235"/>
      <c r="KOO17" s="235"/>
      <c r="KOP17" s="235"/>
      <c r="KOQ17" s="235"/>
      <c r="KOR17" s="235"/>
      <c r="KOS17" s="235"/>
      <c r="KOT17" s="235"/>
      <c r="KOU17" s="235"/>
      <c r="KOV17" s="235"/>
      <c r="KOW17" s="235"/>
      <c r="KOX17" s="235"/>
      <c r="KOY17" s="235"/>
      <c r="KOZ17" s="235"/>
      <c r="KPA17" s="235"/>
      <c r="KPB17" s="235"/>
      <c r="KPC17" s="235"/>
      <c r="KPD17" s="235"/>
      <c r="KPE17" s="235"/>
      <c r="KPF17" s="235"/>
      <c r="KPG17" s="235"/>
      <c r="KPH17" s="235"/>
      <c r="KPI17" s="235"/>
      <c r="KPJ17" s="235"/>
      <c r="KPK17" s="235"/>
      <c r="KPL17" s="235"/>
      <c r="KPM17" s="235"/>
      <c r="KPN17" s="235"/>
      <c r="KPO17" s="235"/>
      <c r="KPP17" s="235"/>
      <c r="KPQ17" s="235"/>
      <c r="KPR17" s="235"/>
      <c r="KPS17" s="235"/>
      <c r="KPT17" s="235"/>
      <c r="KPU17" s="235"/>
      <c r="KPV17" s="235"/>
      <c r="KPW17" s="235"/>
      <c r="KPX17" s="235"/>
      <c r="KPY17" s="235"/>
      <c r="KPZ17" s="235"/>
      <c r="KQA17" s="235"/>
      <c r="KQB17" s="235"/>
      <c r="KQC17" s="235"/>
      <c r="KQD17" s="235"/>
      <c r="KQE17" s="235"/>
      <c r="KQF17" s="235"/>
      <c r="KQG17" s="235"/>
      <c r="KQH17" s="235"/>
      <c r="KQI17" s="235"/>
      <c r="KQJ17" s="235"/>
      <c r="KQK17" s="235"/>
      <c r="KQL17" s="235"/>
      <c r="KQM17" s="235"/>
      <c r="KQN17" s="235"/>
      <c r="KQO17" s="235"/>
      <c r="KQP17" s="235"/>
      <c r="KQQ17" s="235"/>
      <c r="KQR17" s="235"/>
      <c r="KQS17" s="235"/>
      <c r="KQT17" s="235"/>
      <c r="KQU17" s="235"/>
      <c r="KQV17" s="235"/>
      <c r="KQW17" s="235"/>
      <c r="KQX17" s="235"/>
      <c r="KQY17" s="235"/>
      <c r="KQZ17" s="235"/>
      <c r="KRA17" s="235"/>
      <c r="KRB17" s="235"/>
      <c r="KRC17" s="235"/>
      <c r="KRD17" s="235"/>
      <c r="KRE17" s="235"/>
      <c r="KRF17" s="235"/>
      <c r="KRG17" s="235"/>
      <c r="KRH17" s="235"/>
      <c r="KRI17" s="235"/>
      <c r="KRJ17" s="235"/>
      <c r="KRK17" s="235"/>
      <c r="KRL17" s="235"/>
      <c r="KRM17" s="235"/>
      <c r="KRN17" s="235"/>
      <c r="KRO17" s="235"/>
      <c r="KRP17" s="235"/>
      <c r="KRQ17" s="235"/>
      <c r="KRR17" s="235"/>
      <c r="KRS17" s="235"/>
      <c r="KRT17" s="235"/>
      <c r="KRU17" s="235"/>
      <c r="KRV17" s="235"/>
      <c r="KRW17" s="235"/>
      <c r="KRX17" s="235"/>
      <c r="KRY17" s="235"/>
      <c r="KRZ17" s="235"/>
      <c r="KSA17" s="235"/>
      <c r="KSB17" s="235"/>
      <c r="KSC17" s="235"/>
      <c r="KSD17" s="235"/>
      <c r="KSE17" s="235"/>
      <c r="KSF17" s="235"/>
      <c r="KSG17" s="235"/>
      <c r="KSH17" s="235"/>
      <c r="KSI17" s="235"/>
      <c r="KSJ17" s="235"/>
      <c r="KSK17" s="235"/>
      <c r="KSL17" s="235"/>
      <c r="KSM17" s="235"/>
      <c r="KSN17" s="235"/>
      <c r="KSO17" s="235"/>
      <c r="KSP17" s="235"/>
      <c r="KSQ17" s="235"/>
      <c r="KSR17" s="235"/>
      <c r="KSS17" s="235"/>
      <c r="KST17" s="235"/>
      <c r="KSU17" s="235"/>
      <c r="KSV17" s="235"/>
      <c r="KSW17" s="235"/>
      <c r="KSX17" s="235"/>
      <c r="KSY17" s="235"/>
      <c r="KSZ17" s="235"/>
      <c r="KTA17" s="235"/>
      <c r="KTB17" s="235"/>
      <c r="KTC17" s="235"/>
      <c r="KTD17" s="235"/>
      <c r="KTE17" s="235"/>
      <c r="KTF17" s="235"/>
      <c r="KTG17" s="235"/>
      <c r="KTH17" s="235"/>
      <c r="KTI17" s="235"/>
      <c r="KTJ17" s="235"/>
      <c r="KTK17" s="235"/>
      <c r="KTL17" s="235"/>
      <c r="KTM17" s="235"/>
      <c r="KTN17" s="235"/>
      <c r="KTO17" s="235"/>
      <c r="KTP17" s="235"/>
      <c r="KTQ17" s="235"/>
      <c r="KTR17" s="235"/>
      <c r="KTS17" s="235"/>
      <c r="KTT17" s="235"/>
      <c r="KTU17" s="235"/>
      <c r="KTV17" s="235"/>
      <c r="KTW17" s="235"/>
      <c r="KTX17" s="235"/>
      <c r="KTY17" s="235"/>
      <c r="KTZ17" s="235"/>
      <c r="KUA17" s="235"/>
      <c r="KUB17" s="235"/>
      <c r="KUC17" s="235"/>
      <c r="KUD17" s="235"/>
      <c r="KUE17" s="235"/>
      <c r="KUF17" s="235"/>
      <c r="KUG17" s="235"/>
      <c r="KUH17" s="235"/>
      <c r="KUI17" s="235"/>
      <c r="KUJ17" s="235"/>
      <c r="KUK17" s="235"/>
      <c r="KUL17" s="235"/>
      <c r="KUM17" s="235"/>
      <c r="KUN17" s="235"/>
      <c r="KUO17" s="235"/>
      <c r="KUP17" s="235"/>
      <c r="KUQ17" s="235"/>
      <c r="KUR17" s="235"/>
      <c r="KUS17" s="235"/>
      <c r="KUT17" s="235"/>
      <c r="KUU17" s="235"/>
      <c r="KUV17" s="235"/>
      <c r="KUW17" s="235"/>
      <c r="KUX17" s="235"/>
      <c r="KUY17" s="235"/>
      <c r="KUZ17" s="235"/>
      <c r="KVA17" s="235"/>
      <c r="KVB17" s="235"/>
      <c r="KVC17" s="235"/>
      <c r="KVD17" s="235"/>
      <c r="KVE17" s="235"/>
      <c r="KVF17" s="235"/>
      <c r="KVG17" s="235"/>
      <c r="KVH17" s="235"/>
      <c r="KVI17" s="235"/>
      <c r="KVJ17" s="235"/>
      <c r="KVK17" s="235"/>
      <c r="KVL17" s="235"/>
      <c r="KVM17" s="235"/>
      <c r="KVN17" s="235"/>
      <c r="KVO17" s="235"/>
      <c r="KVP17" s="235"/>
      <c r="KVQ17" s="235"/>
      <c r="KVR17" s="235"/>
      <c r="KVS17" s="235"/>
      <c r="KVT17" s="235"/>
      <c r="KVU17" s="235"/>
      <c r="KVV17" s="235"/>
      <c r="KVW17" s="235"/>
      <c r="KVX17" s="235"/>
      <c r="KVY17" s="235"/>
      <c r="KVZ17" s="235"/>
      <c r="KWA17" s="235"/>
      <c r="KWB17" s="235"/>
      <c r="KWC17" s="235"/>
      <c r="KWD17" s="235"/>
      <c r="KWE17" s="235"/>
      <c r="KWF17" s="235"/>
      <c r="KWG17" s="235"/>
      <c r="KWH17" s="235"/>
      <c r="KWI17" s="235"/>
      <c r="KWJ17" s="235"/>
      <c r="KWK17" s="235"/>
      <c r="KWL17" s="235"/>
      <c r="KWM17" s="235"/>
      <c r="KWN17" s="235"/>
      <c r="KWO17" s="235"/>
      <c r="KWP17" s="235"/>
      <c r="KWQ17" s="235"/>
      <c r="KWR17" s="235"/>
      <c r="KWS17" s="235"/>
      <c r="KWT17" s="235"/>
      <c r="KWU17" s="235"/>
      <c r="KWV17" s="235"/>
      <c r="KWW17" s="235"/>
      <c r="KWX17" s="235"/>
      <c r="KWY17" s="235"/>
      <c r="KWZ17" s="235"/>
      <c r="KXA17" s="235"/>
      <c r="KXB17" s="235"/>
      <c r="KXC17" s="235"/>
      <c r="KXD17" s="235"/>
      <c r="KXE17" s="235"/>
      <c r="KXF17" s="235"/>
      <c r="KXG17" s="235"/>
      <c r="KXH17" s="235"/>
      <c r="KXI17" s="235"/>
      <c r="KXJ17" s="235"/>
      <c r="KXK17" s="235"/>
      <c r="KXL17" s="235"/>
      <c r="KXM17" s="235"/>
      <c r="KXN17" s="235"/>
      <c r="KXO17" s="235"/>
      <c r="KXP17" s="235"/>
      <c r="KXQ17" s="235"/>
      <c r="KXR17" s="235"/>
      <c r="KXS17" s="235"/>
      <c r="KXT17" s="235"/>
      <c r="KXU17" s="235"/>
      <c r="KXV17" s="235"/>
      <c r="KXW17" s="235"/>
      <c r="KXX17" s="235"/>
      <c r="KXY17" s="235"/>
      <c r="KXZ17" s="235"/>
      <c r="KYA17" s="235"/>
      <c r="KYB17" s="235"/>
      <c r="KYC17" s="235"/>
      <c r="KYD17" s="235"/>
      <c r="KYE17" s="235"/>
      <c r="KYF17" s="235"/>
      <c r="KYG17" s="235"/>
      <c r="KYH17" s="235"/>
      <c r="KYI17" s="235"/>
      <c r="KYJ17" s="235"/>
      <c r="KYK17" s="235"/>
      <c r="KYL17" s="235"/>
      <c r="KYM17" s="235"/>
      <c r="KYN17" s="235"/>
      <c r="KYO17" s="235"/>
      <c r="KYP17" s="235"/>
      <c r="KYQ17" s="235"/>
      <c r="KYR17" s="235"/>
      <c r="KYS17" s="235"/>
      <c r="KYT17" s="235"/>
      <c r="KYU17" s="235"/>
      <c r="KYV17" s="235"/>
      <c r="KYW17" s="235"/>
      <c r="KYX17" s="235"/>
      <c r="KYY17" s="235"/>
      <c r="KYZ17" s="235"/>
      <c r="KZA17" s="235"/>
      <c r="KZB17" s="235"/>
      <c r="KZC17" s="235"/>
      <c r="KZD17" s="235"/>
      <c r="KZE17" s="235"/>
      <c r="KZF17" s="235"/>
      <c r="KZG17" s="235"/>
      <c r="KZH17" s="235"/>
      <c r="KZI17" s="235"/>
      <c r="KZJ17" s="235"/>
      <c r="KZK17" s="235"/>
      <c r="KZL17" s="235"/>
      <c r="KZM17" s="235"/>
      <c r="KZN17" s="235"/>
      <c r="KZO17" s="235"/>
      <c r="KZP17" s="235"/>
      <c r="KZQ17" s="235"/>
      <c r="KZR17" s="235"/>
      <c r="KZS17" s="235"/>
      <c r="KZT17" s="235"/>
      <c r="KZU17" s="235"/>
      <c r="KZV17" s="235"/>
      <c r="KZW17" s="235"/>
      <c r="KZX17" s="235"/>
      <c r="KZY17" s="235"/>
      <c r="KZZ17" s="235"/>
      <c r="LAA17" s="235"/>
      <c r="LAB17" s="235"/>
      <c r="LAC17" s="235"/>
      <c r="LAD17" s="235"/>
      <c r="LAE17" s="235"/>
      <c r="LAF17" s="235"/>
      <c r="LAG17" s="235"/>
      <c r="LAH17" s="235"/>
      <c r="LAI17" s="235"/>
      <c r="LAJ17" s="235"/>
      <c r="LAK17" s="235"/>
      <c r="LAL17" s="235"/>
      <c r="LAM17" s="235"/>
      <c r="LAN17" s="235"/>
      <c r="LAO17" s="235"/>
      <c r="LAP17" s="235"/>
      <c r="LAQ17" s="235"/>
      <c r="LAR17" s="235"/>
      <c r="LAS17" s="235"/>
      <c r="LAT17" s="235"/>
      <c r="LAU17" s="235"/>
      <c r="LAV17" s="235"/>
      <c r="LAW17" s="235"/>
      <c r="LAX17" s="235"/>
      <c r="LAY17" s="235"/>
      <c r="LAZ17" s="235"/>
      <c r="LBA17" s="235"/>
      <c r="LBB17" s="235"/>
      <c r="LBC17" s="235"/>
      <c r="LBD17" s="235"/>
      <c r="LBE17" s="235"/>
      <c r="LBF17" s="235"/>
      <c r="LBG17" s="235"/>
      <c r="LBH17" s="235"/>
      <c r="LBI17" s="235"/>
      <c r="LBJ17" s="235"/>
      <c r="LBK17" s="235"/>
      <c r="LBL17" s="235"/>
      <c r="LBM17" s="235"/>
      <c r="LBN17" s="235"/>
      <c r="LBO17" s="235"/>
      <c r="LBP17" s="235"/>
      <c r="LBQ17" s="235"/>
      <c r="LBR17" s="235"/>
      <c r="LBS17" s="235"/>
      <c r="LBT17" s="235"/>
      <c r="LBU17" s="235"/>
      <c r="LBV17" s="235"/>
      <c r="LBW17" s="235"/>
      <c r="LBX17" s="235"/>
      <c r="LBY17" s="235"/>
      <c r="LBZ17" s="235"/>
      <c r="LCA17" s="235"/>
      <c r="LCB17" s="235"/>
      <c r="LCC17" s="235"/>
      <c r="LCD17" s="235"/>
      <c r="LCE17" s="235"/>
      <c r="LCF17" s="235"/>
      <c r="LCG17" s="235"/>
      <c r="LCH17" s="235"/>
      <c r="LCI17" s="235"/>
      <c r="LCJ17" s="235"/>
      <c r="LCK17" s="235"/>
      <c r="LCL17" s="235"/>
      <c r="LCM17" s="235"/>
      <c r="LCN17" s="235"/>
      <c r="LCO17" s="235"/>
      <c r="LCP17" s="235"/>
      <c r="LCQ17" s="235"/>
      <c r="LCR17" s="235"/>
      <c r="LCS17" s="235"/>
      <c r="LCT17" s="235"/>
      <c r="LCU17" s="235"/>
      <c r="LCV17" s="235"/>
      <c r="LCW17" s="235"/>
      <c r="LCX17" s="235"/>
      <c r="LCY17" s="235"/>
      <c r="LCZ17" s="235"/>
      <c r="LDA17" s="235"/>
      <c r="LDB17" s="235"/>
      <c r="LDC17" s="235"/>
      <c r="LDD17" s="235"/>
      <c r="LDE17" s="235"/>
      <c r="LDF17" s="235"/>
      <c r="LDG17" s="235"/>
      <c r="LDH17" s="235"/>
      <c r="LDI17" s="235"/>
      <c r="LDJ17" s="235"/>
      <c r="LDK17" s="235"/>
      <c r="LDL17" s="235"/>
      <c r="LDM17" s="235"/>
      <c r="LDN17" s="235"/>
      <c r="LDO17" s="235"/>
      <c r="LDP17" s="235"/>
      <c r="LDQ17" s="235"/>
      <c r="LDR17" s="235"/>
      <c r="LDS17" s="235"/>
      <c r="LDT17" s="235"/>
      <c r="LDU17" s="235"/>
      <c r="LDV17" s="235"/>
      <c r="LDW17" s="235"/>
      <c r="LDX17" s="235"/>
      <c r="LDY17" s="235"/>
      <c r="LDZ17" s="235"/>
      <c r="LEA17" s="235"/>
      <c r="LEB17" s="235"/>
      <c r="LEC17" s="235"/>
      <c r="LED17" s="235"/>
      <c r="LEE17" s="235"/>
      <c r="LEF17" s="235"/>
      <c r="LEG17" s="235"/>
      <c r="LEH17" s="235"/>
      <c r="LEI17" s="235"/>
      <c r="LEJ17" s="235"/>
      <c r="LEK17" s="235"/>
      <c r="LEL17" s="235"/>
      <c r="LEM17" s="235"/>
      <c r="LEN17" s="235"/>
      <c r="LEO17" s="235"/>
      <c r="LEP17" s="235"/>
      <c r="LEQ17" s="235"/>
      <c r="LER17" s="235"/>
      <c r="LES17" s="235"/>
      <c r="LET17" s="235"/>
      <c r="LEU17" s="235"/>
      <c r="LEV17" s="235"/>
      <c r="LEW17" s="235"/>
      <c r="LEX17" s="235"/>
      <c r="LEY17" s="235"/>
      <c r="LEZ17" s="235"/>
      <c r="LFA17" s="235"/>
      <c r="LFB17" s="235"/>
      <c r="LFC17" s="235"/>
      <c r="LFD17" s="235"/>
      <c r="LFE17" s="235"/>
      <c r="LFF17" s="235"/>
      <c r="LFG17" s="235"/>
      <c r="LFH17" s="235"/>
      <c r="LFI17" s="235"/>
      <c r="LFJ17" s="235"/>
      <c r="LFK17" s="235"/>
      <c r="LFL17" s="235"/>
      <c r="LFM17" s="235"/>
      <c r="LFN17" s="235"/>
      <c r="LFO17" s="235"/>
      <c r="LFP17" s="235"/>
      <c r="LFQ17" s="235"/>
      <c r="LFR17" s="235"/>
      <c r="LFS17" s="235"/>
      <c r="LFT17" s="235"/>
      <c r="LFU17" s="235"/>
      <c r="LFV17" s="235"/>
      <c r="LFW17" s="235"/>
      <c r="LFX17" s="235"/>
      <c r="LFY17" s="235"/>
      <c r="LFZ17" s="235"/>
      <c r="LGA17" s="235"/>
      <c r="LGB17" s="235"/>
      <c r="LGC17" s="235"/>
      <c r="LGD17" s="235"/>
      <c r="LGE17" s="235"/>
      <c r="LGF17" s="235"/>
      <c r="LGG17" s="235"/>
      <c r="LGH17" s="235"/>
      <c r="LGI17" s="235"/>
      <c r="LGJ17" s="235"/>
      <c r="LGK17" s="235"/>
      <c r="LGL17" s="235"/>
      <c r="LGM17" s="235"/>
      <c r="LGN17" s="235"/>
      <c r="LGO17" s="235"/>
      <c r="LGP17" s="235"/>
      <c r="LGQ17" s="235"/>
      <c r="LGR17" s="235"/>
      <c r="LGS17" s="235"/>
      <c r="LGT17" s="235"/>
      <c r="LGU17" s="235"/>
      <c r="LGV17" s="235"/>
      <c r="LGW17" s="235"/>
      <c r="LGX17" s="235"/>
      <c r="LGY17" s="235"/>
      <c r="LGZ17" s="235"/>
      <c r="LHA17" s="235"/>
      <c r="LHB17" s="235"/>
      <c r="LHC17" s="235"/>
      <c r="LHD17" s="235"/>
      <c r="LHE17" s="235"/>
      <c r="LHF17" s="235"/>
      <c r="LHG17" s="235"/>
      <c r="LHH17" s="235"/>
      <c r="LHI17" s="235"/>
      <c r="LHJ17" s="235"/>
      <c r="LHK17" s="235"/>
      <c r="LHL17" s="235"/>
      <c r="LHM17" s="235"/>
      <c r="LHN17" s="235"/>
      <c r="LHO17" s="235"/>
      <c r="LHP17" s="235"/>
      <c r="LHQ17" s="235"/>
      <c r="LHR17" s="235"/>
      <c r="LHS17" s="235"/>
      <c r="LHT17" s="235"/>
      <c r="LHU17" s="235"/>
      <c r="LHV17" s="235"/>
      <c r="LHW17" s="235"/>
      <c r="LHX17" s="235"/>
      <c r="LHY17" s="235"/>
      <c r="LHZ17" s="235"/>
      <c r="LIA17" s="235"/>
      <c r="LIB17" s="235"/>
      <c r="LIC17" s="235"/>
      <c r="LID17" s="235"/>
      <c r="LIE17" s="235"/>
      <c r="LIF17" s="235"/>
      <c r="LIG17" s="235"/>
      <c r="LIH17" s="235"/>
      <c r="LII17" s="235"/>
      <c r="LIJ17" s="235"/>
      <c r="LIK17" s="235"/>
      <c r="LIL17" s="235"/>
      <c r="LIM17" s="235"/>
      <c r="LIN17" s="235"/>
      <c r="LIO17" s="235"/>
      <c r="LIP17" s="235"/>
      <c r="LIQ17" s="235"/>
      <c r="LIR17" s="235"/>
      <c r="LIS17" s="235"/>
      <c r="LIT17" s="235"/>
      <c r="LIU17" s="235"/>
      <c r="LIV17" s="235"/>
      <c r="LIW17" s="235"/>
      <c r="LIX17" s="235"/>
      <c r="LIY17" s="235"/>
      <c r="LIZ17" s="235"/>
      <c r="LJA17" s="235"/>
      <c r="LJB17" s="235"/>
      <c r="LJC17" s="235"/>
      <c r="LJD17" s="235"/>
      <c r="LJE17" s="235"/>
      <c r="LJF17" s="235"/>
      <c r="LJG17" s="235"/>
      <c r="LJH17" s="235"/>
      <c r="LJI17" s="235"/>
      <c r="LJJ17" s="235"/>
      <c r="LJK17" s="235"/>
      <c r="LJL17" s="235"/>
      <c r="LJM17" s="235"/>
      <c r="LJN17" s="235"/>
      <c r="LJO17" s="235"/>
      <c r="LJP17" s="235"/>
      <c r="LJQ17" s="235"/>
      <c r="LJR17" s="235"/>
      <c r="LJS17" s="235"/>
      <c r="LJT17" s="235"/>
      <c r="LJU17" s="235"/>
      <c r="LJV17" s="235"/>
      <c r="LJW17" s="235"/>
      <c r="LJX17" s="235"/>
      <c r="LJY17" s="235"/>
      <c r="LJZ17" s="235"/>
      <c r="LKA17" s="235"/>
      <c r="LKB17" s="235"/>
      <c r="LKC17" s="235"/>
      <c r="LKD17" s="235"/>
      <c r="LKE17" s="235"/>
      <c r="LKF17" s="235"/>
      <c r="LKG17" s="235"/>
      <c r="LKH17" s="235"/>
      <c r="LKI17" s="235"/>
      <c r="LKJ17" s="235"/>
      <c r="LKK17" s="235"/>
      <c r="LKL17" s="235"/>
      <c r="LKM17" s="235"/>
      <c r="LKN17" s="235"/>
      <c r="LKO17" s="235"/>
      <c r="LKP17" s="235"/>
      <c r="LKQ17" s="235"/>
      <c r="LKR17" s="235"/>
      <c r="LKS17" s="235"/>
      <c r="LKT17" s="235"/>
      <c r="LKU17" s="235"/>
      <c r="LKV17" s="235"/>
      <c r="LKW17" s="235"/>
      <c r="LKX17" s="235"/>
      <c r="LKY17" s="235"/>
      <c r="LKZ17" s="235"/>
      <c r="LLA17" s="235"/>
      <c r="LLB17" s="235"/>
      <c r="LLC17" s="235"/>
      <c r="LLD17" s="235"/>
      <c r="LLE17" s="235"/>
      <c r="LLF17" s="235"/>
      <c r="LLG17" s="235"/>
      <c r="LLH17" s="235"/>
      <c r="LLI17" s="235"/>
      <c r="LLJ17" s="235"/>
      <c r="LLK17" s="235"/>
      <c r="LLL17" s="235"/>
      <c r="LLM17" s="235"/>
      <c r="LLN17" s="235"/>
      <c r="LLO17" s="235"/>
      <c r="LLP17" s="235"/>
      <c r="LLQ17" s="235"/>
      <c r="LLR17" s="235"/>
      <c r="LLS17" s="235"/>
      <c r="LLT17" s="235"/>
      <c r="LLU17" s="235"/>
      <c r="LLV17" s="235"/>
      <c r="LLW17" s="235"/>
      <c r="LLX17" s="235"/>
      <c r="LLY17" s="235"/>
      <c r="LLZ17" s="235"/>
      <c r="LMA17" s="235"/>
      <c r="LMB17" s="235"/>
      <c r="LMC17" s="235"/>
      <c r="LMD17" s="235"/>
      <c r="LME17" s="235"/>
      <c r="LMF17" s="235"/>
      <c r="LMG17" s="235"/>
      <c r="LMH17" s="235"/>
      <c r="LMI17" s="235"/>
      <c r="LMJ17" s="235"/>
      <c r="LMK17" s="235"/>
      <c r="LML17" s="235"/>
      <c r="LMM17" s="235"/>
      <c r="LMN17" s="235"/>
      <c r="LMO17" s="235"/>
      <c r="LMP17" s="235"/>
      <c r="LMQ17" s="235"/>
      <c r="LMR17" s="235"/>
      <c r="LMS17" s="235"/>
      <c r="LMT17" s="235"/>
      <c r="LMU17" s="235"/>
      <c r="LMV17" s="235"/>
      <c r="LMW17" s="235"/>
      <c r="LMX17" s="235"/>
      <c r="LMY17" s="235"/>
      <c r="LMZ17" s="235"/>
      <c r="LNA17" s="235"/>
      <c r="LNB17" s="235"/>
      <c r="LNC17" s="235"/>
      <c r="LND17" s="235"/>
      <c r="LNE17" s="235"/>
      <c r="LNF17" s="235"/>
      <c r="LNG17" s="235"/>
      <c r="LNH17" s="235"/>
      <c r="LNI17" s="235"/>
      <c r="LNJ17" s="235"/>
      <c r="LNK17" s="235"/>
      <c r="LNL17" s="235"/>
      <c r="LNM17" s="235"/>
      <c r="LNN17" s="235"/>
      <c r="LNO17" s="235"/>
      <c r="LNP17" s="235"/>
      <c r="LNQ17" s="235"/>
      <c r="LNR17" s="235"/>
      <c r="LNS17" s="235"/>
      <c r="LNT17" s="235"/>
      <c r="LNU17" s="235"/>
      <c r="LNV17" s="235"/>
      <c r="LNW17" s="235"/>
      <c r="LNX17" s="235"/>
      <c r="LNY17" s="235"/>
      <c r="LNZ17" s="235"/>
      <c r="LOA17" s="235"/>
      <c r="LOB17" s="235"/>
      <c r="LOC17" s="235"/>
      <c r="LOD17" s="235"/>
      <c r="LOE17" s="235"/>
      <c r="LOF17" s="235"/>
      <c r="LOG17" s="235"/>
      <c r="LOH17" s="235"/>
      <c r="LOI17" s="235"/>
      <c r="LOJ17" s="235"/>
      <c r="LOK17" s="235"/>
      <c r="LOL17" s="235"/>
      <c r="LOM17" s="235"/>
      <c r="LON17" s="235"/>
      <c r="LOO17" s="235"/>
      <c r="LOP17" s="235"/>
      <c r="LOQ17" s="235"/>
      <c r="LOR17" s="235"/>
      <c r="LOS17" s="235"/>
      <c r="LOT17" s="235"/>
      <c r="LOU17" s="235"/>
      <c r="LOV17" s="235"/>
      <c r="LOW17" s="235"/>
      <c r="LOX17" s="235"/>
      <c r="LOY17" s="235"/>
      <c r="LOZ17" s="235"/>
      <c r="LPA17" s="235"/>
      <c r="LPB17" s="235"/>
      <c r="LPC17" s="235"/>
      <c r="LPD17" s="235"/>
      <c r="LPE17" s="235"/>
      <c r="LPF17" s="235"/>
      <c r="LPG17" s="235"/>
      <c r="LPH17" s="235"/>
      <c r="LPI17" s="235"/>
      <c r="LPJ17" s="235"/>
      <c r="LPK17" s="235"/>
      <c r="LPL17" s="235"/>
      <c r="LPM17" s="235"/>
      <c r="LPN17" s="235"/>
      <c r="LPO17" s="235"/>
      <c r="LPP17" s="235"/>
      <c r="LPQ17" s="235"/>
      <c r="LPR17" s="235"/>
      <c r="LPS17" s="235"/>
      <c r="LPT17" s="235"/>
      <c r="LPU17" s="235"/>
      <c r="LPV17" s="235"/>
      <c r="LPW17" s="235"/>
      <c r="LPX17" s="235"/>
      <c r="LPY17" s="235"/>
      <c r="LPZ17" s="235"/>
      <c r="LQA17" s="235"/>
      <c r="LQB17" s="235"/>
      <c r="LQC17" s="235"/>
      <c r="LQD17" s="235"/>
      <c r="LQE17" s="235"/>
      <c r="LQF17" s="235"/>
      <c r="LQG17" s="235"/>
      <c r="LQH17" s="235"/>
      <c r="LQI17" s="235"/>
      <c r="LQJ17" s="235"/>
      <c r="LQK17" s="235"/>
      <c r="LQL17" s="235"/>
      <c r="LQM17" s="235"/>
      <c r="LQN17" s="235"/>
      <c r="LQO17" s="235"/>
      <c r="LQP17" s="235"/>
      <c r="LQQ17" s="235"/>
      <c r="LQR17" s="235"/>
      <c r="LQS17" s="235"/>
      <c r="LQT17" s="235"/>
      <c r="LQU17" s="235"/>
      <c r="LQV17" s="235"/>
      <c r="LQW17" s="235"/>
      <c r="LQX17" s="235"/>
      <c r="LQY17" s="235"/>
      <c r="LQZ17" s="235"/>
      <c r="LRA17" s="235"/>
      <c r="LRB17" s="235"/>
      <c r="LRC17" s="235"/>
      <c r="LRD17" s="235"/>
      <c r="LRE17" s="235"/>
      <c r="LRF17" s="235"/>
      <c r="LRG17" s="235"/>
      <c r="LRH17" s="235"/>
      <c r="LRI17" s="235"/>
      <c r="LRJ17" s="235"/>
      <c r="LRK17" s="235"/>
      <c r="LRL17" s="235"/>
      <c r="LRM17" s="235"/>
      <c r="LRN17" s="235"/>
      <c r="LRO17" s="235"/>
      <c r="LRP17" s="235"/>
      <c r="LRQ17" s="235"/>
      <c r="LRR17" s="235"/>
      <c r="LRS17" s="235"/>
      <c r="LRT17" s="235"/>
      <c r="LRU17" s="235"/>
      <c r="LRV17" s="235"/>
      <c r="LRW17" s="235"/>
      <c r="LRX17" s="235"/>
      <c r="LRY17" s="235"/>
      <c r="LRZ17" s="235"/>
      <c r="LSA17" s="235"/>
      <c r="LSB17" s="235"/>
      <c r="LSC17" s="235"/>
      <c r="LSD17" s="235"/>
      <c r="LSE17" s="235"/>
      <c r="LSF17" s="235"/>
      <c r="LSG17" s="235"/>
      <c r="LSH17" s="235"/>
      <c r="LSI17" s="235"/>
      <c r="LSJ17" s="235"/>
      <c r="LSK17" s="235"/>
      <c r="LSL17" s="235"/>
      <c r="LSM17" s="235"/>
      <c r="LSN17" s="235"/>
      <c r="LSO17" s="235"/>
      <c r="LSP17" s="235"/>
      <c r="LSQ17" s="235"/>
      <c r="LSR17" s="235"/>
      <c r="LSS17" s="235"/>
      <c r="LST17" s="235"/>
      <c r="LSU17" s="235"/>
      <c r="LSV17" s="235"/>
      <c r="LSW17" s="235"/>
      <c r="LSX17" s="235"/>
      <c r="LSY17" s="235"/>
      <c r="LSZ17" s="235"/>
      <c r="LTA17" s="235"/>
      <c r="LTB17" s="235"/>
      <c r="LTC17" s="235"/>
      <c r="LTD17" s="235"/>
      <c r="LTE17" s="235"/>
      <c r="LTF17" s="235"/>
      <c r="LTG17" s="235"/>
      <c r="LTH17" s="235"/>
      <c r="LTI17" s="235"/>
      <c r="LTJ17" s="235"/>
      <c r="LTK17" s="235"/>
      <c r="LTL17" s="235"/>
      <c r="LTM17" s="235"/>
      <c r="LTN17" s="235"/>
      <c r="LTO17" s="235"/>
      <c r="LTP17" s="235"/>
      <c r="LTQ17" s="235"/>
      <c r="LTR17" s="235"/>
      <c r="LTS17" s="235"/>
      <c r="LTT17" s="235"/>
      <c r="LTU17" s="235"/>
      <c r="LTV17" s="235"/>
      <c r="LTW17" s="235"/>
      <c r="LTX17" s="235"/>
      <c r="LTY17" s="235"/>
      <c r="LTZ17" s="235"/>
      <c r="LUA17" s="235"/>
      <c r="LUB17" s="235"/>
      <c r="LUC17" s="235"/>
      <c r="LUD17" s="235"/>
      <c r="LUE17" s="235"/>
      <c r="LUF17" s="235"/>
      <c r="LUG17" s="235"/>
      <c r="LUH17" s="235"/>
      <c r="LUI17" s="235"/>
      <c r="LUJ17" s="235"/>
      <c r="LUK17" s="235"/>
      <c r="LUL17" s="235"/>
      <c r="LUM17" s="235"/>
      <c r="LUN17" s="235"/>
      <c r="LUO17" s="235"/>
      <c r="LUP17" s="235"/>
      <c r="LUQ17" s="235"/>
      <c r="LUR17" s="235"/>
      <c r="LUS17" s="235"/>
      <c r="LUT17" s="235"/>
      <c r="LUU17" s="235"/>
      <c r="LUV17" s="235"/>
      <c r="LUW17" s="235"/>
      <c r="LUX17" s="235"/>
      <c r="LUY17" s="235"/>
      <c r="LUZ17" s="235"/>
      <c r="LVA17" s="235"/>
      <c r="LVB17" s="235"/>
      <c r="LVC17" s="235"/>
      <c r="LVD17" s="235"/>
      <c r="LVE17" s="235"/>
      <c r="LVF17" s="235"/>
      <c r="LVG17" s="235"/>
      <c r="LVH17" s="235"/>
      <c r="LVI17" s="235"/>
      <c r="LVJ17" s="235"/>
      <c r="LVK17" s="235"/>
      <c r="LVL17" s="235"/>
      <c r="LVM17" s="235"/>
      <c r="LVN17" s="235"/>
      <c r="LVO17" s="235"/>
      <c r="LVP17" s="235"/>
      <c r="LVQ17" s="235"/>
      <c r="LVR17" s="235"/>
      <c r="LVS17" s="235"/>
      <c r="LVT17" s="235"/>
      <c r="LVU17" s="235"/>
      <c r="LVV17" s="235"/>
      <c r="LVW17" s="235"/>
      <c r="LVX17" s="235"/>
      <c r="LVY17" s="235"/>
      <c r="LVZ17" s="235"/>
      <c r="LWA17" s="235"/>
      <c r="LWB17" s="235"/>
      <c r="LWC17" s="235"/>
      <c r="LWD17" s="235"/>
      <c r="LWE17" s="235"/>
      <c r="LWF17" s="235"/>
      <c r="LWG17" s="235"/>
      <c r="LWH17" s="235"/>
      <c r="LWI17" s="235"/>
      <c r="LWJ17" s="235"/>
      <c r="LWK17" s="235"/>
      <c r="LWL17" s="235"/>
      <c r="LWM17" s="235"/>
      <c r="LWN17" s="235"/>
      <c r="LWO17" s="235"/>
      <c r="LWP17" s="235"/>
      <c r="LWQ17" s="235"/>
      <c r="LWR17" s="235"/>
      <c r="LWS17" s="235"/>
      <c r="LWT17" s="235"/>
      <c r="LWU17" s="235"/>
      <c r="LWV17" s="235"/>
      <c r="LWW17" s="235"/>
      <c r="LWX17" s="235"/>
      <c r="LWY17" s="235"/>
      <c r="LWZ17" s="235"/>
      <c r="LXA17" s="235"/>
      <c r="LXB17" s="235"/>
      <c r="LXC17" s="235"/>
      <c r="LXD17" s="235"/>
      <c r="LXE17" s="235"/>
      <c r="LXF17" s="235"/>
      <c r="LXG17" s="235"/>
      <c r="LXH17" s="235"/>
      <c r="LXI17" s="235"/>
      <c r="LXJ17" s="235"/>
      <c r="LXK17" s="235"/>
      <c r="LXL17" s="235"/>
      <c r="LXM17" s="235"/>
      <c r="LXN17" s="235"/>
      <c r="LXO17" s="235"/>
      <c r="LXP17" s="235"/>
      <c r="LXQ17" s="235"/>
      <c r="LXR17" s="235"/>
      <c r="LXS17" s="235"/>
      <c r="LXT17" s="235"/>
      <c r="LXU17" s="235"/>
      <c r="LXV17" s="235"/>
      <c r="LXW17" s="235"/>
      <c r="LXX17" s="235"/>
      <c r="LXY17" s="235"/>
      <c r="LXZ17" s="235"/>
      <c r="LYA17" s="235"/>
      <c r="LYB17" s="235"/>
      <c r="LYC17" s="235"/>
      <c r="LYD17" s="235"/>
      <c r="LYE17" s="235"/>
      <c r="LYF17" s="235"/>
      <c r="LYG17" s="235"/>
      <c r="LYH17" s="235"/>
      <c r="LYI17" s="235"/>
      <c r="LYJ17" s="235"/>
      <c r="LYK17" s="235"/>
      <c r="LYL17" s="235"/>
      <c r="LYM17" s="235"/>
      <c r="LYN17" s="235"/>
      <c r="LYO17" s="235"/>
      <c r="LYP17" s="235"/>
      <c r="LYQ17" s="235"/>
      <c r="LYR17" s="235"/>
      <c r="LYS17" s="235"/>
      <c r="LYT17" s="235"/>
      <c r="LYU17" s="235"/>
      <c r="LYV17" s="235"/>
      <c r="LYW17" s="235"/>
      <c r="LYX17" s="235"/>
      <c r="LYY17" s="235"/>
      <c r="LYZ17" s="235"/>
      <c r="LZA17" s="235"/>
      <c r="LZB17" s="235"/>
      <c r="LZC17" s="235"/>
      <c r="LZD17" s="235"/>
      <c r="LZE17" s="235"/>
      <c r="LZF17" s="235"/>
      <c r="LZG17" s="235"/>
      <c r="LZH17" s="235"/>
      <c r="LZI17" s="235"/>
      <c r="LZJ17" s="235"/>
      <c r="LZK17" s="235"/>
      <c r="LZL17" s="235"/>
      <c r="LZM17" s="235"/>
      <c r="LZN17" s="235"/>
      <c r="LZO17" s="235"/>
      <c r="LZP17" s="235"/>
      <c r="LZQ17" s="235"/>
      <c r="LZR17" s="235"/>
      <c r="LZS17" s="235"/>
      <c r="LZT17" s="235"/>
      <c r="LZU17" s="235"/>
      <c r="LZV17" s="235"/>
      <c r="LZW17" s="235"/>
      <c r="LZX17" s="235"/>
      <c r="LZY17" s="235"/>
      <c r="LZZ17" s="235"/>
      <c r="MAA17" s="235"/>
      <c r="MAB17" s="235"/>
      <c r="MAC17" s="235"/>
      <c r="MAD17" s="235"/>
      <c r="MAE17" s="235"/>
      <c r="MAF17" s="235"/>
      <c r="MAG17" s="235"/>
      <c r="MAH17" s="235"/>
      <c r="MAI17" s="235"/>
      <c r="MAJ17" s="235"/>
      <c r="MAK17" s="235"/>
      <c r="MAL17" s="235"/>
      <c r="MAM17" s="235"/>
      <c r="MAN17" s="235"/>
      <c r="MAO17" s="235"/>
      <c r="MAP17" s="235"/>
      <c r="MAQ17" s="235"/>
      <c r="MAR17" s="235"/>
      <c r="MAS17" s="235"/>
      <c r="MAT17" s="235"/>
      <c r="MAU17" s="235"/>
      <c r="MAV17" s="235"/>
      <c r="MAW17" s="235"/>
      <c r="MAX17" s="235"/>
      <c r="MAY17" s="235"/>
      <c r="MAZ17" s="235"/>
      <c r="MBA17" s="235"/>
      <c r="MBB17" s="235"/>
      <c r="MBC17" s="235"/>
      <c r="MBD17" s="235"/>
      <c r="MBE17" s="235"/>
      <c r="MBF17" s="235"/>
      <c r="MBG17" s="235"/>
      <c r="MBH17" s="235"/>
      <c r="MBI17" s="235"/>
      <c r="MBJ17" s="235"/>
      <c r="MBK17" s="235"/>
      <c r="MBL17" s="235"/>
      <c r="MBM17" s="235"/>
      <c r="MBN17" s="235"/>
      <c r="MBO17" s="235"/>
      <c r="MBP17" s="235"/>
      <c r="MBQ17" s="235"/>
      <c r="MBR17" s="235"/>
      <c r="MBS17" s="235"/>
      <c r="MBT17" s="235"/>
      <c r="MBU17" s="235"/>
      <c r="MBV17" s="235"/>
      <c r="MBW17" s="235"/>
      <c r="MBX17" s="235"/>
      <c r="MBY17" s="235"/>
      <c r="MBZ17" s="235"/>
      <c r="MCA17" s="235"/>
      <c r="MCB17" s="235"/>
      <c r="MCC17" s="235"/>
      <c r="MCD17" s="235"/>
      <c r="MCE17" s="235"/>
      <c r="MCF17" s="235"/>
      <c r="MCG17" s="235"/>
      <c r="MCH17" s="235"/>
      <c r="MCI17" s="235"/>
      <c r="MCJ17" s="235"/>
      <c r="MCK17" s="235"/>
      <c r="MCL17" s="235"/>
      <c r="MCM17" s="235"/>
      <c r="MCN17" s="235"/>
      <c r="MCO17" s="235"/>
      <c r="MCP17" s="235"/>
      <c r="MCQ17" s="235"/>
      <c r="MCR17" s="235"/>
      <c r="MCS17" s="235"/>
      <c r="MCT17" s="235"/>
      <c r="MCU17" s="235"/>
      <c r="MCV17" s="235"/>
      <c r="MCW17" s="235"/>
      <c r="MCX17" s="235"/>
      <c r="MCY17" s="235"/>
      <c r="MCZ17" s="235"/>
      <c r="MDA17" s="235"/>
      <c r="MDB17" s="235"/>
      <c r="MDC17" s="235"/>
      <c r="MDD17" s="235"/>
      <c r="MDE17" s="235"/>
      <c r="MDF17" s="235"/>
      <c r="MDG17" s="235"/>
      <c r="MDH17" s="235"/>
      <c r="MDI17" s="235"/>
      <c r="MDJ17" s="235"/>
      <c r="MDK17" s="235"/>
      <c r="MDL17" s="235"/>
      <c r="MDM17" s="235"/>
      <c r="MDN17" s="235"/>
      <c r="MDO17" s="235"/>
      <c r="MDP17" s="235"/>
      <c r="MDQ17" s="235"/>
      <c r="MDR17" s="235"/>
      <c r="MDS17" s="235"/>
      <c r="MDT17" s="235"/>
      <c r="MDU17" s="235"/>
      <c r="MDV17" s="235"/>
      <c r="MDW17" s="235"/>
      <c r="MDX17" s="235"/>
      <c r="MDY17" s="235"/>
      <c r="MDZ17" s="235"/>
      <c r="MEA17" s="235"/>
      <c r="MEB17" s="235"/>
      <c r="MEC17" s="235"/>
      <c r="MED17" s="235"/>
      <c r="MEE17" s="235"/>
      <c r="MEF17" s="235"/>
      <c r="MEG17" s="235"/>
      <c r="MEH17" s="235"/>
      <c r="MEI17" s="235"/>
      <c r="MEJ17" s="235"/>
      <c r="MEK17" s="235"/>
      <c r="MEL17" s="235"/>
      <c r="MEM17" s="235"/>
      <c r="MEN17" s="235"/>
      <c r="MEO17" s="235"/>
      <c r="MEP17" s="235"/>
      <c r="MEQ17" s="235"/>
      <c r="MER17" s="235"/>
      <c r="MES17" s="235"/>
      <c r="MET17" s="235"/>
      <c r="MEU17" s="235"/>
      <c r="MEV17" s="235"/>
      <c r="MEW17" s="235"/>
      <c r="MEX17" s="235"/>
      <c r="MEY17" s="235"/>
      <c r="MEZ17" s="235"/>
      <c r="MFA17" s="235"/>
      <c r="MFB17" s="235"/>
      <c r="MFC17" s="235"/>
      <c r="MFD17" s="235"/>
      <c r="MFE17" s="235"/>
      <c r="MFF17" s="235"/>
      <c r="MFG17" s="235"/>
      <c r="MFH17" s="235"/>
      <c r="MFI17" s="235"/>
      <c r="MFJ17" s="235"/>
      <c r="MFK17" s="235"/>
      <c r="MFL17" s="235"/>
      <c r="MFM17" s="235"/>
      <c r="MFN17" s="235"/>
      <c r="MFO17" s="235"/>
      <c r="MFP17" s="235"/>
      <c r="MFQ17" s="235"/>
      <c r="MFR17" s="235"/>
      <c r="MFS17" s="235"/>
      <c r="MFT17" s="235"/>
      <c r="MFU17" s="235"/>
      <c r="MFV17" s="235"/>
      <c r="MFW17" s="235"/>
      <c r="MFX17" s="235"/>
      <c r="MFY17" s="235"/>
      <c r="MFZ17" s="235"/>
      <c r="MGA17" s="235"/>
      <c r="MGB17" s="235"/>
      <c r="MGC17" s="235"/>
      <c r="MGD17" s="235"/>
      <c r="MGE17" s="235"/>
      <c r="MGF17" s="235"/>
      <c r="MGG17" s="235"/>
      <c r="MGH17" s="235"/>
      <c r="MGI17" s="235"/>
      <c r="MGJ17" s="235"/>
      <c r="MGK17" s="235"/>
      <c r="MGL17" s="235"/>
      <c r="MGM17" s="235"/>
      <c r="MGN17" s="235"/>
      <c r="MGO17" s="235"/>
      <c r="MGP17" s="235"/>
      <c r="MGQ17" s="235"/>
      <c r="MGR17" s="235"/>
      <c r="MGS17" s="235"/>
      <c r="MGT17" s="235"/>
      <c r="MGU17" s="235"/>
      <c r="MGV17" s="235"/>
      <c r="MGW17" s="235"/>
      <c r="MGX17" s="235"/>
      <c r="MGY17" s="235"/>
      <c r="MGZ17" s="235"/>
      <c r="MHA17" s="235"/>
      <c r="MHB17" s="235"/>
      <c r="MHC17" s="235"/>
      <c r="MHD17" s="235"/>
      <c r="MHE17" s="235"/>
      <c r="MHF17" s="235"/>
      <c r="MHG17" s="235"/>
      <c r="MHH17" s="235"/>
      <c r="MHI17" s="235"/>
      <c r="MHJ17" s="235"/>
      <c r="MHK17" s="235"/>
      <c r="MHL17" s="235"/>
      <c r="MHM17" s="235"/>
      <c r="MHN17" s="235"/>
      <c r="MHO17" s="235"/>
      <c r="MHP17" s="235"/>
      <c r="MHQ17" s="235"/>
      <c r="MHR17" s="235"/>
      <c r="MHS17" s="235"/>
      <c r="MHT17" s="235"/>
      <c r="MHU17" s="235"/>
      <c r="MHV17" s="235"/>
      <c r="MHW17" s="235"/>
      <c r="MHX17" s="235"/>
      <c r="MHY17" s="235"/>
      <c r="MHZ17" s="235"/>
      <c r="MIA17" s="235"/>
      <c r="MIB17" s="235"/>
      <c r="MIC17" s="235"/>
      <c r="MID17" s="235"/>
      <c r="MIE17" s="235"/>
      <c r="MIF17" s="235"/>
      <c r="MIG17" s="235"/>
      <c r="MIH17" s="235"/>
      <c r="MII17" s="235"/>
      <c r="MIJ17" s="235"/>
      <c r="MIK17" s="235"/>
      <c r="MIL17" s="235"/>
      <c r="MIM17" s="235"/>
      <c r="MIN17" s="235"/>
      <c r="MIO17" s="235"/>
      <c r="MIP17" s="235"/>
      <c r="MIQ17" s="235"/>
      <c r="MIR17" s="235"/>
      <c r="MIS17" s="235"/>
      <c r="MIT17" s="235"/>
      <c r="MIU17" s="235"/>
      <c r="MIV17" s="235"/>
      <c r="MIW17" s="235"/>
      <c r="MIX17" s="235"/>
      <c r="MIY17" s="235"/>
      <c r="MIZ17" s="235"/>
      <c r="MJA17" s="235"/>
      <c r="MJB17" s="235"/>
      <c r="MJC17" s="235"/>
      <c r="MJD17" s="235"/>
      <c r="MJE17" s="235"/>
      <c r="MJF17" s="235"/>
      <c r="MJG17" s="235"/>
      <c r="MJH17" s="235"/>
      <c r="MJI17" s="235"/>
      <c r="MJJ17" s="235"/>
      <c r="MJK17" s="235"/>
      <c r="MJL17" s="235"/>
      <c r="MJM17" s="235"/>
      <c r="MJN17" s="235"/>
      <c r="MJO17" s="235"/>
      <c r="MJP17" s="235"/>
      <c r="MJQ17" s="235"/>
      <c r="MJR17" s="235"/>
      <c r="MJS17" s="235"/>
      <c r="MJT17" s="235"/>
      <c r="MJU17" s="235"/>
      <c r="MJV17" s="235"/>
      <c r="MJW17" s="235"/>
      <c r="MJX17" s="235"/>
      <c r="MJY17" s="235"/>
      <c r="MJZ17" s="235"/>
      <c r="MKA17" s="235"/>
      <c r="MKB17" s="235"/>
      <c r="MKC17" s="235"/>
      <c r="MKD17" s="235"/>
      <c r="MKE17" s="235"/>
      <c r="MKF17" s="235"/>
      <c r="MKG17" s="235"/>
      <c r="MKH17" s="235"/>
      <c r="MKI17" s="235"/>
      <c r="MKJ17" s="235"/>
      <c r="MKK17" s="235"/>
      <c r="MKL17" s="235"/>
      <c r="MKM17" s="235"/>
      <c r="MKN17" s="235"/>
      <c r="MKO17" s="235"/>
      <c r="MKP17" s="235"/>
      <c r="MKQ17" s="235"/>
      <c r="MKR17" s="235"/>
      <c r="MKS17" s="235"/>
      <c r="MKT17" s="235"/>
      <c r="MKU17" s="235"/>
      <c r="MKV17" s="235"/>
      <c r="MKW17" s="235"/>
      <c r="MKX17" s="235"/>
      <c r="MKY17" s="235"/>
      <c r="MKZ17" s="235"/>
      <c r="MLA17" s="235"/>
      <c r="MLB17" s="235"/>
      <c r="MLC17" s="235"/>
      <c r="MLD17" s="235"/>
      <c r="MLE17" s="235"/>
      <c r="MLF17" s="235"/>
      <c r="MLG17" s="235"/>
      <c r="MLH17" s="235"/>
      <c r="MLI17" s="235"/>
      <c r="MLJ17" s="235"/>
      <c r="MLK17" s="235"/>
      <c r="MLL17" s="235"/>
      <c r="MLM17" s="235"/>
      <c r="MLN17" s="235"/>
      <c r="MLO17" s="235"/>
      <c r="MLP17" s="235"/>
      <c r="MLQ17" s="235"/>
      <c r="MLR17" s="235"/>
      <c r="MLS17" s="235"/>
      <c r="MLT17" s="235"/>
      <c r="MLU17" s="235"/>
      <c r="MLV17" s="235"/>
      <c r="MLW17" s="235"/>
      <c r="MLX17" s="235"/>
      <c r="MLY17" s="235"/>
      <c r="MLZ17" s="235"/>
      <c r="MMA17" s="235"/>
      <c r="MMB17" s="235"/>
      <c r="MMC17" s="235"/>
      <c r="MMD17" s="235"/>
      <c r="MME17" s="235"/>
      <c r="MMF17" s="235"/>
      <c r="MMG17" s="235"/>
      <c r="MMH17" s="235"/>
      <c r="MMI17" s="235"/>
      <c r="MMJ17" s="235"/>
      <c r="MMK17" s="235"/>
      <c r="MML17" s="235"/>
      <c r="MMM17" s="235"/>
      <c r="MMN17" s="235"/>
      <c r="MMO17" s="235"/>
      <c r="MMP17" s="235"/>
      <c r="MMQ17" s="235"/>
      <c r="MMR17" s="235"/>
      <c r="MMS17" s="235"/>
      <c r="MMT17" s="235"/>
      <c r="MMU17" s="235"/>
      <c r="MMV17" s="235"/>
      <c r="MMW17" s="235"/>
      <c r="MMX17" s="235"/>
      <c r="MMY17" s="235"/>
      <c r="MMZ17" s="235"/>
      <c r="MNA17" s="235"/>
      <c r="MNB17" s="235"/>
      <c r="MNC17" s="235"/>
      <c r="MND17" s="235"/>
      <c r="MNE17" s="235"/>
      <c r="MNF17" s="235"/>
      <c r="MNG17" s="235"/>
      <c r="MNH17" s="235"/>
      <c r="MNI17" s="235"/>
      <c r="MNJ17" s="235"/>
      <c r="MNK17" s="235"/>
      <c r="MNL17" s="235"/>
      <c r="MNM17" s="235"/>
      <c r="MNN17" s="235"/>
      <c r="MNO17" s="235"/>
      <c r="MNP17" s="235"/>
      <c r="MNQ17" s="235"/>
      <c r="MNR17" s="235"/>
      <c r="MNS17" s="235"/>
      <c r="MNT17" s="235"/>
      <c r="MNU17" s="235"/>
      <c r="MNV17" s="235"/>
      <c r="MNW17" s="235"/>
      <c r="MNX17" s="235"/>
      <c r="MNY17" s="235"/>
      <c r="MNZ17" s="235"/>
      <c r="MOA17" s="235"/>
      <c r="MOB17" s="235"/>
      <c r="MOC17" s="235"/>
      <c r="MOD17" s="235"/>
      <c r="MOE17" s="235"/>
      <c r="MOF17" s="235"/>
      <c r="MOG17" s="235"/>
      <c r="MOH17" s="235"/>
      <c r="MOI17" s="235"/>
      <c r="MOJ17" s="235"/>
      <c r="MOK17" s="235"/>
      <c r="MOL17" s="235"/>
      <c r="MOM17" s="235"/>
      <c r="MON17" s="235"/>
      <c r="MOO17" s="235"/>
      <c r="MOP17" s="235"/>
      <c r="MOQ17" s="235"/>
      <c r="MOR17" s="235"/>
      <c r="MOS17" s="235"/>
      <c r="MOT17" s="235"/>
      <c r="MOU17" s="235"/>
      <c r="MOV17" s="235"/>
      <c r="MOW17" s="235"/>
      <c r="MOX17" s="235"/>
      <c r="MOY17" s="235"/>
      <c r="MOZ17" s="235"/>
      <c r="MPA17" s="235"/>
      <c r="MPB17" s="235"/>
      <c r="MPC17" s="235"/>
      <c r="MPD17" s="235"/>
      <c r="MPE17" s="235"/>
      <c r="MPF17" s="235"/>
      <c r="MPG17" s="235"/>
      <c r="MPH17" s="235"/>
      <c r="MPI17" s="235"/>
      <c r="MPJ17" s="235"/>
      <c r="MPK17" s="235"/>
      <c r="MPL17" s="235"/>
      <c r="MPM17" s="235"/>
      <c r="MPN17" s="235"/>
      <c r="MPO17" s="235"/>
      <c r="MPP17" s="235"/>
      <c r="MPQ17" s="235"/>
      <c r="MPR17" s="235"/>
      <c r="MPS17" s="235"/>
      <c r="MPT17" s="235"/>
      <c r="MPU17" s="235"/>
      <c r="MPV17" s="235"/>
      <c r="MPW17" s="235"/>
      <c r="MPX17" s="235"/>
      <c r="MPY17" s="235"/>
      <c r="MPZ17" s="235"/>
      <c r="MQA17" s="235"/>
      <c r="MQB17" s="235"/>
      <c r="MQC17" s="235"/>
      <c r="MQD17" s="235"/>
      <c r="MQE17" s="235"/>
      <c r="MQF17" s="235"/>
      <c r="MQG17" s="235"/>
      <c r="MQH17" s="235"/>
      <c r="MQI17" s="235"/>
      <c r="MQJ17" s="235"/>
      <c r="MQK17" s="235"/>
      <c r="MQL17" s="235"/>
      <c r="MQM17" s="235"/>
      <c r="MQN17" s="235"/>
      <c r="MQO17" s="235"/>
      <c r="MQP17" s="235"/>
      <c r="MQQ17" s="235"/>
      <c r="MQR17" s="235"/>
      <c r="MQS17" s="235"/>
      <c r="MQT17" s="235"/>
      <c r="MQU17" s="235"/>
      <c r="MQV17" s="235"/>
      <c r="MQW17" s="235"/>
      <c r="MQX17" s="235"/>
      <c r="MQY17" s="235"/>
      <c r="MQZ17" s="235"/>
      <c r="MRA17" s="235"/>
      <c r="MRB17" s="235"/>
      <c r="MRC17" s="235"/>
      <c r="MRD17" s="235"/>
      <c r="MRE17" s="235"/>
      <c r="MRF17" s="235"/>
      <c r="MRG17" s="235"/>
      <c r="MRH17" s="235"/>
      <c r="MRI17" s="235"/>
      <c r="MRJ17" s="235"/>
      <c r="MRK17" s="235"/>
      <c r="MRL17" s="235"/>
      <c r="MRM17" s="235"/>
      <c r="MRN17" s="235"/>
      <c r="MRO17" s="235"/>
      <c r="MRP17" s="235"/>
      <c r="MRQ17" s="235"/>
      <c r="MRR17" s="235"/>
      <c r="MRS17" s="235"/>
      <c r="MRT17" s="235"/>
      <c r="MRU17" s="235"/>
      <c r="MRV17" s="235"/>
      <c r="MRW17" s="235"/>
      <c r="MRX17" s="235"/>
      <c r="MRY17" s="235"/>
      <c r="MRZ17" s="235"/>
      <c r="MSA17" s="235"/>
      <c r="MSB17" s="235"/>
      <c r="MSC17" s="235"/>
      <c r="MSD17" s="235"/>
      <c r="MSE17" s="235"/>
      <c r="MSF17" s="235"/>
      <c r="MSG17" s="235"/>
      <c r="MSH17" s="235"/>
      <c r="MSI17" s="235"/>
      <c r="MSJ17" s="235"/>
      <c r="MSK17" s="235"/>
      <c r="MSL17" s="235"/>
      <c r="MSM17" s="235"/>
      <c r="MSN17" s="235"/>
      <c r="MSO17" s="235"/>
      <c r="MSP17" s="235"/>
      <c r="MSQ17" s="235"/>
      <c r="MSR17" s="235"/>
      <c r="MSS17" s="235"/>
      <c r="MST17" s="235"/>
      <c r="MSU17" s="235"/>
      <c r="MSV17" s="235"/>
      <c r="MSW17" s="235"/>
      <c r="MSX17" s="235"/>
      <c r="MSY17" s="235"/>
      <c r="MSZ17" s="235"/>
      <c r="MTA17" s="235"/>
      <c r="MTB17" s="235"/>
      <c r="MTC17" s="235"/>
      <c r="MTD17" s="235"/>
      <c r="MTE17" s="235"/>
      <c r="MTF17" s="235"/>
      <c r="MTG17" s="235"/>
      <c r="MTH17" s="235"/>
      <c r="MTI17" s="235"/>
      <c r="MTJ17" s="235"/>
      <c r="MTK17" s="235"/>
      <c r="MTL17" s="235"/>
      <c r="MTM17" s="235"/>
      <c r="MTN17" s="235"/>
      <c r="MTO17" s="235"/>
      <c r="MTP17" s="235"/>
      <c r="MTQ17" s="235"/>
      <c r="MTR17" s="235"/>
      <c r="MTS17" s="235"/>
      <c r="MTT17" s="235"/>
      <c r="MTU17" s="235"/>
      <c r="MTV17" s="235"/>
      <c r="MTW17" s="235"/>
      <c r="MTX17" s="235"/>
      <c r="MTY17" s="235"/>
      <c r="MTZ17" s="235"/>
      <c r="MUA17" s="235"/>
      <c r="MUB17" s="235"/>
      <c r="MUC17" s="235"/>
      <c r="MUD17" s="235"/>
      <c r="MUE17" s="235"/>
      <c r="MUF17" s="235"/>
      <c r="MUG17" s="235"/>
      <c r="MUH17" s="235"/>
      <c r="MUI17" s="235"/>
      <c r="MUJ17" s="235"/>
      <c r="MUK17" s="235"/>
      <c r="MUL17" s="235"/>
      <c r="MUM17" s="235"/>
      <c r="MUN17" s="235"/>
      <c r="MUO17" s="235"/>
      <c r="MUP17" s="235"/>
      <c r="MUQ17" s="235"/>
      <c r="MUR17" s="235"/>
      <c r="MUS17" s="235"/>
      <c r="MUT17" s="235"/>
      <c r="MUU17" s="235"/>
      <c r="MUV17" s="235"/>
      <c r="MUW17" s="235"/>
      <c r="MUX17" s="235"/>
      <c r="MUY17" s="235"/>
      <c r="MUZ17" s="235"/>
      <c r="MVA17" s="235"/>
      <c r="MVB17" s="235"/>
      <c r="MVC17" s="235"/>
      <c r="MVD17" s="235"/>
      <c r="MVE17" s="235"/>
      <c r="MVF17" s="235"/>
      <c r="MVG17" s="235"/>
      <c r="MVH17" s="235"/>
      <c r="MVI17" s="235"/>
      <c r="MVJ17" s="235"/>
      <c r="MVK17" s="235"/>
      <c r="MVL17" s="235"/>
      <c r="MVM17" s="235"/>
      <c r="MVN17" s="235"/>
      <c r="MVO17" s="235"/>
      <c r="MVP17" s="235"/>
      <c r="MVQ17" s="235"/>
      <c r="MVR17" s="235"/>
      <c r="MVS17" s="235"/>
      <c r="MVT17" s="235"/>
      <c r="MVU17" s="235"/>
      <c r="MVV17" s="235"/>
      <c r="MVW17" s="235"/>
      <c r="MVX17" s="235"/>
      <c r="MVY17" s="235"/>
      <c r="MVZ17" s="235"/>
      <c r="MWA17" s="235"/>
      <c r="MWB17" s="235"/>
      <c r="MWC17" s="235"/>
      <c r="MWD17" s="235"/>
      <c r="MWE17" s="235"/>
      <c r="MWF17" s="235"/>
      <c r="MWG17" s="235"/>
      <c r="MWH17" s="235"/>
      <c r="MWI17" s="235"/>
      <c r="MWJ17" s="235"/>
      <c r="MWK17" s="235"/>
      <c r="MWL17" s="235"/>
      <c r="MWM17" s="235"/>
      <c r="MWN17" s="235"/>
      <c r="MWO17" s="235"/>
      <c r="MWP17" s="235"/>
      <c r="MWQ17" s="235"/>
      <c r="MWR17" s="235"/>
      <c r="MWS17" s="235"/>
      <c r="MWT17" s="235"/>
      <c r="MWU17" s="235"/>
      <c r="MWV17" s="235"/>
      <c r="MWW17" s="235"/>
      <c r="MWX17" s="235"/>
      <c r="MWY17" s="235"/>
      <c r="MWZ17" s="235"/>
      <c r="MXA17" s="235"/>
      <c r="MXB17" s="235"/>
      <c r="MXC17" s="235"/>
      <c r="MXD17" s="235"/>
      <c r="MXE17" s="235"/>
      <c r="MXF17" s="235"/>
      <c r="MXG17" s="235"/>
      <c r="MXH17" s="235"/>
      <c r="MXI17" s="235"/>
      <c r="MXJ17" s="235"/>
      <c r="MXK17" s="235"/>
      <c r="MXL17" s="235"/>
      <c r="MXM17" s="235"/>
      <c r="MXN17" s="235"/>
      <c r="MXO17" s="235"/>
      <c r="MXP17" s="235"/>
      <c r="MXQ17" s="235"/>
      <c r="MXR17" s="235"/>
      <c r="MXS17" s="235"/>
      <c r="MXT17" s="235"/>
      <c r="MXU17" s="235"/>
      <c r="MXV17" s="235"/>
      <c r="MXW17" s="235"/>
      <c r="MXX17" s="235"/>
      <c r="MXY17" s="235"/>
      <c r="MXZ17" s="235"/>
      <c r="MYA17" s="235"/>
      <c r="MYB17" s="235"/>
      <c r="MYC17" s="235"/>
      <c r="MYD17" s="235"/>
      <c r="MYE17" s="235"/>
      <c r="MYF17" s="235"/>
      <c r="MYG17" s="235"/>
      <c r="MYH17" s="235"/>
      <c r="MYI17" s="235"/>
      <c r="MYJ17" s="235"/>
      <c r="MYK17" s="235"/>
      <c r="MYL17" s="235"/>
      <c r="MYM17" s="235"/>
      <c r="MYN17" s="235"/>
      <c r="MYO17" s="235"/>
      <c r="MYP17" s="235"/>
      <c r="MYQ17" s="235"/>
      <c r="MYR17" s="235"/>
      <c r="MYS17" s="235"/>
      <c r="MYT17" s="235"/>
      <c r="MYU17" s="235"/>
      <c r="MYV17" s="235"/>
      <c r="MYW17" s="235"/>
      <c r="MYX17" s="235"/>
      <c r="MYY17" s="235"/>
      <c r="MYZ17" s="235"/>
      <c r="MZA17" s="235"/>
      <c r="MZB17" s="235"/>
      <c r="MZC17" s="235"/>
      <c r="MZD17" s="235"/>
      <c r="MZE17" s="235"/>
      <c r="MZF17" s="235"/>
      <c r="MZG17" s="235"/>
      <c r="MZH17" s="235"/>
      <c r="MZI17" s="235"/>
      <c r="MZJ17" s="235"/>
      <c r="MZK17" s="235"/>
      <c r="MZL17" s="235"/>
      <c r="MZM17" s="235"/>
      <c r="MZN17" s="235"/>
      <c r="MZO17" s="235"/>
      <c r="MZP17" s="235"/>
      <c r="MZQ17" s="235"/>
      <c r="MZR17" s="235"/>
      <c r="MZS17" s="235"/>
      <c r="MZT17" s="235"/>
      <c r="MZU17" s="235"/>
      <c r="MZV17" s="235"/>
      <c r="MZW17" s="235"/>
      <c r="MZX17" s="235"/>
      <c r="MZY17" s="235"/>
      <c r="MZZ17" s="235"/>
      <c r="NAA17" s="235"/>
      <c r="NAB17" s="235"/>
      <c r="NAC17" s="235"/>
      <c r="NAD17" s="235"/>
      <c r="NAE17" s="235"/>
      <c r="NAF17" s="235"/>
      <c r="NAG17" s="235"/>
      <c r="NAH17" s="235"/>
      <c r="NAI17" s="235"/>
      <c r="NAJ17" s="235"/>
      <c r="NAK17" s="235"/>
      <c r="NAL17" s="235"/>
      <c r="NAM17" s="235"/>
      <c r="NAN17" s="235"/>
      <c r="NAO17" s="235"/>
      <c r="NAP17" s="235"/>
      <c r="NAQ17" s="235"/>
      <c r="NAR17" s="235"/>
      <c r="NAS17" s="235"/>
      <c r="NAT17" s="235"/>
      <c r="NAU17" s="235"/>
      <c r="NAV17" s="235"/>
      <c r="NAW17" s="235"/>
      <c r="NAX17" s="235"/>
      <c r="NAY17" s="235"/>
      <c r="NAZ17" s="235"/>
      <c r="NBA17" s="235"/>
      <c r="NBB17" s="235"/>
      <c r="NBC17" s="235"/>
      <c r="NBD17" s="235"/>
      <c r="NBE17" s="235"/>
      <c r="NBF17" s="235"/>
      <c r="NBG17" s="235"/>
      <c r="NBH17" s="235"/>
      <c r="NBI17" s="235"/>
      <c r="NBJ17" s="235"/>
      <c r="NBK17" s="235"/>
      <c r="NBL17" s="235"/>
      <c r="NBM17" s="235"/>
      <c r="NBN17" s="235"/>
      <c r="NBO17" s="235"/>
      <c r="NBP17" s="235"/>
      <c r="NBQ17" s="235"/>
      <c r="NBR17" s="235"/>
      <c r="NBS17" s="235"/>
      <c r="NBT17" s="235"/>
      <c r="NBU17" s="235"/>
      <c r="NBV17" s="235"/>
      <c r="NBW17" s="235"/>
      <c r="NBX17" s="235"/>
      <c r="NBY17" s="235"/>
      <c r="NBZ17" s="235"/>
      <c r="NCA17" s="235"/>
      <c r="NCB17" s="235"/>
      <c r="NCC17" s="235"/>
      <c r="NCD17" s="235"/>
      <c r="NCE17" s="235"/>
      <c r="NCF17" s="235"/>
      <c r="NCG17" s="235"/>
      <c r="NCH17" s="235"/>
      <c r="NCI17" s="235"/>
      <c r="NCJ17" s="235"/>
      <c r="NCK17" s="235"/>
      <c r="NCL17" s="235"/>
      <c r="NCM17" s="235"/>
      <c r="NCN17" s="235"/>
      <c r="NCO17" s="235"/>
      <c r="NCP17" s="235"/>
      <c r="NCQ17" s="235"/>
      <c r="NCR17" s="235"/>
      <c r="NCS17" s="235"/>
      <c r="NCT17" s="235"/>
      <c r="NCU17" s="235"/>
      <c r="NCV17" s="235"/>
      <c r="NCW17" s="235"/>
      <c r="NCX17" s="235"/>
      <c r="NCY17" s="235"/>
      <c r="NCZ17" s="235"/>
      <c r="NDA17" s="235"/>
      <c r="NDB17" s="235"/>
      <c r="NDC17" s="235"/>
      <c r="NDD17" s="235"/>
      <c r="NDE17" s="235"/>
      <c r="NDF17" s="235"/>
      <c r="NDG17" s="235"/>
      <c r="NDH17" s="235"/>
      <c r="NDI17" s="235"/>
      <c r="NDJ17" s="235"/>
      <c r="NDK17" s="235"/>
      <c r="NDL17" s="235"/>
      <c r="NDM17" s="235"/>
      <c r="NDN17" s="235"/>
      <c r="NDO17" s="235"/>
      <c r="NDP17" s="235"/>
      <c r="NDQ17" s="235"/>
      <c r="NDR17" s="235"/>
      <c r="NDS17" s="235"/>
      <c r="NDT17" s="235"/>
      <c r="NDU17" s="235"/>
      <c r="NDV17" s="235"/>
      <c r="NDW17" s="235"/>
      <c r="NDX17" s="235"/>
      <c r="NDY17" s="235"/>
      <c r="NDZ17" s="235"/>
      <c r="NEA17" s="235"/>
      <c r="NEB17" s="235"/>
      <c r="NEC17" s="235"/>
      <c r="NED17" s="235"/>
      <c r="NEE17" s="235"/>
      <c r="NEF17" s="235"/>
      <c r="NEG17" s="235"/>
      <c r="NEH17" s="235"/>
      <c r="NEI17" s="235"/>
      <c r="NEJ17" s="235"/>
      <c r="NEK17" s="235"/>
      <c r="NEL17" s="235"/>
      <c r="NEM17" s="235"/>
      <c r="NEN17" s="235"/>
      <c r="NEO17" s="235"/>
      <c r="NEP17" s="235"/>
      <c r="NEQ17" s="235"/>
      <c r="NER17" s="235"/>
      <c r="NES17" s="235"/>
      <c r="NET17" s="235"/>
      <c r="NEU17" s="235"/>
      <c r="NEV17" s="235"/>
      <c r="NEW17" s="235"/>
      <c r="NEX17" s="235"/>
      <c r="NEY17" s="235"/>
      <c r="NEZ17" s="235"/>
      <c r="NFA17" s="235"/>
      <c r="NFB17" s="235"/>
      <c r="NFC17" s="235"/>
      <c r="NFD17" s="235"/>
      <c r="NFE17" s="235"/>
      <c r="NFF17" s="235"/>
      <c r="NFG17" s="235"/>
      <c r="NFH17" s="235"/>
      <c r="NFI17" s="235"/>
      <c r="NFJ17" s="235"/>
      <c r="NFK17" s="235"/>
      <c r="NFL17" s="235"/>
      <c r="NFM17" s="235"/>
      <c r="NFN17" s="235"/>
      <c r="NFO17" s="235"/>
      <c r="NFP17" s="235"/>
      <c r="NFQ17" s="235"/>
      <c r="NFR17" s="235"/>
      <c r="NFS17" s="235"/>
      <c r="NFT17" s="235"/>
      <c r="NFU17" s="235"/>
      <c r="NFV17" s="235"/>
      <c r="NFW17" s="235"/>
      <c r="NFX17" s="235"/>
      <c r="NFY17" s="235"/>
      <c r="NFZ17" s="235"/>
      <c r="NGA17" s="235"/>
      <c r="NGB17" s="235"/>
      <c r="NGC17" s="235"/>
      <c r="NGD17" s="235"/>
      <c r="NGE17" s="235"/>
      <c r="NGF17" s="235"/>
      <c r="NGG17" s="235"/>
      <c r="NGH17" s="235"/>
      <c r="NGI17" s="235"/>
      <c r="NGJ17" s="235"/>
      <c r="NGK17" s="235"/>
      <c r="NGL17" s="235"/>
      <c r="NGM17" s="235"/>
      <c r="NGN17" s="235"/>
      <c r="NGO17" s="235"/>
      <c r="NGP17" s="235"/>
      <c r="NGQ17" s="235"/>
      <c r="NGR17" s="235"/>
      <c r="NGS17" s="235"/>
      <c r="NGT17" s="235"/>
      <c r="NGU17" s="235"/>
      <c r="NGV17" s="235"/>
      <c r="NGW17" s="235"/>
      <c r="NGX17" s="235"/>
      <c r="NGY17" s="235"/>
      <c r="NGZ17" s="235"/>
      <c r="NHA17" s="235"/>
      <c r="NHB17" s="235"/>
      <c r="NHC17" s="235"/>
      <c r="NHD17" s="235"/>
      <c r="NHE17" s="235"/>
      <c r="NHF17" s="235"/>
      <c r="NHG17" s="235"/>
      <c r="NHH17" s="235"/>
      <c r="NHI17" s="235"/>
      <c r="NHJ17" s="235"/>
      <c r="NHK17" s="235"/>
      <c r="NHL17" s="235"/>
      <c r="NHM17" s="235"/>
      <c r="NHN17" s="235"/>
      <c r="NHO17" s="235"/>
      <c r="NHP17" s="235"/>
      <c r="NHQ17" s="235"/>
      <c r="NHR17" s="235"/>
      <c r="NHS17" s="235"/>
      <c r="NHT17" s="235"/>
      <c r="NHU17" s="235"/>
      <c r="NHV17" s="235"/>
      <c r="NHW17" s="235"/>
      <c r="NHX17" s="235"/>
      <c r="NHY17" s="235"/>
      <c r="NHZ17" s="235"/>
      <c r="NIA17" s="235"/>
      <c r="NIB17" s="235"/>
      <c r="NIC17" s="235"/>
      <c r="NID17" s="235"/>
      <c r="NIE17" s="235"/>
      <c r="NIF17" s="235"/>
      <c r="NIG17" s="235"/>
      <c r="NIH17" s="235"/>
      <c r="NII17" s="235"/>
      <c r="NIJ17" s="235"/>
      <c r="NIK17" s="235"/>
      <c r="NIL17" s="235"/>
      <c r="NIM17" s="235"/>
      <c r="NIN17" s="235"/>
      <c r="NIO17" s="235"/>
      <c r="NIP17" s="235"/>
      <c r="NIQ17" s="235"/>
      <c r="NIR17" s="235"/>
      <c r="NIS17" s="235"/>
      <c r="NIT17" s="235"/>
      <c r="NIU17" s="235"/>
      <c r="NIV17" s="235"/>
      <c r="NIW17" s="235"/>
      <c r="NIX17" s="235"/>
      <c r="NIY17" s="235"/>
      <c r="NIZ17" s="235"/>
      <c r="NJA17" s="235"/>
      <c r="NJB17" s="235"/>
      <c r="NJC17" s="235"/>
      <c r="NJD17" s="235"/>
      <c r="NJE17" s="235"/>
      <c r="NJF17" s="235"/>
      <c r="NJG17" s="235"/>
      <c r="NJH17" s="235"/>
      <c r="NJI17" s="235"/>
      <c r="NJJ17" s="235"/>
      <c r="NJK17" s="235"/>
      <c r="NJL17" s="235"/>
      <c r="NJM17" s="235"/>
      <c r="NJN17" s="235"/>
      <c r="NJO17" s="235"/>
      <c r="NJP17" s="235"/>
      <c r="NJQ17" s="235"/>
      <c r="NJR17" s="235"/>
      <c r="NJS17" s="235"/>
      <c r="NJT17" s="235"/>
      <c r="NJU17" s="235"/>
      <c r="NJV17" s="235"/>
      <c r="NJW17" s="235"/>
      <c r="NJX17" s="235"/>
      <c r="NJY17" s="235"/>
      <c r="NJZ17" s="235"/>
      <c r="NKA17" s="235"/>
      <c r="NKB17" s="235"/>
      <c r="NKC17" s="235"/>
      <c r="NKD17" s="235"/>
      <c r="NKE17" s="235"/>
      <c r="NKF17" s="235"/>
      <c r="NKG17" s="235"/>
      <c r="NKH17" s="235"/>
      <c r="NKI17" s="235"/>
      <c r="NKJ17" s="235"/>
      <c r="NKK17" s="235"/>
      <c r="NKL17" s="235"/>
      <c r="NKM17" s="235"/>
      <c r="NKN17" s="235"/>
      <c r="NKO17" s="235"/>
      <c r="NKP17" s="235"/>
      <c r="NKQ17" s="235"/>
      <c r="NKR17" s="235"/>
      <c r="NKS17" s="235"/>
      <c r="NKT17" s="235"/>
      <c r="NKU17" s="235"/>
      <c r="NKV17" s="235"/>
      <c r="NKW17" s="235"/>
      <c r="NKX17" s="235"/>
      <c r="NKY17" s="235"/>
      <c r="NKZ17" s="235"/>
      <c r="NLA17" s="235"/>
      <c r="NLB17" s="235"/>
      <c r="NLC17" s="235"/>
      <c r="NLD17" s="235"/>
      <c r="NLE17" s="235"/>
      <c r="NLF17" s="235"/>
      <c r="NLG17" s="235"/>
      <c r="NLH17" s="235"/>
      <c r="NLI17" s="235"/>
      <c r="NLJ17" s="235"/>
      <c r="NLK17" s="235"/>
      <c r="NLL17" s="235"/>
      <c r="NLM17" s="235"/>
      <c r="NLN17" s="235"/>
      <c r="NLO17" s="235"/>
      <c r="NLP17" s="235"/>
      <c r="NLQ17" s="235"/>
      <c r="NLR17" s="235"/>
      <c r="NLS17" s="235"/>
      <c r="NLT17" s="235"/>
      <c r="NLU17" s="235"/>
      <c r="NLV17" s="235"/>
      <c r="NLW17" s="235"/>
      <c r="NLX17" s="235"/>
      <c r="NLY17" s="235"/>
      <c r="NLZ17" s="235"/>
      <c r="NMA17" s="235"/>
      <c r="NMB17" s="235"/>
      <c r="NMC17" s="235"/>
      <c r="NMD17" s="235"/>
      <c r="NME17" s="235"/>
      <c r="NMF17" s="235"/>
      <c r="NMG17" s="235"/>
      <c r="NMH17" s="235"/>
      <c r="NMI17" s="235"/>
      <c r="NMJ17" s="235"/>
      <c r="NMK17" s="235"/>
      <c r="NML17" s="235"/>
      <c r="NMM17" s="235"/>
      <c r="NMN17" s="235"/>
      <c r="NMO17" s="235"/>
      <c r="NMP17" s="235"/>
      <c r="NMQ17" s="235"/>
      <c r="NMR17" s="235"/>
      <c r="NMS17" s="235"/>
      <c r="NMT17" s="235"/>
      <c r="NMU17" s="235"/>
      <c r="NMV17" s="235"/>
      <c r="NMW17" s="235"/>
      <c r="NMX17" s="235"/>
      <c r="NMY17" s="235"/>
      <c r="NMZ17" s="235"/>
      <c r="NNA17" s="235"/>
      <c r="NNB17" s="235"/>
      <c r="NNC17" s="235"/>
      <c r="NND17" s="235"/>
      <c r="NNE17" s="235"/>
      <c r="NNF17" s="235"/>
      <c r="NNG17" s="235"/>
      <c r="NNH17" s="235"/>
      <c r="NNI17" s="235"/>
      <c r="NNJ17" s="235"/>
      <c r="NNK17" s="235"/>
      <c r="NNL17" s="235"/>
      <c r="NNM17" s="235"/>
      <c r="NNN17" s="235"/>
      <c r="NNO17" s="235"/>
      <c r="NNP17" s="235"/>
      <c r="NNQ17" s="235"/>
      <c r="NNR17" s="235"/>
      <c r="NNS17" s="235"/>
      <c r="NNT17" s="235"/>
      <c r="NNU17" s="235"/>
      <c r="NNV17" s="235"/>
      <c r="NNW17" s="235"/>
      <c r="NNX17" s="235"/>
      <c r="NNY17" s="235"/>
      <c r="NNZ17" s="235"/>
      <c r="NOA17" s="235"/>
      <c r="NOB17" s="235"/>
      <c r="NOC17" s="235"/>
      <c r="NOD17" s="235"/>
      <c r="NOE17" s="235"/>
      <c r="NOF17" s="235"/>
      <c r="NOG17" s="235"/>
      <c r="NOH17" s="235"/>
      <c r="NOI17" s="235"/>
      <c r="NOJ17" s="235"/>
      <c r="NOK17" s="235"/>
      <c r="NOL17" s="235"/>
      <c r="NOM17" s="235"/>
      <c r="NON17" s="235"/>
      <c r="NOO17" s="235"/>
      <c r="NOP17" s="235"/>
      <c r="NOQ17" s="235"/>
      <c r="NOR17" s="235"/>
      <c r="NOS17" s="235"/>
      <c r="NOT17" s="235"/>
      <c r="NOU17" s="235"/>
      <c r="NOV17" s="235"/>
      <c r="NOW17" s="235"/>
      <c r="NOX17" s="235"/>
      <c r="NOY17" s="235"/>
      <c r="NOZ17" s="235"/>
      <c r="NPA17" s="235"/>
      <c r="NPB17" s="235"/>
      <c r="NPC17" s="235"/>
      <c r="NPD17" s="235"/>
      <c r="NPE17" s="235"/>
      <c r="NPF17" s="235"/>
      <c r="NPG17" s="235"/>
      <c r="NPH17" s="235"/>
      <c r="NPI17" s="235"/>
      <c r="NPJ17" s="235"/>
      <c r="NPK17" s="235"/>
      <c r="NPL17" s="235"/>
      <c r="NPM17" s="235"/>
      <c r="NPN17" s="235"/>
      <c r="NPO17" s="235"/>
      <c r="NPP17" s="235"/>
      <c r="NPQ17" s="235"/>
      <c r="NPR17" s="235"/>
      <c r="NPS17" s="235"/>
      <c r="NPT17" s="235"/>
      <c r="NPU17" s="235"/>
      <c r="NPV17" s="235"/>
      <c r="NPW17" s="235"/>
      <c r="NPX17" s="235"/>
      <c r="NPY17" s="235"/>
      <c r="NPZ17" s="235"/>
      <c r="NQA17" s="235"/>
      <c r="NQB17" s="235"/>
      <c r="NQC17" s="235"/>
      <c r="NQD17" s="235"/>
      <c r="NQE17" s="235"/>
      <c r="NQF17" s="235"/>
      <c r="NQG17" s="235"/>
      <c r="NQH17" s="235"/>
      <c r="NQI17" s="235"/>
      <c r="NQJ17" s="235"/>
      <c r="NQK17" s="235"/>
      <c r="NQL17" s="235"/>
      <c r="NQM17" s="235"/>
      <c r="NQN17" s="235"/>
      <c r="NQO17" s="235"/>
      <c r="NQP17" s="235"/>
      <c r="NQQ17" s="235"/>
      <c r="NQR17" s="235"/>
      <c r="NQS17" s="235"/>
      <c r="NQT17" s="235"/>
      <c r="NQU17" s="235"/>
      <c r="NQV17" s="235"/>
      <c r="NQW17" s="235"/>
      <c r="NQX17" s="235"/>
      <c r="NQY17" s="235"/>
      <c r="NQZ17" s="235"/>
      <c r="NRA17" s="235"/>
      <c r="NRB17" s="235"/>
      <c r="NRC17" s="235"/>
      <c r="NRD17" s="235"/>
      <c r="NRE17" s="235"/>
      <c r="NRF17" s="235"/>
      <c r="NRG17" s="235"/>
      <c r="NRH17" s="235"/>
      <c r="NRI17" s="235"/>
      <c r="NRJ17" s="235"/>
      <c r="NRK17" s="235"/>
      <c r="NRL17" s="235"/>
      <c r="NRM17" s="235"/>
      <c r="NRN17" s="235"/>
      <c r="NRO17" s="235"/>
      <c r="NRP17" s="235"/>
      <c r="NRQ17" s="235"/>
      <c r="NRR17" s="235"/>
      <c r="NRS17" s="235"/>
      <c r="NRT17" s="235"/>
      <c r="NRU17" s="235"/>
      <c r="NRV17" s="235"/>
      <c r="NRW17" s="235"/>
      <c r="NRX17" s="235"/>
      <c r="NRY17" s="235"/>
      <c r="NRZ17" s="235"/>
      <c r="NSA17" s="235"/>
      <c r="NSB17" s="235"/>
      <c r="NSC17" s="235"/>
      <c r="NSD17" s="235"/>
      <c r="NSE17" s="235"/>
      <c r="NSF17" s="235"/>
      <c r="NSG17" s="235"/>
      <c r="NSH17" s="235"/>
      <c r="NSI17" s="235"/>
      <c r="NSJ17" s="235"/>
      <c r="NSK17" s="235"/>
      <c r="NSL17" s="235"/>
      <c r="NSM17" s="235"/>
      <c r="NSN17" s="235"/>
      <c r="NSO17" s="235"/>
      <c r="NSP17" s="235"/>
      <c r="NSQ17" s="235"/>
      <c r="NSR17" s="235"/>
      <c r="NSS17" s="235"/>
      <c r="NST17" s="235"/>
      <c r="NSU17" s="235"/>
      <c r="NSV17" s="235"/>
      <c r="NSW17" s="235"/>
      <c r="NSX17" s="235"/>
      <c r="NSY17" s="235"/>
      <c r="NSZ17" s="235"/>
      <c r="NTA17" s="235"/>
      <c r="NTB17" s="235"/>
      <c r="NTC17" s="235"/>
      <c r="NTD17" s="235"/>
      <c r="NTE17" s="235"/>
      <c r="NTF17" s="235"/>
      <c r="NTG17" s="235"/>
      <c r="NTH17" s="235"/>
      <c r="NTI17" s="235"/>
      <c r="NTJ17" s="235"/>
      <c r="NTK17" s="235"/>
      <c r="NTL17" s="235"/>
      <c r="NTM17" s="235"/>
      <c r="NTN17" s="235"/>
      <c r="NTO17" s="235"/>
      <c r="NTP17" s="235"/>
      <c r="NTQ17" s="235"/>
      <c r="NTR17" s="235"/>
      <c r="NTS17" s="235"/>
      <c r="NTT17" s="235"/>
      <c r="NTU17" s="235"/>
      <c r="NTV17" s="235"/>
      <c r="NTW17" s="235"/>
      <c r="NTX17" s="235"/>
      <c r="NTY17" s="235"/>
      <c r="NTZ17" s="235"/>
      <c r="NUA17" s="235"/>
      <c r="NUB17" s="235"/>
      <c r="NUC17" s="235"/>
      <c r="NUD17" s="235"/>
      <c r="NUE17" s="235"/>
      <c r="NUF17" s="235"/>
      <c r="NUG17" s="235"/>
      <c r="NUH17" s="235"/>
      <c r="NUI17" s="235"/>
      <c r="NUJ17" s="235"/>
      <c r="NUK17" s="235"/>
      <c r="NUL17" s="235"/>
      <c r="NUM17" s="235"/>
      <c r="NUN17" s="235"/>
      <c r="NUO17" s="235"/>
      <c r="NUP17" s="235"/>
      <c r="NUQ17" s="235"/>
      <c r="NUR17" s="235"/>
      <c r="NUS17" s="235"/>
      <c r="NUT17" s="235"/>
      <c r="NUU17" s="235"/>
      <c r="NUV17" s="235"/>
      <c r="NUW17" s="235"/>
      <c r="NUX17" s="235"/>
      <c r="NUY17" s="235"/>
      <c r="NUZ17" s="235"/>
      <c r="NVA17" s="235"/>
      <c r="NVB17" s="235"/>
      <c r="NVC17" s="235"/>
      <c r="NVD17" s="235"/>
      <c r="NVE17" s="235"/>
      <c r="NVF17" s="235"/>
      <c r="NVG17" s="235"/>
      <c r="NVH17" s="235"/>
      <c r="NVI17" s="235"/>
      <c r="NVJ17" s="235"/>
      <c r="NVK17" s="235"/>
      <c r="NVL17" s="235"/>
      <c r="NVM17" s="235"/>
      <c r="NVN17" s="235"/>
      <c r="NVO17" s="235"/>
      <c r="NVP17" s="235"/>
      <c r="NVQ17" s="235"/>
      <c r="NVR17" s="235"/>
      <c r="NVS17" s="235"/>
      <c r="NVT17" s="235"/>
      <c r="NVU17" s="235"/>
      <c r="NVV17" s="235"/>
      <c r="NVW17" s="235"/>
      <c r="NVX17" s="235"/>
      <c r="NVY17" s="235"/>
      <c r="NVZ17" s="235"/>
      <c r="NWA17" s="235"/>
      <c r="NWB17" s="235"/>
      <c r="NWC17" s="235"/>
      <c r="NWD17" s="235"/>
      <c r="NWE17" s="235"/>
      <c r="NWF17" s="235"/>
      <c r="NWG17" s="235"/>
      <c r="NWH17" s="235"/>
      <c r="NWI17" s="235"/>
      <c r="NWJ17" s="235"/>
      <c r="NWK17" s="235"/>
      <c r="NWL17" s="235"/>
      <c r="NWM17" s="235"/>
      <c r="NWN17" s="235"/>
      <c r="NWO17" s="235"/>
      <c r="NWP17" s="235"/>
      <c r="NWQ17" s="235"/>
      <c r="NWR17" s="235"/>
      <c r="NWS17" s="235"/>
      <c r="NWT17" s="235"/>
      <c r="NWU17" s="235"/>
      <c r="NWV17" s="235"/>
      <c r="NWW17" s="235"/>
      <c r="NWX17" s="235"/>
      <c r="NWY17" s="235"/>
      <c r="NWZ17" s="235"/>
      <c r="NXA17" s="235"/>
      <c r="NXB17" s="235"/>
      <c r="NXC17" s="235"/>
      <c r="NXD17" s="235"/>
      <c r="NXE17" s="235"/>
      <c r="NXF17" s="235"/>
      <c r="NXG17" s="235"/>
      <c r="NXH17" s="235"/>
      <c r="NXI17" s="235"/>
      <c r="NXJ17" s="235"/>
      <c r="NXK17" s="235"/>
      <c r="NXL17" s="235"/>
      <c r="NXM17" s="235"/>
      <c r="NXN17" s="235"/>
      <c r="NXO17" s="235"/>
      <c r="NXP17" s="235"/>
      <c r="NXQ17" s="235"/>
      <c r="NXR17" s="235"/>
      <c r="NXS17" s="235"/>
      <c r="NXT17" s="235"/>
      <c r="NXU17" s="235"/>
      <c r="NXV17" s="235"/>
      <c r="NXW17" s="235"/>
      <c r="NXX17" s="235"/>
      <c r="NXY17" s="235"/>
      <c r="NXZ17" s="235"/>
      <c r="NYA17" s="235"/>
      <c r="NYB17" s="235"/>
      <c r="NYC17" s="235"/>
      <c r="NYD17" s="235"/>
      <c r="NYE17" s="235"/>
      <c r="NYF17" s="235"/>
      <c r="NYG17" s="235"/>
      <c r="NYH17" s="235"/>
      <c r="NYI17" s="235"/>
      <c r="NYJ17" s="235"/>
      <c r="NYK17" s="235"/>
      <c r="NYL17" s="235"/>
      <c r="NYM17" s="235"/>
      <c r="NYN17" s="235"/>
      <c r="NYO17" s="235"/>
      <c r="NYP17" s="235"/>
      <c r="NYQ17" s="235"/>
      <c r="NYR17" s="235"/>
      <c r="NYS17" s="235"/>
      <c r="NYT17" s="235"/>
      <c r="NYU17" s="235"/>
      <c r="NYV17" s="235"/>
      <c r="NYW17" s="235"/>
      <c r="NYX17" s="235"/>
      <c r="NYY17" s="235"/>
      <c r="NYZ17" s="235"/>
      <c r="NZA17" s="235"/>
      <c r="NZB17" s="235"/>
      <c r="NZC17" s="235"/>
      <c r="NZD17" s="235"/>
      <c r="NZE17" s="235"/>
      <c r="NZF17" s="235"/>
      <c r="NZG17" s="235"/>
      <c r="NZH17" s="235"/>
      <c r="NZI17" s="235"/>
      <c r="NZJ17" s="235"/>
      <c r="NZK17" s="235"/>
      <c r="NZL17" s="235"/>
      <c r="NZM17" s="235"/>
      <c r="NZN17" s="235"/>
      <c r="NZO17" s="235"/>
      <c r="NZP17" s="235"/>
      <c r="NZQ17" s="235"/>
      <c r="NZR17" s="235"/>
      <c r="NZS17" s="235"/>
      <c r="NZT17" s="235"/>
      <c r="NZU17" s="235"/>
      <c r="NZV17" s="235"/>
      <c r="NZW17" s="235"/>
      <c r="NZX17" s="235"/>
      <c r="NZY17" s="235"/>
      <c r="NZZ17" s="235"/>
      <c r="OAA17" s="235"/>
      <c r="OAB17" s="235"/>
      <c r="OAC17" s="235"/>
      <c r="OAD17" s="235"/>
      <c r="OAE17" s="235"/>
      <c r="OAF17" s="235"/>
      <c r="OAG17" s="235"/>
      <c r="OAH17" s="235"/>
      <c r="OAI17" s="235"/>
      <c r="OAJ17" s="235"/>
      <c r="OAK17" s="235"/>
      <c r="OAL17" s="235"/>
      <c r="OAM17" s="235"/>
      <c r="OAN17" s="235"/>
      <c r="OAO17" s="235"/>
      <c r="OAP17" s="235"/>
      <c r="OAQ17" s="235"/>
      <c r="OAR17" s="235"/>
      <c r="OAS17" s="235"/>
      <c r="OAT17" s="235"/>
      <c r="OAU17" s="235"/>
      <c r="OAV17" s="235"/>
      <c r="OAW17" s="235"/>
      <c r="OAX17" s="235"/>
      <c r="OAY17" s="235"/>
      <c r="OAZ17" s="235"/>
      <c r="OBA17" s="235"/>
      <c r="OBB17" s="235"/>
      <c r="OBC17" s="235"/>
      <c r="OBD17" s="235"/>
      <c r="OBE17" s="235"/>
      <c r="OBF17" s="235"/>
      <c r="OBG17" s="235"/>
      <c r="OBH17" s="235"/>
      <c r="OBI17" s="235"/>
      <c r="OBJ17" s="235"/>
      <c r="OBK17" s="235"/>
      <c r="OBL17" s="235"/>
      <c r="OBM17" s="235"/>
      <c r="OBN17" s="235"/>
      <c r="OBO17" s="235"/>
      <c r="OBP17" s="235"/>
      <c r="OBQ17" s="235"/>
      <c r="OBR17" s="235"/>
      <c r="OBS17" s="235"/>
      <c r="OBT17" s="235"/>
      <c r="OBU17" s="235"/>
      <c r="OBV17" s="235"/>
      <c r="OBW17" s="235"/>
      <c r="OBX17" s="235"/>
      <c r="OBY17" s="235"/>
      <c r="OBZ17" s="235"/>
      <c r="OCA17" s="235"/>
      <c r="OCB17" s="235"/>
      <c r="OCC17" s="235"/>
      <c r="OCD17" s="235"/>
      <c r="OCE17" s="235"/>
      <c r="OCF17" s="235"/>
      <c r="OCG17" s="235"/>
      <c r="OCH17" s="235"/>
      <c r="OCI17" s="235"/>
      <c r="OCJ17" s="235"/>
      <c r="OCK17" s="235"/>
      <c r="OCL17" s="235"/>
      <c r="OCM17" s="235"/>
      <c r="OCN17" s="235"/>
      <c r="OCO17" s="235"/>
      <c r="OCP17" s="235"/>
      <c r="OCQ17" s="235"/>
      <c r="OCR17" s="235"/>
      <c r="OCS17" s="235"/>
      <c r="OCT17" s="235"/>
      <c r="OCU17" s="235"/>
      <c r="OCV17" s="235"/>
      <c r="OCW17" s="235"/>
      <c r="OCX17" s="235"/>
      <c r="OCY17" s="235"/>
      <c r="OCZ17" s="235"/>
      <c r="ODA17" s="235"/>
      <c r="ODB17" s="235"/>
      <c r="ODC17" s="235"/>
      <c r="ODD17" s="235"/>
      <c r="ODE17" s="235"/>
      <c r="ODF17" s="235"/>
      <c r="ODG17" s="235"/>
      <c r="ODH17" s="235"/>
      <c r="ODI17" s="235"/>
      <c r="ODJ17" s="235"/>
      <c r="ODK17" s="235"/>
      <c r="ODL17" s="235"/>
      <c r="ODM17" s="235"/>
      <c r="ODN17" s="235"/>
      <c r="ODO17" s="235"/>
      <c r="ODP17" s="235"/>
      <c r="ODQ17" s="235"/>
      <c r="ODR17" s="235"/>
      <c r="ODS17" s="235"/>
      <c r="ODT17" s="235"/>
      <c r="ODU17" s="235"/>
      <c r="ODV17" s="235"/>
      <c r="ODW17" s="235"/>
      <c r="ODX17" s="235"/>
      <c r="ODY17" s="235"/>
      <c r="ODZ17" s="235"/>
      <c r="OEA17" s="235"/>
      <c r="OEB17" s="235"/>
      <c r="OEC17" s="235"/>
      <c r="OED17" s="235"/>
      <c r="OEE17" s="235"/>
      <c r="OEF17" s="235"/>
      <c r="OEG17" s="235"/>
      <c r="OEH17" s="235"/>
      <c r="OEI17" s="235"/>
      <c r="OEJ17" s="235"/>
      <c r="OEK17" s="235"/>
      <c r="OEL17" s="235"/>
      <c r="OEM17" s="235"/>
      <c r="OEN17" s="235"/>
      <c r="OEO17" s="235"/>
      <c r="OEP17" s="235"/>
      <c r="OEQ17" s="235"/>
      <c r="OER17" s="235"/>
      <c r="OES17" s="235"/>
      <c r="OET17" s="235"/>
      <c r="OEU17" s="235"/>
      <c r="OEV17" s="235"/>
      <c r="OEW17" s="235"/>
      <c r="OEX17" s="235"/>
      <c r="OEY17" s="235"/>
      <c r="OEZ17" s="235"/>
      <c r="OFA17" s="235"/>
      <c r="OFB17" s="235"/>
      <c r="OFC17" s="235"/>
      <c r="OFD17" s="235"/>
      <c r="OFE17" s="235"/>
      <c r="OFF17" s="235"/>
      <c r="OFG17" s="235"/>
      <c r="OFH17" s="235"/>
      <c r="OFI17" s="235"/>
      <c r="OFJ17" s="235"/>
      <c r="OFK17" s="235"/>
      <c r="OFL17" s="235"/>
      <c r="OFM17" s="235"/>
      <c r="OFN17" s="235"/>
      <c r="OFO17" s="235"/>
      <c r="OFP17" s="235"/>
      <c r="OFQ17" s="235"/>
      <c r="OFR17" s="235"/>
      <c r="OFS17" s="235"/>
      <c r="OFT17" s="235"/>
      <c r="OFU17" s="235"/>
      <c r="OFV17" s="235"/>
      <c r="OFW17" s="235"/>
      <c r="OFX17" s="235"/>
      <c r="OFY17" s="235"/>
      <c r="OFZ17" s="235"/>
      <c r="OGA17" s="235"/>
      <c r="OGB17" s="235"/>
      <c r="OGC17" s="235"/>
      <c r="OGD17" s="235"/>
      <c r="OGE17" s="235"/>
      <c r="OGF17" s="235"/>
      <c r="OGG17" s="235"/>
      <c r="OGH17" s="235"/>
      <c r="OGI17" s="235"/>
      <c r="OGJ17" s="235"/>
      <c r="OGK17" s="235"/>
      <c r="OGL17" s="235"/>
      <c r="OGM17" s="235"/>
      <c r="OGN17" s="235"/>
      <c r="OGO17" s="235"/>
      <c r="OGP17" s="235"/>
      <c r="OGQ17" s="235"/>
      <c r="OGR17" s="235"/>
      <c r="OGS17" s="235"/>
      <c r="OGT17" s="235"/>
      <c r="OGU17" s="235"/>
      <c r="OGV17" s="235"/>
      <c r="OGW17" s="235"/>
      <c r="OGX17" s="235"/>
      <c r="OGY17" s="235"/>
      <c r="OGZ17" s="235"/>
      <c r="OHA17" s="235"/>
      <c r="OHB17" s="235"/>
      <c r="OHC17" s="235"/>
      <c r="OHD17" s="235"/>
      <c r="OHE17" s="235"/>
      <c r="OHF17" s="235"/>
      <c r="OHG17" s="235"/>
      <c r="OHH17" s="235"/>
      <c r="OHI17" s="235"/>
      <c r="OHJ17" s="235"/>
      <c r="OHK17" s="235"/>
      <c r="OHL17" s="235"/>
      <c r="OHM17" s="235"/>
      <c r="OHN17" s="235"/>
      <c r="OHO17" s="235"/>
      <c r="OHP17" s="235"/>
      <c r="OHQ17" s="235"/>
      <c r="OHR17" s="235"/>
      <c r="OHS17" s="235"/>
      <c r="OHT17" s="235"/>
      <c r="OHU17" s="235"/>
      <c r="OHV17" s="235"/>
      <c r="OHW17" s="235"/>
      <c r="OHX17" s="235"/>
      <c r="OHY17" s="235"/>
      <c r="OHZ17" s="235"/>
      <c r="OIA17" s="235"/>
      <c r="OIB17" s="235"/>
      <c r="OIC17" s="235"/>
      <c r="OID17" s="235"/>
      <c r="OIE17" s="235"/>
      <c r="OIF17" s="235"/>
      <c r="OIG17" s="235"/>
      <c r="OIH17" s="235"/>
      <c r="OII17" s="235"/>
      <c r="OIJ17" s="235"/>
      <c r="OIK17" s="235"/>
      <c r="OIL17" s="235"/>
      <c r="OIM17" s="235"/>
      <c r="OIN17" s="235"/>
      <c r="OIO17" s="235"/>
      <c r="OIP17" s="235"/>
      <c r="OIQ17" s="235"/>
      <c r="OIR17" s="235"/>
      <c r="OIS17" s="235"/>
      <c r="OIT17" s="235"/>
      <c r="OIU17" s="235"/>
      <c r="OIV17" s="235"/>
      <c r="OIW17" s="235"/>
      <c r="OIX17" s="235"/>
      <c r="OIY17" s="235"/>
      <c r="OIZ17" s="235"/>
      <c r="OJA17" s="235"/>
      <c r="OJB17" s="235"/>
      <c r="OJC17" s="235"/>
      <c r="OJD17" s="235"/>
      <c r="OJE17" s="235"/>
      <c r="OJF17" s="235"/>
      <c r="OJG17" s="235"/>
      <c r="OJH17" s="235"/>
      <c r="OJI17" s="235"/>
      <c r="OJJ17" s="235"/>
      <c r="OJK17" s="235"/>
      <c r="OJL17" s="235"/>
      <c r="OJM17" s="235"/>
      <c r="OJN17" s="235"/>
      <c r="OJO17" s="235"/>
      <c r="OJP17" s="235"/>
      <c r="OJQ17" s="235"/>
      <c r="OJR17" s="235"/>
      <c r="OJS17" s="235"/>
      <c r="OJT17" s="235"/>
      <c r="OJU17" s="235"/>
      <c r="OJV17" s="235"/>
      <c r="OJW17" s="235"/>
      <c r="OJX17" s="235"/>
      <c r="OJY17" s="235"/>
      <c r="OJZ17" s="235"/>
      <c r="OKA17" s="235"/>
      <c r="OKB17" s="235"/>
      <c r="OKC17" s="235"/>
      <c r="OKD17" s="235"/>
      <c r="OKE17" s="235"/>
      <c r="OKF17" s="235"/>
      <c r="OKG17" s="235"/>
      <c r="OKH17" s="235"/>
      <c r="OKI17" s="235"/>
      <c r="OKJ17" s="235"/>
      <c r="OKK17" s="235"/>
      <c r="OKL17" s="235"/>
      <c r="OKM17" s="235"/>
      <c r="OKN17" s="235"/>
      <c r="OKO17" s="235"/>
      <c r="OKP17" s="235"/>
      <c r="OKQ17" s="235"/>
      <c r="OKR17" s="235"/>
      <c r="OKS17" s="235"/>
      <c r="OKT17" s="235"/>
      <c r="OKU17" s="235"/>
      <c r="OKV17" s="235"/>
      <c r="OKW17" s="235"/>
      <c r="OKX17" s="235"/>
      <c r="OKY17" s="235"/>
      <c r="OKZ17" s="235"/>
      <c r="OLA17" s="235"/>
      <c r="OLB17" s="235"/>
      <c r="OLC17" s="235"/>
      <c r="OLD17" s="235"/>
      <c r="OLE17" s="235"/>
      <c r="OLF17" s="235"/>
      <c r="OLG17" s="235"/>
      <c r="OLH17" s="235"/>
      <c r="OLI17" s="235"/>
      <c r="OLJ17" s="235"/>
      <c r="OLK17" s="235"/>
      <c r="OLL17" s="235"/>
      <c r="OLM17" s="235"/>
      <c r="OLN17" s="235"/>
      <c r="OLO17" s="235"/>
      <c r="OLP17" s="235"/>
      <c r="OLQ17" s="235"/>
      <c r="OLR17" s="235"/>
      <c r="OLS17" s="235"/>
      <c r="OLT17" s="235"/>
      <c r="OLU17" s="235"/>
      <c r="OLV17" s="235"/>
      <c r="OLW17" s="235"/>
      <c r="OLX17" s="235"/>
      <c r="OLY17" s="235"/>
      <c r="OLZ17" s="235"/>
      <c r="OMA17" s="235"/>
      <c r="OMB17" s="235"/>
      <c r="OMC17" s="235"/>
      <c r="OMD17" s="235"/>
      <c r="OME17" s="235"/>
      <c r="OMF17" s="235"/>
      <c r="OMG17" s="235"/>
      <c r="OMH17" s="235"/>
      <c r="OMI17" s="235"/>
      <c r="OMJ17" s="235"/>
      <c r="OMK17" s="235"/>
      <c r="OML17" s="235"/>
      <c r="OMM17" s="235"/>
      <c r="OMN17" s="235"/>
      <c r="OMO17" s="235"/>
      <c r="OMP17" s="235"/>
      <c r="OMQ17" s="235"/>
      <c r="OMR17" s="235"/>
      <c r="OMS17" s="235"/>
      <c r="OMT17" s="235"/>
      <c r="OMU17" s="235"/>
      <c r="OMV17" s="235"/>
      <c r="OMW17" s="235"/>
      <c r="OMX17" s="235"/>
      <c r="OMY17" s="235"/>
      <c r="OMZ17" s="235"/>
      <c r="ONA17" s="235"/>
      <c r="ONB17" s="235"/>
      <c r="ONC17" s="235"/>
      <c r="OND17" s="235"/>
      <c r="ONE17" s="235"/>
      <c r="ONF17" s="235"/>
      <c r="ONG17" s="235"/>
      <c r="ONH17" s="235"/>
      <c r="ONI17" s="235"/>
      <c r="ONJ17" s="235"/>
      <c r="ONK17" s="235"/>
      <c r="ONL17" s="235"/>
      <c r="ONM17" s="235"/>
      <c r="ONN17" s="235"/>
      <c r="ONO17" s="235"/>
      <c r="ONP17" s="235"/>
      <c r="ONQ17" s="235"/>
      <c r="ONR17" s="235"/>
      <c r="ONS17" s="235"/>
      <c r="ONT17" s="235"/>
      <c r="ONU17" s="235"/>
      <c r="ONV17" s="235"/>
      <c r="ONW17" s="235"/>
      <c r="ONX17" s="235"/>
      <c r="ONY17" s="235"/>
      <c r="ONZ17" s="235"/>
      <c r="OOA17" s="235"/>
      <c r="OOB17" s="235"/>
      <c r="OOC17" s="235"/>
      <c r="OOD17" s="235"/>
      <c r="OOE17" s="235"/>
      <c r="OOF17" s="235"/>
      <c r="OOG17" s="235"/>
      <c r="OOH17" s="235"/>
      <c r="OOI17" s="235"/>
      <c r="OOJ17" s="235"/>
      <c r="OOK17" s="235"/>
      <c r="OOL17" s="235"/>
      <c r="OOM17" s="235"/>
      <c r="OON17" s="235"/>
      <c r="OOO17" s="235"/>
      <c r="OOP17" s="235"/>
      <c r="OOQ17" s="235"/>
      <c r="OOR17" s="235"/>
      <c r="OOS17" s="235"/>
      <c r="OOT17" s="235"/>
      <c r="OOU17" s="235"/>
      <c r="OOV17" s="235"/>
      <c r="OOW17" s="235"/>
      <c r="OOX17" s="235"/>
      <c r="OOY17" s="235"/>
      <c r="OOZ17" s="235"/>
      <c r="OPA17" s="235"/>
      <c r="OPB17" s="235"/>
      <c r="OPC17" s="235"/>
      <c r="OPD17" s="235"/>
      <c r="OPE17" s="235"/>
      <c r="OPF17" s="235"/>
      <c r="OPG17" s="235"/>
      <c r="OPH17" s="235"/>
      <c r="OPI17" s="235"/>
      <c r="OPJ17" s="235"/>
      <c r="OPK17" s="235"/>
      <c r="OPL17" s="235"/>
      <c r="OPM17" s="235"/>
      <c r="OPN17" s="235"/>
      <c r="OPO17" s="235"/>
      <c r="OPP17" s="235"/>
      <c r="OPQ17" s="235"/>
      <c r="OPR17" s="235"/>
      <c r="OPS17" s="235"/>
      <c r="OPT17" s="235"/>
      <c r="OPU17" s="235"/>
      <c r="OPV17" s="235"/>
      <c r="OPW17" s="235"/>
      <c r="OPX17" s="235"/>
      <c r="OPY17" s="235"/>
      <c r="OPZ17" s="235"/>
      <c r="OQA17" s="235"/>
      <c r="OQB17" s="235"/>
      <c r="OQC17" s="235"/>
      <c r="OQD17" s="235"/>
      <c r="OQE17" s="235"/>
      <c r="OQF17" s="235"/>
      <c r="OQG17" s="235"/>
      <c r="OQH17" s="235"/>
      <c r="OQI17" s="235"/>
      <c r="OQJ17" s="235"/>
      <c r="OQK17" s="235"/>
      <c r="OQL17" s="235"/>
      <c r="OQM17" s="235"/>
      <c r="OQN17" s="235"/>
      <c r="OQO17" s="235"/>
      <c r="OQP17" s="235"/>
      <c r="OQQ17" s="235"/>
      <c r="OQR17" s="235"/>
      <c r="OQS17" s="235"/>
      <c r="OQT17" s="235"/>
      <c r="OQU17" s="235"/>
      <c r="OQV17" s="235"/>
      <c r="OQW17" s="235"/>
      <c r="OQX17" s="235"/>
      <c r="OQY17" s="235"/>
      <c r="OQZ17" s="235"/>
      <c r="ORA17" s="235"/>
      <c r="ORB17" s="235"/>
      <c r="ORC17" s="235"/>
      <c r="ORD17" s="235"/>
      <c r="ORE17" s="235"/>
      <c r="ORF17" s="235"/>
      <c r="ORG17" s="235"/>
      <c r="ORH17" s="235"/>
      <c r="ORI17" s="235"/>
      <c r="ORJ17" s="235"/>
      <c r="ORK17" s="235"/>
      <c r="ORL17" s="235"/>
      <c r="ORM17" s="235"/>
      <c r="ORN17" s="235"/>
      <c r="ORO17" s="235"/>
      <c r="ORP17" s="235"/>
      <c r="ORQ17" s="235"/>
      <c r="ORR17" s="235"/>
      <c r="ORS17" s="235"/>
      <c r="ORT17" s="235"/>
      <c r="ORU17" s="235"/>
      <c r="ORV17" s="235"/>
      <c r="ORW17" s="235"/>
      <c r="ORX17" s="235"/>
      <c r="ORY17" s="235"/>
      <c r="ORZ17" s="235"/>
      <c r="OSA17" s="235"/>
      <c r="OSB17" s="235"/>
      <c r="OSC17" s="235"/>
      <c r="OSD17" s="235"/>
      <c r="OSE17" s="235"/>
      <c r="OSF17" s="235"/>
      <c r="OSG17" s="235"/>
      <c r="OSH17" s="235"/>
      <c r="OSI17" s="235"/>
      <c r="OSJ17" s="235"/>
      <c r="OSK17" s="235"/>
      <c r="OSL17" s="235"/>
      <c r="OSM17" s="235"/>
      <c r="OSN17" s="235"/>
      <c r="OSO17" s="235"/>
      <c r="OSP17" s="235"/>
      <c r="OSQ17" s="235"/>
      <c r="OSR17" s="235"/>
      <c r="OSS17" s="235"/>
      <c r="OST17" s="235"/>
      <c r="OSU17" s="235"/>
      <c r="OSV17" s="235"/>
      <c r="OSW17" s="235"/>
      <c r="OSX17" s="235"/>
      <c r="OSY17" s="235"/>
      <c r="OSZ17" s="235"/>
      <c r="OTA17" s="235"/>
      <c r="OTB17" s="235"/>
      <c r="OTC17" s="235"/>
      <c r="OTD17" s="235"/>
      <c r="OTE17" s="235"/>
      <c r="OTF17" s="235"/>
      <c r="OTG17" s="235"/>
      <c r="OTH17" s="235"/>
      <c r="OTI17" s="235"/>
      <c r="OTJ17" s="235"/>
      <c r="OTK17" s="235"/>
      <c r="OTL17" s="235"/>
      <c r="OTM17" s="235"/>
      <c r="OTN17" s="235"/>
      <c r="OTO17" s="235"/>
      <c r="OTP17" s="235"/>
      <c r="OTQ17" s="235"/>
      <c r="OTR17" s="235"/>
      <c r="OTS17" s="235"/>
      <c r="OTT17" s="235"/>
      <c r="OTU17" s="235"/>
      <c r="OTV17" s="235"/>
      <c r="OTW17" s="235"/>
      <c r="OTX17" s="235"/>
      <c r="OTY17" s="235"/>
      <c r="OTZ17" s="235"/>
      <c r="OUA17" s="235"/>
      <c r="OUB17" s="235"/>
      <c r="OUC17" s="235"/>
      <c r="OUD17" s="235"/>
      <c r="OUE17" s="235"/>
      <c r="OUF17" s="235"/>
      <c r="OUG17" s="235"/>
      <c r="OUH17" s="235"/>
      <c r="OUI17" s="235"/>
      <c r="OUJ17" s="235"/>
      <c r="OUK17" s="235"/>
      <c r="OUL17" s="235"/>
      <c r="OUM17" s="235"/>
      <c r="OUN17" s="235"/>
      <c r="OUO17" s="235"/>
      <c r="OUP17" s="235"/>
      <c r="OUQ17" s="235"/>
      <c r="OUR17" s="235"/>
      <c r="OUS17" s="235"/>
      <c r="OUT17" s="235"/>
      <c r="OUU17" s="235"/>
      <c r="OUV17" s="235"/>
      <c r="OUW17" s="235"/>
      <c r="OUX17" s="235"/>
      <c r="OUY17" s="235"/>
      <c r="OUZ17" s="235"/>
      <c r="OVA17" s="235"/>
      <c r="OVB17" s="235"/>
      <c r="OVC17" s="235"/>
      <c r="OVD17" s="235"/>
      <c r="OVE17" s="235"/>
      <c r="OVF17" s="235"/>
      <c r="OVG17" s="235"/>
      <c r="OVH17" s="235"/>
      <c r="OVI17" s="235"/>
      <c r="OVJ17" s="235"/>
      <c r="OVK17" s="235"/>
      <c r="OVL17" s="235"/>
      <c r="OVM17" s="235"/>
      <c r="OVN17" s="235"/>
      <c r="OVO17" s="235"/>
      <c r="OVP17" s="235"/>
      <c r="OVQ17" s="235"/>
      <c r="OVR17" s="235"/>
      <c r="OVS17" s="235"/>
      <c r="OVT17" s="235"/>
      <c r="OVU17" s="235"/>
      <c r="OVV17" s="235"/>
      <c r="OVW17" s="235"/>
      <c r="OVX17" s="235"/>
      <c r="OVY17" s="235"/>
      <c r="OVZ17" s="235"/>
      <c r="OWA17" s="235"/>
      <c r="OWB17" s="235"/>
      <c r="OWC17" s="235"/>
      <c r="OWD17" s="235"/>
      <c r="OWE17" s="235"/>
      <c r="OWF17" s="235"/>
      <c r="OWG17" s="235"/>
      <c r="OWH17" s="235"/>
      <c r="OWI17" s="235"/>
      <c r="OWJ17" s="235"/>
      <c r="OWK17" s="235"/>
      <c r="OWL17" s="235"/>
      <c r="OWM17" s="235"/>
      <c r="OWN17" s="235"/>
      <c r="OWO17" s="235"/>
      <c r="OWP17" s="235"/>
      <c r="OWQ17" s="235"/>
      <c r="OWR17" s="235"/>
      <c r="OWS17" s="235"/>
      <c r="OWT17" s="235"/>
      <c r="OWU17" s="235"/>
      <c r="OWV17" s="235"/>
      <c r="OWW17" s="235"/>
      <c r="OWX17" s="235"/>
      <c r="OWY17" s="235"/>
      <c r="OWZ17" s="235"/>
      <c r="OXA17" s="235"/>
      <c r="OXB17" s="235"/>
      <c r="OXC17" s="235"/>
      <c r="OXD17" s="235"/>
      <c r="OXE17" s="235"/>
      <c r="OXF17" s="235"/>
      <c r="OXG17" s="235"/>
      <c r="OXH17" s="235"/>
      <c r="OXI17" s="235"/>
      <c r="OXJ17" s="235"/>
      <c r="OXK17" s="235"/>
      <c r="OXL17" s="235"/>
      <c r="OXM17" s="235"/>
      <c r="OXN17" s="235"/>
      <c r="OXO17" s="235"/>
      <c r="OXP17" s="235"/>
      <c r="OXQ17" s="235"/>
      <c r="OXR17" s="235"/>
      <c r="OXS17" s="235"/>
      <c r="OXT17" s="235"/>
      <c r="OXU17" s="235"/>
      <c r="OXV17" s="235"/>
      <c r="OXW17" s="235"/>
      <c r="OXX17" s="235"/>
      <c r="OXY17" s="235"/>
      <c r="OXZ17" s="235"/>
      <c r="OYA17" s="235"/>
      <c r="OYB17" s="235"/>
      <c r="OYC17" s="235"/>
      <c r="OYD17" s="235"/>
      <c r="OYE17" s="235"/>
      <c r="OYF17" s="235"/>
      <c r="OYG17" s="235"/>
      <c r="OYH17" s="235"/>
      <c r="OYI17" s="235"/>
      <c r="OYJ17" s="235"/>
      <c r="OYK17" s="235"/>
      <c r="OYL17" s="235"/>
      <c r="OYM17" s="235"/>
      <c r="OYN17" s="235"/>
      <c r="OYO17" s="235"/>
      <c r="OYP17" s="235"/>
      <c r="OYQ17" s="235"/>
      <c r="OYR17" s="235"/>
      <c r="OYS17" s="235"/>
      <c r="OYT17" s="235"/>
      <c r="OYU17" s="235"/>
      <c r="OYV17" s="235"/>
      <c r="OYW17" s="235"/>
      <c r="OYX17" s="235"/>
      <c r="OYY17" s="235"/>
      <c r="OYZ17" s="235"/>
      <c r="OZA17" s="235"/>
      <c r="OZB17" s="235"/>
      <c r="OZC17" s="235"/>
      <c r="OZD17" s="235"/>
      <c r="OZE17" s="235"/>
      <c r="OZF17" s="235"/>
      <c r="OZG17" s="235"/>
      <c r="OZH17" s="235"/>
      <c r="OZI17" s="235"/>
      <c r="OZJ17" s="235"/>
      <c r="OZK17" s="235"/>
      <c r="OZL17" s="235"/>
      <c r="OZM17" s="235"/>
      <c r="OZN17" s="235"/>
      <c r="OZO17" s="235"/>
      <c r="OZP17" s="235"/>
      <c r="OZQ17" s="235"/>
      <c r="OZR17" s="235"/>
      <c r="OZS17" s="235"/>
      <c r="OZT17" s="235"/>
      <c r="OZU17" s="235"/>
      <c r="OZV17" s="235"/>
      <c r="OZW17" s="235"/>
      <c r="OZX17" s="235"/>
      <c r="OZY17" s="235"/>
      <c r="OZZ17" s="235"/>
      <c r="PAA17" s="235"/>
      <c r="PAB17" s="235"/>
      <c r="PAC17" s="235"/>
      <c r="PAD17" s="235"/>
      <c r="PAE17" s="235"/>
      <c r="PAF17" s="235"/>
      <c r="PAG17" s="235"/>
      <c r="PAH17" s="235"/>
      <c r="PAI17" s="235"/>
      <c r="PAJ17" s="235"/>
      <c r="PAK17" s="235"/>
      <c r="PAL17" s="235"/>
      <c r="PAM17" s="235"/>
      <c r="PAN17" s="235"/>
      <c r="PAO17" s="235"/>
      <c r="PAP17" s="235"/>
      <c r="PAQ17" s="235"/>
      <c r="PAR17" s="235"/>
      <c r="PAS17" s="235"/>
      <c r="PAT17" s="235"/>
      <c r="PAU17" s="235"/>
      <c r="PAV17" s="235"/>
      <c r="PAW17" s="235"/>
      <c r="PAX17" s="235"/>
      <c r="PAY17" s="235"/>
      <c r="PAZ17" s="235"/>
      <c r="PBA17" s="235"/>
      <c r="PBB17" s="235"/>
      <c r="PBC17" s="235"/>
      <c r="PBD17" s="235"/>
      <c r="PBE17" s="235"/>
      <c r="PBF17" s="235"/>
      <c r="PBG17" s="235"/>
      <c r="PBH17" s="235"/>
      <c r="PBI17" s="235"/>
      <c r="PBJ17" s="235"/>
      <c r="PBK17" s="235"/>
      <c r="PBL17" s="235"/>
      <c r="PBM17" s="235"/>
      <c r="PBN17" s="235"/>
      <c r="PBO17" s="235"/>
      <c r="PBP17" s="235"/>
      <c r="PBQ17" s="235"/>
      <c r="PBR17" s="235"/>
      <c r="PBS17" s="235"/>
      <c r="PBT17" s="235"/>
      <c r="PBU17" s="235"/>
      <c r="PBV17" s="235"/>
      <c r="PBW17" s="235"/>
      <c r="PBX17" s="235"/>
      <c r="PBY17" s="235"/>
      <c r="PBZ17" s="235"/>
      <c r="PCA17" s="235"/>
      <c r="PCB17" s="235"/>
      <c r="PCC17" s="235"/>
      <c r="PCD17" s="235"/>
      <c r="PCE17" s="235"/>
      <c r="PCF17" s="235"/>
      <c r="PCG17" s="235"/>
      <c r="PCH17" s="235"/>
      <c r="PCI17" s="235"/>
      <c r="PCJ17" s="235"/>
      <c r="PCK17" s="235"/>
      <c r="PCL17" s="235"/>
      <c r="PCM17" s="235"/>
      <c r="PCN17" s="235"/>
      <c r="PCO17" s="235"/>
      <c r="PCP17" s="235"/>
      <c r="PCQ17" s="235"/>
      <c r="PCR17" s="235"/>
      <c r="PCS17" s="235"/>
      <c r="PCT17" s="235"/>
      <c r="PCU17" s="235"/>
      <c r="PCV17" s="235"/>
      <c r="PCW17" s="235"/>
      <c r="PCX17" s="235"/>
      <c r="PCY17" s="235"/>
      <c r="PCZ17" s="235"/>
      <c r="PDA17" s="235"/>
      <c r="PDB17" s="235"/>
      <c r="PDC17" s="235"/>
      <c r="PDD17" s="235"/>
      <c r="PDE17" s="235"/>
      <c r="PDF17" s="235"/>
      <c r="PDG17" s="235"/>
      <c r="PDH17" s="235"/>
      <c r="PDI17" s="235"/>
      <c r="PDJ17" s="235"/>
      <c r="PDK17" s="235"/>
      <c r="PDL17" s="235"/>
      <c r="PDM17" s="235"/>
      <c r="PDN17" s="235"/>
      <c r="PDO17" s="235"/>
      <c r="PDP17" s="235"/>
      <c r="PDQ17" s="235"/>
      <c r="PDR17" s="235"/>
      <c r="PDS17" s="235"/>
      <c r="PDT17" s="235"/>
      <c r="PDU17" s="235"/>
      <c r="PDV17" s="235"/>
      <c r="PDW17" s="235"/>
      <c r="PDX17" s="235"/>
      <c r="PDY17" s="235"/>
      <c r="PDZ17" s="235"/>
      <c r="PEA17" s="235"/>
      <c r="PEB17" s="235"/>
      <c r="PEC17" s="235"/>
      <c r="PED17" s="235"/>
      <c r="PEE17" s="235"/>
      <c r="PEF17" s="235"/>
      <c r="PEG17" s="235"/>
      <c r="PEH17" s="235"/>
      <c r="PEI17" s="235"/>
      <c r="PEJ17" s="235"/>
      <c r="PEK17" s="235"/>
      <c r="PEL17" s="235"/>
      <c r="PEM17" s="235"/>
      <c r="PEN17" s="235"/>
      <c r="PEO17" s="235"/>
      <c r="PEP17" s="235"/>
      <c r="PEQ17" s="235"/>
      <c r="PER17" s="235"/>
      <c r="PES17" s="235"/>
      <c r="PET17" s="235"/>
      <c r="PEU17" s="235"/>
      <c r="PEV17" s="235"/>
      <c r="PEW17" s="235"/>
      <c r="PEX17" s="235"/>
      <c r="PEY17" s="235"/>
      <c r="PEZ17" s="235"/>
      <c r="PFA17" s="235"/>
      <c r="PFB17" s="235"/>
      <c r="PFC17" s="235"/>
      <c r="PFD17" s="235"/>
      <c r="PFE17" s="235"/>
      <c r="PFF17" s="235"/>
      <c r="PFG17" s="235"/>
      <c r="PFH17" s="235"/>
      <c r="PFI17" s="235"/>
      <c r="PFJ17" s="235"/>
      <c r="PFK17" s="235"/>
      <c r="PFL17" s="235"/>
      <c r="PFM17" s="235"/>
      <c r="PFN17" s="235"/>
      <c r="PFO17" s="235"/>
      <c r="PFP17" s="235"/>
      <c r="PFQ17" s="235"/>
      <c r="PFR17" s="235"/>
      <c r="PFS17" s="235"/>
      <c r="PFT17" s="235"/>
      <c r="PFU17" s="235"/>
      <c r="PFV17" s="235"/>
      <c r="PFW17" s="235"/>
      <c r="PFX17" s="235"/>
      <c r="PFY17" s="235"/>
      <c r="PFZ17" s="235"/>
      <c r="PGA17" s="235"/>
      <c r="PGB17" s="235"/>
      <c r="PGC17" s="235"/>
      <c r="PGD17" s="235"/>
      <c r="PGE17" s="235"/>
      <c r="PGF17" s="235"/>
      <c r="PGG17" s="235"/>
      <c r="PGH17" s="235"/>
      <c r="PGI17" s="235"/>
      <c r="PGJ17" s="235"/>
      <c r="PGK17" s="235"/>
      <c r="PGL17" s="235"/>
      <c r="PGM17" s="235"/>
      <c r="PGN17" s="235"/>
      <c r="PGO17" s="235"/>
      <c r="PGP17" s="235"/>
      <c r="PGQ17" s="235"/>
      <c r="PGR17" s="235"/>
      <c r="PGS17" s="235"/>
      <c r="PGT17" s="235"/>
      <c r="PGU17" s="235"/>
      <c r="PGV17" s="235"/>
      <c r="PGW17" s="235"/>
      <c r="PGX17" s="235"/>
      <c r="PGY17" s="235"/>
      <c r="PGZ17" s="235"/>
      <c r="PHA17" s="235"/>
      <c r="PHB17" s="235"/>
      <c r="PHC17" s="235"/>
      <c r="PHD17" s="235"/>
      <c r="PHE17" s="235"/>
      <c r="PHF17" s="235"/>
      <c r="PHG17" s="235"/>
      <c r="PHH17" s="235"/>
      <c r="PHI17" s="235"/>
      <c r="PHJ17" s="235"/>
      <c r="PHK17" s="235"/>
      <c r="PHL17" s="235"/>
      <c r="PHM17" s="235"/>
      <c r="PHN17" s="235"/>
      <c r="PHO17" s="235"/>
      <c r="PHP17" s="235"/>
      <c r="PHQ17" s="235"/>
      <c r="PHR17" s="235"/>
      <c r="PHS17" s="235"/>
      <c r="PHT17" s="235"/>
      <c r="PHU17" s="235"/>
      <c r="PHV17" s="235"/>
      <c r="PHW17" s="235"/>
      <c r="PHX17" s="235"/>
      <c r="PHY17" s="235"/>
      <c r="PHZ17" s="235"/>
      <c r="PIA17" s="235"/>
      <c r="PIB17" s="235"/>
      <c r="PIC17" s="235"/>
      <c r="PID17" s="235"/>
      <c r="PIE17" s="235"/>
      <c r="PIF17" s="235"/>
      <c r="PIG17" s="235"/>
      <c r="PIH17" s="235"/>
      <c r="PII17" s="235"/>
      <c r="PIJ17" s="235"/>
      <c r="PIK17" s="235"/>
      <c r="PIL17" s="235"/>
      <c r="PIM17" s="235"/>
      <c r="PIN17" s="235"/>
      <c r="PIO17" s="235"/>
      <c r="PIP17" s="235"/>
      <c r="PIQ17" s="235"/>
      <c r="PIR17" s="235"/>
      <c r="PIS17" s="235"/>
      <c r="PIT17" s="235"/>
      <c r="PIU17" s="235"/>
      <c r="PIV17" s="235"/>
      <c r="PIW17" s="235"/>
      <c r="PIX17" s="235"/>
      <c r="PIY17" s="235"/>
      <c r="PIZ17" s="235"/>
      <c r="PJA17" s="235"/>
      <c r="PJB17" s="235"/>
      <c r="PJC17" s="235"/>
      <c r="PJD17" s="235"/>
      <c r="PJE17" s="235"/>
      <c r="PJF17" s="235"/>
      <c r="PJG17" s="235"/>
      <c r="PJH17" s="235"/>
      <c r="PJI17" s="235"/>
      <c r="PJJ17" s="235"/>
      <c r="PJK17" s="235"/>
      <c r="PJL17" s="235"/>
      <c r="PJM17" s="235"/>
      <c r="PJN17" s="235"/>
      <c r="PJO17" s="235"/>
      <c r="PJP17" s="235"/>
      <c r="PJQ17" s="235"/>
      <c r="PJR17" s="235"/>
      <c r="PJS17" s="235"/>
      <c r="PJT17" s="235"/>
      <c r="PJU17" s="235"/>
      <c r="PJV17" s="235"/>
      <c r="PJW17" s="235"/>
      <c r="PJX17" s="235"/>
      <c r="PJY17" s="235"/>
      <c r="PJZ17" s="235"/>
      <c r="PKA17" s="235"/>
      <c r="PKB17" s="235"/>
      <c r="PKC17" s="235"/>
      <c r="PKD17" s="235"/>
      <c r="PKE17" s="235"/>
      <c r="PKF17" s="235"/>
      <c r="PKG17" s="235"/>
      <c r="PKH17" s="235"/>
      <c r="PKI17" s="235"/>
      <c r="PKJ17" s="235"/>
      <c r="PKK17" s="235"/>
      <c r="PKL17" s="235"/>
      <c r="PKM17" s="235"/>
      <c r="PKN17" s="235"/>
      <c r="PKO17" s="235"/>
      <c r="PKP17" s="235"/>
      <c r="PKQ17" s="235"/>
      <c r="PKR17" s="235"/>
      <c r="PKS17" s="235"/>
      <c r="PKT17" s="235"/>
      <c r="PKU17" s="235"/>
      <c r="PKV17" s="235"/>
      <c r="PKW17" s="235"/>
      <c r="PKX17" s="235"/>
      <c r="PKY17" s="235"/>
      <c r="PKZ17" s="235"/>
      <c r="PLA17" s="235"/>
      <c r="PLB17" s="235"/>
      <c r="PLC17" s="235"/>
      <c r="PLD17" s="235"/>
      <c r="PLE17" s="235"/>
      <c r="PLF17" s="235"/>
      <c r="PLG17" s="235"/>
      <c r="PLH17" s="235"/>
      <c r="PLI17" s="235"/>
      <c r="PLJ17" s="235"/>
      <c r="PLK17" s="235"/>
      <c r="PLL17" s="235"/>
      <c r="PLM17" s="235"/>
      <c r="PLN17" s="235"/>
      <c r="PLO17" s="235"/>
      <c r="PLP17" s="235"/>
      <c r="PLQ17" s="235"/>
      <c r="PLR17" s="235"/>
      <c r="PLS17" s="235"/>
      <c r="PLT17" s="235"/>
      <c r="PLU17" s="235"/>
      <c r="PLV17" s="235"/>
      <c r="PLW17" s="235"/>
      <c r="PLX17" s="235"/>
      <c r="PLY17" s="235"/>
      <c r="PLZ17" s="235"/>
      <c r="PMA17" s="235"/>
      <c r="PMB17" s="235"/>
      <c r="PMC17" s="235"/>
      <c r="PMD17" s="235"/>
      <c r="PME17" s="235"/>
      <c r="PMF17" s="235"/>
      <c r="PMG17" s="235"/>
      <c r="PMH17" s="235"/>
      <c r="PMI17" s="235"/>
      <c r="PMJ17" s="235"/>
      <c r="PMK17" s="235"/>
      <c r="PML17" s="235"/>
      <c r="PMM17" s="235"/>
      <c r="PMN17" s="235"/>
      <c r="PMO17" s="235"/>
      <c r="PMP17" s="235"/>
      <c r="PMQ17" s="235"/>
      <c r="PMR17" s="235"/>
      <c r="PMS17" s="235"/>
      <c r="PMT17" s="235"/>
      <c r="PMU17" s="235"/>
      <c r="PMV17" s="235"/>
      <c r="PMW17" s="235"/>
      <c r="PMX17" s="235"/>
      <c r="PMY17" s="235"/>
      <c r="PMZ17" s="235"/>
      <c r="PNA17" s="235"/>
      <c r="PNB17" s="235"/>
      <c r="PNC17" s="235"/>
      <c r="PND17" s="235"/>
      <c r="PNE17" s="235"/>
      <c r="PNF17" s="235"/>
      <c r="PNG17" s="235"/>
      <c r="PNH17" s="235"/>
      <c r="PNI17" s="235"/>
      <c r="PNJ17" s="235"/>
      <c r="PNK17" s="235"/>
      <c r="PNL17" s="235"/>
      <c r="PNM17" s="235"/>
      <c r="PNN17" s="235"/>
      <c r="PNO17" s="235"/>
      <c r="PNP17" s="235"/>
      <c r="PNQ17" s="235"/>
      <c r="PNR17" s="235"/>
      <c r="PNS17" s="235"/>
      <c r="PNT17" s="235"/>
      <c r="PNU17" s="235"/>
      <c r="PNV17" s="235"/>
      <c r="PNW17" s="235"/>
      <c r="PNX17" s="235"/>
      <c r="PNY17" s="235"/>
      <c r="PNZ17" s="235"/>
      <c r="POA17" s="235"/>
      <c r="POB17" s="235"/>
      <c r="POC17" s="235"/>
      <c r="POD17" s="235"/>
      <c r="POE17" s="235"/>
      <c r="POF17" s="235"/>
      <c r="POG17" s="235"/>
      <c r="POH17" s="235"/>
      <c r="POI17" s="235"/>
      <c r="POJ17" s="235"/>
      <c r="POK17" s="235"/>
      <c r="POL17" s="235"/>
      <c r="POM17" s="235"/>
      <c r="PON17" s="235"/>
      <c r="POO17" s="235"/>
      <c r="POP17" s="235"/>
      <c r="POQ17" s="235"/>
      <c r="POR17" s="235"/>
      <c r="POS17" s="235"/>
      <c r="POT17" s="235"/>
      <c r="POU17" s="235"/>
      <c r="POV17" s="235"/>
      <c r="POW17" s="235"/>
      <c r="POX17" s="235"/>
      <c r="POY17" s="235"/>
      <c r="POZ17" s="235"/>
      <c r="PPA17" s="235"/>
      <c r="PPB17" s="235"/>
      <c r="PPC17" s="235"/>
      <c r="PPD17" s="235"/>
      <c r="PPE17" s="235"/>
      <c r="PPF17" s="235"/>
      <c r="PPG17" s="235"/>
      <c r="PPH17" s="235"/>
      <c r="PPI17" s="235"/>
      <c r="PPJ17" s="235"/>
      <c r="PPK17" s="235"/>
      <c r="PPL17" s="235"/>
      <c r="PPM17" s="235"/>
      <c r="PPN17" s="235"/>
      <c r="PPO17" s="235"/>
      <c r="PPP17" s="235"/>
      <c r="PPQ17" s="235"/>
      <c r="PPR17" s="235"/>
      <c r="PPS17" s="235"/>
      <c r="PPT17" s="235"/>
      <c r="PPU17" s="235"/>
      <c r="PPV17" s="235"/>
      <c r="PPW17" s="235"/>
      <c r="PPX17" s="235"/>
      <c r="PPY17" s="235"/>
      <c r="PPZ17" s="235"/>
      <c r="PQA17" s="235"/>
      <c r="PQB17" s="235"/>
      <c r="PQC17" s="235"/>
      <c r="PQD17" s="235"/>
      <c r="PQE17" s="235"/>
      <c r="PQF17" s="235"/>
      <c r="PQG17" s="235"/>
      <c r="PQH17" s="235"/>
      <c r="PQI17" s="235"/>
      <c r="PQJ17" s="235"/>
      <c r="PQK17" s="235"/>
      <c r="PQL17" s="235"/>
      <c r="PQM17" s="235"/>
      <c r="PQN17" s="235"/>
      <c r="PQO17" s="235"/>
      <c r="PQP17" s="235"/>
      <c r="PQQ17" s="235"/>
      <c r="PQR17" s="235"/>
      <c r="PQS17" s="235"/>
      <c r="PQT17" s="235"/>
      <c r="PQU17" s="235"/>
      <c r="PQV17" s="235"/>
      <c r="PQW17" s="235"/>
      <c r="PQX17" s="235"/>
      <c r="PQY17" s="235"/>
      <c r="PQZ17" s="235"/>
      <c r="PRA17" s="235"/>
      <c r="PRB17" s="235"/>
      <c r="PRC17" s="235"/>
      <c r="PRD17" s="235"/>
      <c r="PRE17" s="235"/>
      <c r="PRF17" s="235"/>
      <c r="PRG17" s="235"/>
      <c r="PRH17" s="235"/>
      <c r="PRI17" s="235"/>
      <c r="PRJ17" s="235"/>
      <c r="PRK17" s="235"/>
      <c r="PRL17" s="235"/>
      <c r="PRM17" s="235"/>
      <c r="PRN17" s="235"/>
      <c r="PRO17" s="235"/>
      <c r="PRP17" s="235"/>
      <c r="PRQ17" s="235"/>
      <c r="PRR17" s="235"/>
      <c r="PRS17" s="235"/>
      <c r="PRT17" s="235"/>
      <c r="PRU17" s="235"/>
      <c r="PRV17" s="235"/>
      <c r="PRW17" s="235"/>
      <c r="PRX17" s="235"/>
      <c r="PRY17" s="235"/>
      <c r="PRZ17" s="235"/>
      <c r="PSA17" s="235"/>
      <c r="PSB17" s="235"/>
      <c r="PSC17" s="235"/>
      <c r="PSD17" s="235"/>
      <c r="PSE17" s="235"/>
      <c r="PSF17" s="235"/>
      <c r="PSG17" s="235"/>
      <c r="PSH17" s="235"/>
      <c r="PSI17" s="235"/>
      <c r="PSJ17" s="235"/>
      <c r="PSK17" s="235"/>
      <c r="PSL17" s="235"/>
      <c r="PSM17" s="235"/>
      <c r="PSN17" s="235"/>
      <c r="PSO17" s="235"/>
      <c r="PSP17" s="235"/>
      <c r="PSQ17" s="235"/>
      <c r="PSR17" s="235"/>
      <c r="PSS17" s="235"/>
      <c r="PST17" s="235"/>
      <c r="PSU17" s="235"/>
      <c r="PSV17" s="235"/>
      <c r="PSW17" s="235"/>
      <c r="PSX17" s="235"/>
      <c r="PSY17" s="235"/>
      <c r="PSZ17" s="235"/>
      <c r="PTA17" s="235"/>
      <c r="PTB17" s="235"/>
      <c r="PTC17" s="235"/>
      <c r="PTD17" s="235"/>
      <c r="PTE17" s="235"/>
      <c r="PTF17" s="235"/>
      <c r="PTG17" s="235"/>
      <c r="PTH17" s="235"/>
      <c r="PTI17" s="235"/>
      <c r="PTJ17" s="235"/>
      <c r="PTK17" s="235"/>
      <c r="PTL17" s="235"/>
      <c r="PTM17" s="235"/>
      <c r="PTN17" s="235"/>
      <c r="PTO17" s="235"/>
      <c r="PTP17" s="235"/>
      <c r="PTQ17" s="235"/>
      <c r="PTR17" s="235"/>
      <c r="PTS17" s="235"/>
      <c r="PTT17" s="235"/>
      <c r="PTU17" s="235"/>
      <c r="PTV17" s="235"/>
      <c r="PTW17" s="235"/>
      <c r="PTX17" s="235"/>
      <c r="PTY17" s="235"/>
      <c r="PTZ17" s="235"/>
      <c r="PUA17" s="235"/>
      <c r="PUB17" s="235"/>
      <c r="PUC17" s="235"/>
      <c r="PUD17" s="235"/>
      <c r="PUE17" s="235"/>
      <c r="PUF17" s="235"/>
      <c r="PUG17" s="235"/>
      <c r="PUH17" s="235"/>
      <c r="PUI17" s="235"/>
      <c r="PUJ17" s="235"/>
      <c r="PUK17" s="235"/>
      <c r="PUL17" s="235"/>
      <c r="PUM17" s="235"/>
      <c r="PUN17" s="235"/>
      <c r="PUO17" s="235"/>
      <c r="PUP17" s="235"/>
      <c r="PUQ17" s="235"/>
      <c r="PUR17" s="235"/>
      <c r="PUS17" s="235"/>
      <c r="PUT17" s="235"/>
      <c r="PUU17" s="235"/>
      <c r="PUV17" s="235"/>
      <c r="PUW17" s="235"/>
      <c r="PUX17" s="235"/>
      <c r="PUY17" s="235"/>
      <c r="PUZ17" s="235"/>
      <c r="PVA17" s="235"/>
      <c r="PVB17" s="235"/>
      <c r="PVC17" s="235"/>
      <c r="PVD17" s="235"/>
      <c r="PVE17" s="235"/>
      <c r="PVF17" s="235"/>
      <c r="PVG17" s="235"/>
      <c r="PVH17" s="235"/>
      <c r="PVI17" s="235"/>
      <c r="PVJ17" s="235"/>
      <c r="PVK17" s="235"/>
      <c r="PVL17" s="235"/>
      <c r="PVM17" s="235"/>
      <c r="PVN17" s="235"/>
      <c r="PVO17" s="235"/>
      <c r="PVP17" s="235"/>
      <c r="PVQ17" s="235"/>
      <c r="PVR17" s="235"/>
      <c r="PVS17" s="235"/>
      <c r="PVT17" s="235"/>
      <c r="PVU17" s="235"/>
      <c r="PVV17" s="235"/>
      <c r="PVW17" s="235"/>
      <c r="PVX17" s="235"/>
      <c r="PVY17" s="235"/>
      <c r="PVZ17" s="235"/>
      <c r="PWA17" s="235"/>
      <c r="PWB17" s="235"/>
      <c r="PWC17" s="235"/>
      <c r="PWD17" s="235"/>
      <c r="PWE17" s="235"/>
      <c r="PWF17" s="235"/>
      <c r="PWG17" s="235"/>
      <c r="PWH17" s="235"/>
      <c r="PWI17" s="235"/>
      <c r="PWJ17" s="235"/>
      <c r="PWK17" s="235"/>
      <c r="PWL17" s="235"/>
      <c r="PWM17" s="235"/>
      <c r="PWN17" s="235"/>
      <c r="PWO17" s="235"/>
      <c r="PWP17" s="235"/>
      <c r="PWQ17" s="235"/>
      <c r="PWR17" s="235"/>
      <c r="PWS17" s="235"/>
      <c r="PWT17" s="235"/>
      <c r="PWU17" s="235"/>
      <c r="PWV17" s="235"/>
      <c r="PWW17" s="235"/>
      <c r="PWX17" s="235"/>
      <c r="PWY17" s="235"/>
      <c r="PWZ17" s="235"/>
      <c r="PXA17" s="235"/>
      <c r="PXB17" s="235"/>
      <c r="PXC17" s="235"/>
      <c r="PXD17" s="235"/>
      <c r="PXE17" s="235"/>
      <c r="PXF17" s="235"/>
      <c r="PXG17" s="235"/>
      <c r="PXH17" s="235"/>
      <c r="PXI17" s="235"/>
      <c r="PXJ17" s="235"/>
      <c r="PXK17" s="235"/>
      <c r="PXL17" s="235"/>
      <c r="PXM17" s="235"/>
      <c r="PXN17" s="235"/>
      <c r="PXO17" s="235"/>
      <c r="PXP17" s="235"/>
      <c r="PXQ17" s="235"/>
      <c r="PXR17" s="235"/>
      <c r="PXS17" s="235"/>
      <c r="PXT17" s="235"/>
      <c r="PXU17" s="235"/>
      <c r="PXV17" s="235"/>
      <c r="PXW17" s="235"/>
      <c r="PXX17" s="235"/>
      <c r="PXY17" s="235"/>
      <c r="PXZ17" s="235"/>
      <c r="PYA17" s="235"/>
      <c r="PYB17" s="235"/>
      <c r="PYC17" s="235"/>
      <c r="PYD17" s="235"/>
      <c r="PYE17" s="235"/>
      <c r="PYF17" s="235"/>
      <c r="PYG17" s="235"/>
      <c r="PYH17" s="235"/>
      <c r="PYI17" s="235"/>
      <c r="PYJ17" s="235"/>
      <c r="PYK17" s="235"/>
      <c r="PYL17" s="235"/>
      <c r="PYM17" s="235"/>
      <c r="PYN17" s="235"/>
      <c r="PYO17" s="235"/>
      <c r="PYP17" s="235"/>
      <c r="PYQ17" s="235"/>
      <c r="PYR17" s="235"/>
      <c r="PYS17" s="235"/>
      <c r="PYT17" s="235"/>
      <c r="PYU17" s="235"/>
      <c r="PYV17" s="235"/>
      <c r="PYW17" s="235"/>
      <c r="PYX17" s="235"/>
      <c r="PYY17" s="235"/>
      <c r="PYZ17" s="235"/>
      <c r="PZA17" s="235"/>
      <c r="PZB17" s="235"/>
      <c r="PZC17" s="235"/>
      <c r="PZD17" s="235"/>
      <c r="PZE17" s="235"/>
      <c r="PZF17" s="235"/>
      <c r="PZG17" s="235"/>
      <c r="PZH17" s="235"/>
      <c r="PZI17" s="235"/>
      <c r="PZJ17" s="235"/>
      <c r="PZK17" s="235"/>
      <c r="PZL17" s="235"/>
      <c r="PZM17" s="235"/>
      <c r="PZN17" s="235"/>
      <c r="PZO17" s="235"/>
      <c r="PZP17" s="235"/>
      <c r="PZQ17" s="235"/>
      <c r="PZR17" s="235"/>
      <c r="PZS17" s="235"/>
      <c r="PZT17" s="235"/>
      <c r="PZU17" s="235"/>
      <c r="PZV17" s="235"/>
      <c r="PZW17" s="235"/>
      <c r="PZX17" s="235"/>
      <c r="PZY17" s="235"/>
      <c r="PZZ17" s="235"/>
      <c r="QAA17" s="235"/>
      <c r="QAB17" s="235"/>
      <c r="QAC17" s="235"/>
      <c r="QAD17" s="235"/>
      <c r="QAE17" s="235"/>
      <c r="QAF17" s="235"/>
      <c r="QAG17" s="235"/>
      <c r="QAH17" s="235"/>
      <c r="QAI17" s="235"/>
      <c r="QAJ17" s="235"/>
      <c r="QAK17" s="235"/>
      <c r="QAL17" s="235"/>
      <c r="QAM17" s="235"/>
      <c r="QAN17" s="235"/>
      <c r="QAO17" s="235"/>
      <c r="QAP17" s="235"/>
      <c r="QAQ17" s="235"/>
      <c r="QAR17" s="235"/>
      <c r="QAS17" s="235"/>
      <c r="QAT17" s="235"/>
      <c r="QAU17" s="235"/>
      <c r="QAV17" s="235"/>
      <c r="QAW17" s="235"/>
      <c r="QAX17" s="235"/>
      <c r="QAY17" s="235"/>
      <c r="QAZ17" s="235"/>
      <c r="QBA17" s="235"/>
      <c r="QBB17" s="235"/>
      <c r="QBC17" s="235"/>
      <c r="QBD17" s="235"/>
      <c r="QBE17" s="235"/>
      <c r="QBF17" s="235"/>
      <c r="QBG17" s="235"/>
      <c r="QBH17" s="235"/>
      <c r="QBI17" s="235"/>
      <c r="QBJ17" s="235"/>
      <c r="QBK17" s="235"/>
      <c r="QBL17" s="235"/>
      <c r="QBM17" s="235"/>
      <c r="QBN17" s="235"/>
      <c r="QBO17" s="235"/>
      <c r="QBP17" s="235"/>
      <c r="QBQ17" s="235"/>
      <c r="QBR17" s="235"/>
      <c r="QBS17" s="235"/>
      <c r="QBT17" s="235"/>
      <c r="QBU17" s="235"/>
      <c r="QBV17" s="235"/>
      <c r="QBW17" s="235"/>
      <c r="QBX17" s="235"/>
      <c r="QBY17" s="235"/>
      <c r="QBZ17" s="235"/>
      <c r="QCA17" s="235"/>
      <c r="QCB17" s="235"/>
      <c r="QCC17" s="235"/>
      <c r="QCD17" s="235"/>
      <c r="QCE17" s="235"/>
      <c r="QCF17" s="235"/>
      <c r="QCG17" s="235"/>
      <c r="QCH17" s="235"/>
      <c r="QCI17" s="235"/>
      <c r="QCJ17" s="235"/>
      <c r="QCK17" s="235"/>
      <c r="QCL17" s="235"/>
      <c r="QCM17" s="235"/>
      <c r="QCN17" s="235"/>
      <c r="QCO17" s="235"/>
      <c r="QCP17" s="235"/>
      <c r="QCQ17" s="235"/>
      <c r="QCR17" s="235"/>
      <c r="QCS17" s="235"/>
      <c r="QCT17" s="235"/>
      <c r="QCU17" s="235"/>
      <c r="QCV17" s="235"/>
      <c r="QCW17" s="235"/>
      <c r="QCX17" s="235"/>
      <c r="QCY17" s="235"/>
      <c r="QCZ17" s="235"/>
      <c r="QDA17" s="235"/>
      <c r="QDB17" s="235"/>
      <c r="QDC17" s="235"/>
      <c r="QDD17" s="235"/>
      <c r="QDE17" s="235"/>
      <c r="QDF17" s="235"/>
      <c r="QDG17" s="235"/>
      <c r="QDH17" s="235"/>
      <c r="QDI17" s="235"/>
      <c r="QDJ17" s="235"/>
      <c r="QDK17" s="235"/>
      <c r="QDL17" s="235"/>
      <c r="QDM17" s="235"/>
      <c r="QDN17" s="235"/>
      <c r="QDO17" s="235"/>
      <c r="QDP17" s="235"/>
      <c r="QDQ17" s="235"/>
      <c r="QDR17" s="235"/>
      <c r="QDS17" s="235"/>
      <c r="QDT17" s="235"/>
      <c r="QDU17" s="235"/>
      <c r="QDV17" s="235"/>
      <c r="QDW17" s="235"/>
      <c r="QDX17" s="235"/>
      <c r="QDY17" s="235"/>
      <c r="QDZ17" s="235"/>
      <c r="QEA17" s="235"/>
      <c r="QEB17" s="235"/>
      <c r="QEC17" s="235"/>
      <c r="QED17" s="235"/>
      <c r="QEE17" s="235"/>
      <c r="QEF17" s="235"/>
      <c r="QEG17" s="235"/>
      <c r="QEH17" s="235"/>
      <c r="QEI17" s="235"/>
      <c r="QEJ17" s="235"/>
      <c r="QEK17" s="235"/>
      <c r="QEL17" s="235"/>
      <c r="QEM17" s="235"/>
      <c r="QEN17" s="235"/>
      <c r="QEO17" s="235"/>
      <c r="QEP17" s="235"/>
      <c r="QEQ17" s="235"/>
      <c r="QER17" s="235"/>
      <c r="QES17" s="235"/>
      <c r="QET17" s="235"/>
      <c r="QEU17" s="235"/>
      <c r="QEV17" s="235"/>
      <c r="QEW17" s="235"/>
      <c r="QEX17" s="235"/>
      <c r="QEY17" s="235"/>
      <c r="QEZ17" s="235"/>
      <c r="QFA17" s="235"/>
      <c r="QFB17" s="235"/>
      <c r="QFC17" s="235"/>
      <c r="QFD17" s="235"/>
      <c r="QFE17" s="235"/>
      <c r="QFF17" s="235"/>
      <c r="QFG17" s="235"/>
      <c r="QFH17" s="235"/>
      <c r="QFI17" s="235"/>
      <c r="QFJ17" s="235"/>
      <c r="QFK17" s="235"/>
      <c r="QFL17" s="235"/>
      <c r="QFM17" s="235"/>
      <c r="QFN17" s="235"/>
      <c r="QFO17" s="235"/>
      <c r="QFP17" s="235"/>
      <c r="QFQ17" s="235"/>
      <c r="QFR17" s="235"/>
      <c r="QFS17" s="235"/>
      <c r="QFT17" s="235"/>
      <c r="QFU17" s="235"/>
      <c r="QFV17" s="235"/>
      <c r="QFW17" s="235"/>
      <c r="QFX17" s="235"/>
      <c r="QFY17" s="235"/>
      <c r="QFZ17" s="235"/>
      <c r="QGA17" s="235"/>
      <c r="QGB17" s="235"/>
      <c r="QGC17" s="235"/>
      <c r="QGD17" s="235"/>
      <c r="QGE17" s="235"/>
      <c r="QGF17" s="235"/>
      <c r="QGG17" s="235"/>
      <c r="QGH17" s="235"/>
      <c r="QGI17" s="235"/>
      <c r="QGJ17" s="235"/>
      <c r="QGK17" s="235"/>
      <c r="QGL17" s="235"/>
      <c r="QGM17" s="235"/>
      <c r="QGN17" s="235"/>
      <c r="QGO17" s="235"/>
      <c r="QGP17" s="235"/>
      <c r="QGQ17" s="235"/>
      <c r="QGR17" s="235"/>
      <c r="QGS17" s="235"/>
      <c r="QGT17" s="235"/>
      <c r="QGU17" s="235"/>
      <c r="QGV17" s="235"/>
      <c r="QGW17" s="235"/>
      <c r="QGX17" s="235"/>
      <c r="QGY17" s="235"/>
      <c r="QGZ17" s="235"/>
      <c r="QHA17" s="235"/>
      <c r="QHB17" s="235"/>
      <c r="QHC17" s="235"/>
      <c r="QHD17" s="235"/>
      <c r="QHE17" s="235"/>
      <c r="QHF17" s="235"/>
      <c r="QHG17" s="235"/>
      <c r="QHH17" s="235"/>
      <c r="QHI17" s="235"/>
      <c r="QHJ17" s="235"/>
      <c r="QHK17" s="235"/>
      <c r="QHL17" s="235"/>
      <c r="QHM17" s="235"/>
      <c r="QHN17" s="235"/>
      <c r="QHO17" s="235"/>
      <c r="QHP17" s="235"/>
      <c r="QHQ17" s="235"/>
      <c r="QHR17" s="235"/>
      <c r="QHS17" s="235"/>
      <c r="QHT17" s="235"/>
      <c r="QHU17" s="235"/>
      <c r="QHV17" s="235"/>
      <c r="QHW17" s="235"/>
      <c r="QHX17" s="235"/>
      <c r="QHY17" s="235"/>
      <c r="QHZ17" s="235"/>
      <c r="QIA17" s="235"/>
      <c r="QIB17" s="235"/>
      <c r="QIC17" s="235"/>
      <c r="QID17" s="235"/>
      <c r="QIE17" s="235"/>
      <c r="QIF17" s="235"/>
      <c r="QIG17" s="235"/>
      <c r="QIH17" s="235"/>
      <c r="QII17" s="235"/>
      <c r="QIJ17" s="235"/>
      <c r="QIK17" s="235"/>
      <c r="QIL17" s="235"/>
      <c r="QIM17" s="235"/>
      <c r="QIN17" s="235"/>
      <c r="QIO17" s="235"/>
      <c r="QIP17" s="235"/>
      <c r="QIQ17" s="235"/>
      <c r="QIR17" s="235"/>
      <c r="QIS17" s="235"/>
      <c r="QIT17" s="235"/>
      <c r="QIU17" s="235"/>
      <c r="QIV17" s="235"/>
      <c r="QIW17" s="235"/>
      <c r="QIX17" s="235"/>
      <c r="QIY17" s="235"/>
      <c r="QIZ17" s="235"/>
      <c r="QJA17" s="235"/>
      <c r="QJB17" s="235"/>
      <c r="QJC17" s="235"/>
      <c r="QJD17" s="235"/>
      <c r="QJE17" s="235"/>
      <c r="QJF17" s="235"/>
      <c r="QJG17" s="235"/>
      <c r="QJH17" s="235"/>
      <c r="QJI17" s="235"/>
      <c r="QJJ17" s="235"/>
      <c r="QJK17" s="235"/>
      <c r="QJL17" s="235"/>
      <c r="QJM17" s="235"/>
      <c r="QJN17" s="235"/>
      <c r="QJO17" s="235"/>
      <c r="QJP17" s="235"/>
      <c r="QJQ17" s="235"/>
      <c r="QJR17" s="235"/>
      <c r="QJS17" s="235"/>
      <c r="QJT17" s="235"/>
      <c r="QJU17" s="235"/>
      <c r="QJV17" s="235"/>
      <c r="QJW17" s="235"/>
      <c r="QJX17" s="235"/>
      <c r="QJY17" s="235"/>
      <c r="QJZ17" s="235"/>
      <c r="QKA17" s="235"/>
      <c r="QKB17" s="235"/>
      <c r="QKC17" s="235"/>
      <c r="QKD17" s="235"/>
      <c r="QKE17" s="235"/>
      <c r="QKF17" s="235"/>
      <c r="QKG17" s="235"/>
      <c r="QKH17" s="235"/>
      <c r="QKI17" s="235"/>
      <c r="QKJ17" s="235"/>
      <c r="QKK17" s="235"/>
      <c r="QKL17" s="235"/>
      <c r="QKM17" s="235"/>
      <c r="QKN17" s="235"/>
      <c r="QKO17" s="235"/>
      <c r="QKP17" s="235"/>
      <c r="QKQ17" s="235"/>
      <c r="QKR17" s="235"/>
      <c r="QKS17" s="235"/>
      <c r="QKT17" s="235"/>
      <c r="QKU17" s="235"/>
      <c r="QKV17" s="235"/>
      <c r="QKW17" s="235"/>
      <c r="QKX17" s="235"/>
      <c r="QKY17" s="235"/>
      <c r="QKZ17" s="235"/>
      <c r="QLA17" s="235"/>
      <c r="QLB17" s="235"/>
      <c r="QLC17" s="235"/>
      <c r="QLD17" s="235"/>
      <c r="QLE17" s="235"/>
      <c r="QLF17" s="235"/>
      <c r="QLG17" s="235"/>
      <c r="QLH17" s="235"/>
      <c r="QLI17" s="235"/>
      <c r="QLJ17" s="235"/>
      <c r="QLK17" s="235"/>
      <c r="QLL17" s="235"/>
      <c r="QLM17" s="235"/>
      <c r="QLN17" s="235"/>
      <c r="QLO17" s="235"/>
      <c r="QLP17" s="235"/>
      <c r="QLQ17" s="235"/>
      <c r="QLR17" s="235"/>
      <c r="QLS17" s="235"/>
      <c r="QLT17" s="235"/>
      <c r="QLU17" s="235"/>
      <c r="QLV17" s="235"/>
      <c r="QLW17" s="235"/>
      <c r="QLX17" s="235"/>
      <c r="QLY17" s="235"/>
      <c r="QLZ17" s="235"/>
      <c r="QMA17" s="235"/>
      <c r="QMB17" s="235"/>
      <c r="QMC17" s="235"/>
      <c r="QMD17" s="235"/>
      <c r="QME17" s="235"/>
      <c r="QMF17" s="235"/>
      <c r="QMG17" s="235"/>
      <c r="QMH17" s="235"/>
      <c r="QMI17" s="235"/>
      <c r="QMJ17" s="235"/>
      <c r="QMK17" s="235"/>
      <c r="QML17" s="235"/>
      <c r="QMM17" s="235"/>
      <c r="QMN17" s="235"/>
      <c r="QMO17" s="235"/>
      <c r="QMP17" s="235"/>
      <c r="QMQ17" s="235"/>
      <c r="QMR17" s="235"/>
      <c r="QMS17" s="235"/>
      <c r="QMT17" s="235"/>
      <c r="QMU17" s="235"/>
      <c r="QMV17" s="235"/>
      <c r="QMW17" s="235"/>
      <c r="QMX17" s="235"/>
      <c r="QMY17" s="235"/>
      <c r="QMZ17" s="235"/>
      <c r="QNA17" s="235"/>
      <c r="QNB17" s="235"/>
      <c r="QNC17" s="235"/>
      <c r="QND17" s="235"/>
      <c r="QNE17" s="235"/>
      <c r="QNF17" s="235"/>
      <c r="QNG17" s="235"/>
      <c r="QNH17" s="235"/>
      <c r="QNI17" s="235"/>
      <c r="QNJ17" s="235"/>
      <c r="QNK17" s="235"/>
      <c r="QNL17" s="235"/>
      <c r="QNM17" s="235"/>
      <c r="QNN17" s="235"/>
      <c r="QNO17" s="235"/>
      <c r="QNP17" s="235"/>
      <c r="QNQ17" s="235"/>
      <c r="QNR17" s="235"/>
      <c r="QNS17" s="235"/>
      <c r="QNT17" s="235"/>
      <c r="QNU17" s="235"/>
      <c r="QNV17" s="235"/>
      <c r="QNW17" s="235"/>
      <c r="QNX17" s="235"/>
      <c r="QNY17" s="235"/>
      <c r="QNZ17" s="235"/>
      <c r="QOA17" s="235"/>
      <c r="QOB17" s="235"/>
      <c r="QOC17" s="235"/>
      <c r="QOD17" s="235"/>
      <c r="QOE17" s="235"/>
      <c r="QOF17" s="235"/>
      <c r="QOG17" s="235"/>
      <c r="QOH17" s="235"/>
      <c r="QOI17" s="235"/>
      <c r="QOJ17" s="235"/>
      <c r="QOK17" s="235"/>
      <c r="QOL17" s="235"/>
      <c r="QOM17" s="235"/>
      <c r="QON17" s="235"/>
      <c r="QOO17" s="235"/>
      <c r="QOP17" s="235"/>
      <c r="QOQ17" s="235"/>
      <c r="QOR17" s="235"/>
      <c r="QOS17" s="235"/>
      <c r="QOT17" s="235"/>
      <c r="QOU17" s="235"/>
      <c r="QOV17" s="235"/>
      <c r="QOW17" s="235"/>
      <c r="QOX17" s="235"/>
      <c r="QOY17" s="235"/>
      <c r="QOZ17" s="235"/>
      <c r="QPA17" s="235"/>
      <c r="QPB17" s="235"/>
      <c r="QPC17" s="235"/>
      <c r="QPD17" s="235"/>
      <c r="QPE17" s="235"/>
      <c r="QPF17" s="235"/>
      <c r="QPG17" s="235"/>
      <c r="QPH17" s="235"/>
      <c r="QPI17" s="235"/>
      <c r="QPJ17" s="235"/>
      <c r="QPK17" s="235"/>
      <c r="QPL17" s="235"/>
      <c r="QPM17" s="235"/>
      <c r="QPN17" s="235"/>
      <c r="QPO17" s="235"/>
      <c r="QPP17" s="235"/>
      <c r="QPQ17" s="235"/>
      <c r="QPR17" s="235"/>
      <c r="QPS17" s="235"/>
      <c r="QPT17" s="235"/>
      <c r="QPU17" s="235"/>
      <c r="QPV17" s="235"/>
      <c r="QPW17" s="235"/>
      <c r="QPX17" s="235"/>
      <c r="QPY17" s="235"/>
      <c r="QPZ17" s="235"/>
      <c r="QQA17" s="235"/>
      <c r="QQB17" s="235"/>
      <c r="QQC17" s="235"/>
      <c r="QQD17" s="235"/>
      <c r="QQE17" s="235"/>
      <c r="QQF17" s="235"/>
      <c r="QQG17" s="235"/>
      <c r="QQH17" s="235"/>
      <c r="QQI17" s="235"/>
      <c r="QQJ17" s="235"/>
      <c r="QQK17" s="235"/>
      <c r="QQL17" s="235"/>
      <c r="QQM17" s="235"/>
      <c r="QQN17" s="235"/>
      <c r="QQO17" s="235"/>
      <c r="QQP17" s="235"/>
      <c r="QQQ17" s="235"/>
      <c r="QQR17" s="235"/>
      <c r="QQS17" s="235"/>
      <c r="QQT17" s="235"/>
      <c r="QQU17" s="235"/>
      <c r="QQV17" s="235"/>
      <c r="QQW17" s="235"/>
      <c r="QQX17" s="235"/>
      <c r="QQY17" s="235"/>
      <c r="QQZ17" s="235"/>
      <c r="QRA17" s="235"/>
      <c r="QRB17" s="235"/>
      <c r="QRC17" s="235"/>
      <c r="QRD17" s="235"/>
      <c r="QRE17" s="235"/>
      <c r="QRF17" s="235"/>
      <c r="QRG17" s="235"/>
      <c r="QRH17" s="235"/>
      <c r="QRI17" s="235"/>
      <c r="QRJ17" s="235"/>
      <c r="QRK17" s="235"/>
      <c r="QRL17" s="235"/>
      <c r="QRM17" s="235"/>
      <c r="QRN17" s="235"/>
      <c r="QRO17" s="235"/>
      <c r="QRP17" s="235"/>
      <c r="QRQ17" s="235"/>
      <c r="QRR17" s="235"/>
      <c r="QRS17" s="235"/>
      <c r="QRT17" s="235"/>
      <c r="QRU17" s="235"/>
      <c r="QRV17" s="235"/>
      <c r="QRW17" s="235"/>
      <c r="QRX17" s="235"/>
      <c r="QRY17" s="235"/>
      <c r="QRZ17" s="235"/>
      <c r="QSA17" s="235"/>
      <c r="QSB17" s="235"/>
      <c r="QSC17" s="235"/>
      <c r="QSD17" s="235"/>
      <c r="QSE17" s="235"/>
      <c r="QSF17" s="235"/>
      <c r="QSG17" s="235"/>
      <c r="QSH17" s="235"/>
      <c r="QSI17" s="235"/>
      <c r="QSJ17" s="235"/>
      <c r="QSK17" s="235"/>
      <c r="QSL17" s="235"/>
      <c r="QSM17" s="235"/>
      <c r="QSN17" s="235"/>
      <c r="QSO17" s="235"/>
      <c r="QSP17" s="235"/>
      <c r="QSQ17" s="235"/>
      <c r="QSR17" s="235"/>
      <c r="QSS17" s="235"/>
      <c r="QST17" s="235"/>
      <c r="QSU17" s="235"/>
      <c r="QSV17" s="235"/>
      <c r="QSW17" s="235"/>
      <c r="QSX17" s="235"/>
      <c r="QSY17" s="235"/>
      <c r="QSZ17" s="235"/>
      <c r="QTA17" s="235"/>
      <c r="QTB17" s="235"/>
      <c r="QTC17" s="235"/>
      <c r="QTD17" s="235"/>
      <c r="QTE17" s="235"/>
      <c r="QTF17" s="235"/>
      <c r="QTG17" s="235"/>
      <c r="QTH17" s="235"/>
      <c r="QTI17" s="235"/>
      <c r="QTJ17" s="235"/>
      <c r="QTK17" s="235"/>
      <c r="QTL17" s="235"/>
      <c r="QTM17" s="235"/>
      <c r="QTN17" s="235"/>
      <c r="QTO17" s="235"/>
      <c r="QTP17" s="235"/>
      <c r="QTQ17" s="235"/>
      <c r="QTR17" s="235"/>
      <c r="QTS17" s="235"/>
      <c r="QTT17" s="235"/>
      <c r="QTU17" s="235"/>
      <c r="QTV17" s="235"/>
      <c r="QTW17" s="235"/>
      <c r="QTX17" s="235"/>
      <c r="QTY17" s="235"/>
      <c r="QTZ17" s="235"/>
      <c r="QUA17" s="235"/>
      <c r="QUB17" s="235"/>
      <c r="QUC17" s="235"/>
      <c r="QUD17" s="235"/>
      <c r="QUE17" s="235"/>
      <c r="QUF17" s="235"/>
      <c r="QUG17" s="235"/>
      <c r="QUH17" s="235"/>
      <c r="QUI17" s="235"/>
      <c r="QUJ17" s="235"/>
      <c r="QUK17" s="235"/>
      <c r="QUL17" s="235"/>
      <c r="QUM17" s="235"/>
      <c r="QUN17" s="235"/>
      <c r="QUO17" s="235"/>
      <c r="QUP17" s="235"/>
      <c r="QUQ17" s="235"/>
      <c r="QUR17" s="235"/>
      <c r="QUS17" s="235"/>
      <c r="QUT17" s="235"/>
      <c r="QUU17" s="235"/>
      <c r="QUV17" s="235"/>
      <c r="QUW17" s="235"/>
      <c r="QUX17" s="235"/>
      <c r="QUY17" s="235"/>
      <c r="QUZ17" s="235"/>
      <c r="QVA17" s="235"/>
      <c r="QVB17" s="235"/>
      <c r="QVC17" s="235"/>
      <c r="QVD17" s="235"/>
      <c r="QVE17" s="235"/>
      <c r="QVF17" s="235"/>
      <c r="QVG17" s="235"/>
      <c r="QVH17" s="235"/>
      <c r="QVI17" s="235"/>
      <c r="QVJ17" s="235"/>
      <c r="QVK17" s="235"/>
      <c r="QVL17" s="235"/>
      <c r="QVM17" s="235"/>
      <c r="QVN17" s="235"/>
      <c r="QVO17" s="235"/>
      <c r="QVP17" s="235"/>
      <c r="QVQ17" s="235"/>
      <c r="QVR17" s="235"/>
      <c r="QVS17" s="235"/>
      <c r="QVT17" s="235"/>
      <c r="QVU17" s="235"/>
      <c r="QVV17" s="235"/>
      <c r="QVW17" s="235"/>
      <c r="QVX17" s="235"/>
      <c r="QVY17" s="235"/>
      <c r="QVZ17" s="235"/>
      <c r="QWA17" s="235"/>
      <c r="QWB17" s="235"/>
      <c r="QWC17" s="235"/>
      <c r="QWD17" s="235"/>
      <c r="QWE17" s="235"/>
      <c r="QWF17" s="235"/>
      <c r="QWG17" s="235"/>
      <c r="QWH17" s="235"/>
      <c r="QWI17" s="235"/>
      <c r="QWJ17" s="235"/>
      <c r="QWK17" s="235"/>
      <c r="QWL17" s="235"/>
      <c r="QWM17" s="235"/>
      <c r="QWN17" s="235"/>
      <c r="QWO17" s="235"/>
      <c r="QWP17" s="235"/>
      <c r="QWQ17" s="235"/>
      <c r="QWR17" s="235"/>
      <c r="QWS17" s="235"/>
      <c r="QWT17" s="235"/>
      <c r="QWU17" s="235"/>
      <c r="QWV17" s="235"/>
      <c r="QWW17" s="235"/>
      <c r="QWX17" s="235"/>
      <c r="QWY17" s="235"/>
      <c r="QWZ17" s="235"/>
      <c r="QXA17" s="235"/>
      <c r="QXB17" s="235"/>
      <c r="QXC17" s="235"/>
      <c r="QXD17" s="235"/>
      <c r="QXE17" s="235"/>
      <c r="QXF17" s="235"/>
      <c r="QXG17" s="235"/>
      <c r="QXH17" s="235"/>
      <c r="QXI17" s="235"/>
      <c r="QXJ17" s="235"/>
      <c r="QXK17" s="235"/>
      <c r="QXL17" s="235"/>
      <c r="QXM17" s="235"/>
      <c r="QXN17" s="235"/>
      <c r="QXO17" s="235"/>
      <c r="QXP17" s="235"/>
      <c r="QXQ17" s="235"/>
      <c r="QXR17" s="235"/>
      <c r="QXS17" s="235"/>
      <c r="QXT17" s="235"/>
      <c r="QXU17" s="235"/>
      <c r="QXV17" s="235"/>
      <c r="QXW17" s="235"/>
      <c r="QXX17" s="235"/>
      <c r="QXY17" s="235"/>
      <c r="QXZ17" s="235"/>
      <c r="QYA17" s="235"/>
      <c r="QYB17" s="235"/>
      <c r="QYC17" s="235"/>
      <c r="QYD17" s="235"/>
      <c r="QYE17" s="235"/>
      <c r="QYF17" s="235"/>
      <c r="QYG17" s="235"/>
      <c r="QYH17" s="235"/>
      <c r="QYI17" s="235"/>
      <c r="QYJ17" s="235"/>
      <c r="QYK17" s="235"/>
      <c r="QYL17" s="235"/>
      <c r="QYM17" s="235"/>
      <c r="QYN17" s="235"/>
      <c r="QYO17" s="235"/>
      <c r="QYP17" s="235"/>
      <c r="QYQ17" s="235"/>
      <c r="QYR17" s="235"/>
      <c r="QYS17" s="235"/>
      <c r="QYT17" s="235"/>
      <c r="QYU17" s="235"/>
      <c r="QYV17" s="235"/>
      <c r="QYW17" s="235"/>
      <c r="QYX17" s="235"/>
      <c r="QYY17" s="235"/>
      <c r="QYZ17" s="235"/>
      <c r="QZA17" s="235"/>
      <c r="QZB17" s="235"/>
      <c r="QZC17" s="235"/>
      <c r="QZD17" s="235"/>
      <c r="QZE17" s="235"/>
      <c r="QZF17" s="235"/>
      <c r="QZG17" s="235"/>
      <c r="QZH17" s="235"/>
      <c r="QZI17" s="235"/>
      <c r="QZJ17" s="235"/>
      <c r="QZK17" s="235"/>
      <c r="QZL17" s="235"/>
      <c r="QZM17" s="235"/>
      <c r="QZN17" s="235"/>
      <c r="QZO17" s="235"/>
      <c r="QZP17" s="235"/>
      <c r="QZQ17" s="235"/>
      <c r="QZR17" s="235"/>
      <c r="QZS17" s="235"/>
      <c r="QZT17" s="235"/>
      <c r="QZU17" s="235"/>
      <c r="QZV17" s="235"/>
      <c r="QZW17" s="235"/>
      <c r="QZX17" s="235"/>
      <c r="QZY17" s="235"/>
      <c r="QZZ17" s="235"/>
      <c r="RAA17" s="235"/>
      <c r="RAB17" s="235"/>
      <c r="RAC17" s="235"/>
      <c r="RAD17" s="235"/>
      <c r="RAE17" s="235"/>
      <c r="RAF17" s="235"/>
      <c r="RAG17" s="235"/>
      <c r="RAH17" s="235"/>
      <c r="RAI17" s="235"/>
      <c r="RAJ17" s="235"/>
      <c r="RAK17" s="235"/>
      <c r="RAL17" s="235"/>
      <c r="RAM17" s="235"/>
      <c r="RAN17" s="235"/>
      <c r="RAO17" s="235"/>
      <c r="RAP17" s="235"/>
      <c r="RAQ17" s="235"/>
      <c r="RAR17" s="235"/>
      <c r="RAS17" s="235"/>
      <c r="RAT17" s="235"/>
      <c r="RAU17" s="235"/>
      <c r="RAV17" s="235"/>
      <c r="RAW17" s="235"/>
      <c r="RAX17" s="235"/>
      <c r="RAY17" s="235"/>
      <c r="RAZ17" s="235"/>
      <c r="RBA17" s="235"/>
      <c r="RBB17" s="235"/>
      <c r="RBC17" s="235"/>
      <c r="RBD17" s="235"/>
      <c r="RBE17" s="235"/>
      <c r="RBF17" s="235"/>
      <c r="RBG17" s="235"/>
      <c r="RBH17" s="235"/>
      <c r="RBI17" s="235"/>
      <c r="RBJ17" s="235"/>
      <c r="RBK17" s="235"/>
      <c r="RBL17" s="235"/>
      <c r="RBM17" s="235"/>
      <c r="RBN17" s="235"/>
      <c r="RBO17" s="235"/>
      <c r="RBP17" s="235"/>
      <c r="RBQ17" s="235"/>
      <c r="RBR17" s="235"/>
      <c r="RBS17" s="235"/>
      <c r="RBT17" s="235"/>
      <c r="RBU17" s="235"/>
      <c r="RBV17" s="235"/>
      <c r="RBW17" s="235"/>
      <c r="RBX17" s="235"/>
      <c r="RBY17" s="235"/>
      <c r="RBZ17" s="235"/>
      <c r="RCA17" s="235"/>
      <c r="RCB17" s="235"/>
      <c r="RCC17" s="235"/>
      <c r="RCD17" s="235"/>
      <c r="RCE17" s="235"/>
      <c r="RCF17" s="235"/>
      <c r="RCG17" s="235"/>
      <c r="RCH17" s="235"/>
      <c r="RCI17" s="235"/>
      <c r="RCJ17" s="235"/>
      <c r="RCK17" s="235"/>
      <c r="RCL17" s="235"/>
      <c r="RCM17" s="235"/>
      <c r="RCN17" s="235"/>
      <c r="RCO17" s="235"/>
      <c r="RCP17" s="235"/>
      <c r="RCQ17" s="235"/>
      <c r="RCR17" s="235"/>
      <c r="RCS17" s="235"/>
      <c r="RCT17" s="235"/>
      <c r="RCU17" s="235"/>
      <c r="RCV17" s="235"/>
      <c r="RCW17" s="235"/>
      <c r="RCX17" s="235"/>
      <c r="RCY17" s="235"/>
      <c r="RCZ17" s="235"/>
      <c r="RDA17" s="235"/>
      <c r="RDB17" s="235"/>
      <c r="RDC17" s="235"/>
      <c r="RDD17" s="235"/>
      <c r="RDE17" s="235"/>
      <c r="RDF17" s="235"/>
      <c r="RDG17" s="235"/>
      <c r="RDH17" s="235"/>
      <c r="RDI17" s="235"/>
      <c r="RDJ17" s="235"/>
      <c r="RDK17" s="235"/>
      <c r="RDL17" s="235"/>
      <c r="RDM17" s="235"/>
      <c r="RDN17" s="235"/>
      <c r="RDO17" s="235"/>
      <c r="RDP17" s="235"/>
      <c r="RDQ17" s="235"/>
      <c r="RDR17" s="235"/>
      <c r="RDS17" s="235"/>
      <c r="RDT17" s="235"/>
      <c r="RDU17" s="235"/>
      <c r="RDV17" s="235"/>
      <c r="RDW17" s="235"/>
      <c r="RDX17" s="235"/>
      <c r="RDY17" s="235"/>
      <c r="RDZ17" s="235"/>
      <c r="REA17" s="235"/>
      <c r="REB17" s="235"/>
      <c r="REC17" s="235"/>
      <c r="RED17" s="235"/>
      <c r="REE17" s="235"/>
      <c r="REF17" s="235"/>
      <c r="REG17" s="235"/>
      <c r="REH17" s="235"/>
      <c r="REI17" s="235"/>
      <c r="REJ17" s="235"/>
      <c r="REK17" s="235"/>
      <c r="REL17" s="235"/>
      <c r="REM17" s="235"/>
      <c r="REN17" s="235"/>
      <c r="REO17" s="235"/>
      <c r="REP17" s="235"/>
      <c r="REQ17" s="235"/>
      <c r="RER17" s="235"/>
      <c r="RES17" s="235"/>
      <c r="RET17" s="235"/>
      <c r="REU17" s="235"/>
      <c r="REV17" s="235"/>
      <c r="REW17" s="235"/>
      <c r="REX17" s="235"/>
      <c r="REY17" s="235"/>
      <c r="REZ17" s="235"/>
      <c r="RFA17" s="235"/>
      <c r="RFB17" s="235"/>
      <c r="RFC17" s="235"/>
      <c r="RFD17" s="235"/>
      <c r="RFE17" s="235"/>
      <c r="RFF17" s="235"/>
      <c r="RFG17" s="235"/>
      <c r="RFH17" s="235"/>
      <c r="RFI17" s="235"/>
      <c r="RFJ17" s="235"/>
      <c r="RFK17" s="235"/>
      <c r="RFL17" s="235"/>
      <c r="RFM17" s="235"/>
      <c r="RFN17" s="235"/>
      <c r="RFO17" s="235"/>
      <c r="RFP17" s="235"/>
      <c r="RFQ17" s="235"/>
      <c r="RFR17" s="235"/>
      <c r="RFS17" s="235"/>
      <c r="RFT17" s="235"/>
      <c r="RFU17" s="235"/>
      <c r="RFV17" s="235"/>
      <c r="RFW17" s="235"/>
      <c r="RFX17" s="235"/>
      <c r="RFY17" s="235"/>
      <c r="RFZ17" s="235"/>
      <c r="RGA17" s="235"/>
      <c r="RGB17" s="235"/>
      <c r="RGC17" s="235"/>
      <c r="RGD17" s="235"/>
      <c r="RGE17" s="235"/>
      <c r="RGF17" s="235"/>
      <c r="RGG17" s="235"/>
      <c r="RGH17" s="235"/>
      <c r="RGI17" s="235"/>
      <c r="RGJ17" s="235"/>
      <c r="RGK17" s="235"/>
      <c r="RGL17" s="235"/>
      <c r="RGM17" s="235"/>
      <c r="RGN17" s="235"/>
      <c r="RGO17" s="235"/>
      <c r="RGP17" s="235"/>
      <c r="RGQ17" s="235"/>
      <c r="RGR17" s="235"/>
      <c r="RGS17" s="235"/>
      <c r="RGT17" s="235"/>
      <c r="RGU17" s="235"/>
      <c r="RGV17" s="235"/>
      <c r="RGW17" s="235"/>
      <c r="RGX17" s="235"/>
      <c r="RGY17" s="235"/>
      <c r="RGZ17" s="235"/>
      <c r="RHA17" s="235"/>
      <c r="RHB17" s="235"/>
      <c r="RHC17" s="235"/>
      <c r="RHD17" s="235"/>
      <c r="RHE17" s="235"/>
      <c r="RHF17" s="235"/>
      <c r="RHG17" s="235"/>
      <c r="RHH17" s="235"/>
      <c r="RHI17" s="235"/>
      <c r="RHJ17" s="235"/>
      <c r="RHK17" s="235"/>
      <c r="RHL17" s="235"/>
      <c r="RHM17" s="235"/>
      <c r="RHN17" s="235"/>
      <c r="RHO17" s="235"/>
      <c r="RHP17" s="235"/>
      <c r="RHQ17" s="235"/>
      <c r="RHR17" s="235"/>
      <c r="RHS17" s="235"/>
      <c r="RHT17" s="235"/>
      <c r="RHU17" s="235"/>
      <c r="RHV17" s="235"/>
      <c r="RHW17" s="235"/>
      <c r="RHX17" s="235"/>
      <c r="RHY17" s="235"/>
      <c r="RHZ17" s="235"/>
      <c r="RIA17" s="235"/>
      <c r="RIB17" s="235"/>
      <c r="RIC17" s="235"/>
      <c r="RID17" s="235"/>
      <c r="RIE17" s="235"/>
      <c r="RIF17" s="235"/>
      <c r="RIG17" s="235"/>
      <c r="RIH17" s="235"/>
      <c r="RII17" s="235"/>
      <c r="RIJ17" s="235"/>
      <c r="RIK17" s="235"/>
      <c r="RIL17" s="235"/>
      <c r="RIM17" s="235"/>
      <c r="RIN17" s="235"/>
      <c r="RIO17" s="235"/>
      <c r="RIP17" s="235"/>
      <c r="RIQ17" s="235"/>
      <c r="RIR17" s="235"/>
      <c r="RIS17" s="235"/>
      <c r="RIT17" s="235"/>
      <c r="RIU17" s="235"/>
      <c r="RIV17" s="235"/>
      <c r="RIW17" s="235"/>
      <c r="RIX17" s="235"/>
      <c r="RIY17" s="235"/>
      <c r="RIZ17" s="235"/>
      <c r="RJA17" s="235"/>
      <c r="RJB17" s="235"/>
      <c r="RJC17" s="235"/>
      <c r="RJD17" s="235"/>
      <c r="RJE17" s="235"/>
      <c r="RJF17" s="235"/>
      <c r="RJG17" s="235"/>
      <c r="RJH17" s="235"/>
      <c r="RJI17" s="235"/>
      <c r="RJJ17" s="235"/>
      <c r="RJK17" s="235"/>
      <c r="RJL17" s="235"/>
      <c r="RJM17" s="235"/>
      <c r="RJN17" s="235"/>
      <c r="RJO17" s="235"/>
      <c r="RJP17" s="235"/>
      <c r="RJQ17" s="235"/>
      <c r="RJR17" s="235"/>
      <c r="RJS17" s="235"/>
      <c r="RJT17" s="235"/>
      <c r="RJU17" s="235"/>
      <c r="RJV17" s="235"/>
      <c r="RJW17" s="235"/>
      <c r="RJX17" s="235"/>
      <c r="RJY17" s="235"/>
      <c r="RJZ17" s="235"/>
      <c r="RKA17" s="235"/>
      <c r="RKB17" s="235"/>
      <c r="RKC17" s="235"/>
      <c r="RKD17" s="235"/>
      <c r="RKE17" s="235"/>
      <c r="RKF17" s="235"/>
      <c r="RKG17" s="235"/>
      <c r="RKH17" s="235"/>
      <c r="RKI17" s="235"/>
      <c r="RKJ17" s="235"/>
      <c r="RKK17" s="235"/>
      <c r="RKL17" s="235"/>
      <c r="RKM17" s="235"/>
      <c r="RKN17" s="235"/>
      <c r="RKO17" s="235"/>
      <c r="RKP17" s="235"/>
      <c r="RKQ17" s="235"/>
      <c r="RKR17" s="235"/>
      <c r="RKS17" s="235"/>
      <c r="RKT17" s="235"/>
      <c r="RKU17" s="235"/>
      <c r="RKV17" s="235"/>
      <c r="RKW17" s="235"/>
      <c r="RKX17" s="235"/>
      <c r="RKY17" s="235"/>
      <c r="RKZ17" s="235"/>
      <c r="RLA17" s="235"/>
      <c r="RLB17" s="235"/>
      <c r="RLC17" s="235"/>
      <c r="RLD17" s="235"/>
      <c r="RLE17" s="235"/>
      <c r="RLF17" s="235"/>
      <c r="RLG17" s="235"/>
      <c r="RLH17" s="235"/>
      <c r="RLI17" s="235"/>
      <c r="RLJ17" s="235"/>
      <c r="RLK17" s="235"/>
      <c r="RLL17" s="235"/>
      <c r="RLM17" s="235"/>
      <c r="RLN17" s="235"/>
      <c r="RLO17" s="235"/>
      <c r="RLP17" s="235"/>
      <c r="RLQ17" s="235"/>
      <c r="RLR17" s="235"/>
      <c r="RLS17" s="235"/>
      <c r="RLT17" s="235"/>
      <c r="RLU17" s="235"/>
      <c r="RLV17" s="235"/>
      <c r="RLW17" s="235"/>
      <c r="RLX17" s="235"/>
      <c r="RLY17" s="235"/>
      <c r="RLZ17" s="235"/>
      <c r="RMA17" s="235"/>
      <c r="RMB17" s="235"/>
      <c r="RMC17" s="235"/>
      <c r="RMD17" s="235"/>
      <c r="RME17" s="235"/>
      <c r="RMF17" s="235"/>
      <c r="RMG17" s="235"/>
      <c r="RMH17" s="235"/>
      <c r="RMI17" s="235"/>
      <c r="RMJ17" s="235"/>
      <c r="RMK17" s="235"/>
      <c r="RML17" s="235"/>
      <c r="RMM17" s="235"/>
      <c r="RMN17" s="235"/>
      <c r="RMO17" s="235"/>
      <c r="RMP17" s="235"/>
      <c r="RMQ17" s="235"/>
      <c r="RMR17" s="235"/>
      <c r="RMS17" s="235"/>
      <c r="RMT17" s="235"/>
      <c r="RMU17" s="235"/>
      <c r="RMV17" s="235"/>
      <c r="RMW17" s="235"/>
      <c r="RMX17" s="235"/>
      <c r="RMY17" s="235"/>
      <c r="RMZ17" s="235"/>
      <c r="RNA17" s="235"/>
      <c r="RNB17" s="235"/>
      <c r="RNC17" s="235"/>
      <c r="RND17" s="235"/>
      <c r="RNE17" s="235"/>
      <c r="RNF17" s="235"/>
      <c r="RNG17" s="235"/>
      <c r="RNH17" s="235"/>
      <c r="RNI17" s="235"/>
      <c r="RNJ17" s="235"/>
      <c r="RNK17" s="235"/>
      <c r="RNL17" s="235"/>
      <c r="RNM17" s="235"/>
      <c r="RNN17" s="235"/>
      <c r="RNO17" s="235"/>
      <c r="RNP17" s="235"/>
      <c r="RNQ17" s="235"/>
      <c r="RNR17" s="235"/>
      <c r="RNS17" s="235"/>
      <c r="RNT17" s="235"/>
      <c r="RNU17" s="235"/>
      <c r="RNV17" s="235"/>
      <c r="RNW17" s="235"/>
      <c r="RNX17" s="235"/>
      <c r="RNY17" s="235"/>
      <c r="RNZ17" s="235"/>
      <c r="ROA17" s="235"/>
      <c r="ROB17" s="235"/>
      <c r="ROC17" s="235"/>
      <c r="ROD17" s="235"/>
      <c r="ROE17" s="235"/>
      <c r="ROF17" s="235"/>
      <c r="ROG17" s="235"/>
      <c r="ROH17" s="235"/>
      <c r="ROI17" s="235"/>
      <c r="ROJ17" s="235"/>
      <c r="ROK17" s="235"/>
      <c r="ROL17" s="235"/>
      <c r="ROM17" s="235"/>
      <c r="RON17" s="235"/>
      <c r="ROO17" s="235"/>
      <c r="ROP17" s="235"/>
      <c r="ROQ17" s="235"/>
      <c r="ROR17" s="235"/>
      <c r="ROS17" s="235"/>
      <c r="ROT17" s="235"/>
      <c r="ROU17" s="235"/>
      <c r="ROV17" s="235"/>
      <c r="ROW17" s="235"/>
      <c r="ROX17" s="235"/>
      <c r="ROY17" s="235"/>
      <c r="ROZ17" s="235"/>
      <c r="RPA17" s="235"/>
      <c r="RPB17" s="235"/>
      <c r="RPC17" s="235"/>
      <c r="RPD17" s="235"/>
      <c r="RPE17" s="235"/>
      <c r="RPF17" s="235"/>
      <c r="RPG17" s="235"/>
      <c r="RPH17" s="235"/>
      <c r="RPI17" s="235"/>
      <c r="RPJ17" s="235"/>
      <c r="RPK17" s="235"/>
      <c r="RPL17" s="235"/>
      <c r="RPM17" s="235"/>
      <c r="RPN17" s="235"/>
      <c r="RPO17" s="235"/>
      <c r="RPP17" s="235"/>
      <c r="RPQ17" s="235"/>
      <c r="RPR17" s="235"/>
      <c r="RPS17" s="235"/>
      <c r="RPT17" s="235"/>
      <c r="RPU17" s="235"/>
      <c r="RPV17" s="235"/>
      <c r="RPW17" s="235"/>
      <c r="RPX17" s="235"/>
      <c r="RPY17" s="235"/>
      <c r="RPZ17" s="235"/>
      <c r="RQA17" s="235"/>
      <c r="RQB17" s="235"/>
      <c r="RQC17" s="235"/>
      <c r="RQD17" s="235"/>
      <c r="RQE17" s="235"/>
      <c r="RQF17" s="235"/>
      <c r="RQG17" s="235"/>
      <c r="RQH17" s="235"/>
      <c r="RQI17" s="235"/>
      <c r="RQJ17" s="235"/>
      <c r="RQK17" s="235"/>
      <c r="RQL17" s="235"/>
      <c r="RQM17" s="235"/>
      <c r="RQN17" s="235"/>
      <c r="RQO17" s="235"/>
      <c r="RQP17" s="235"/>
      <c r="RQQ17" s="235"/>
      <c r="RQR17" s="235"/>
      <c r="RQS17" s="235"/>
      <c r="RQT17" s="235"/>
      <c r="RQU17" s="235"/>
      <c r="RQV17" s="235"/>
      <c r="RQW17" s="235"/>
      <c r="RQX17" s="235"/>
      <c r="RQY17" s="235"/>
      <c r="RQZ17" s="235"/>
      <c r="RRA17" s="235"/>
      <c r="RRB17" s="235"/>
      <c r="RRC17" s="235"/>
      <c r="RRD17" s="235"/>
      <c r="RRE17" s="235"/>
      <c r="RRF17" s="235"/>
      <c r="RRG17" s="235"/>
      <c r="RRH17" s="235"/>
      <c r="RRI17" s="235"/>
      <c r="RRJ17" s="235"/>
      <c r="RRK17" s="235"/>
      <c r="RRL17" s="235"/>
      <c r="RRM17" s="235"/>
      <c r="RRN17" s="235"/>
      <c r="RRO17" s="235"/>
      <c r="RRP17" s="235"/>
      <c r="RRQ17" s="235"/>
      <c r="RRR17" s="235"/>
      <c r="RRS17" s="235"/>
      <c r="RRT17" s="235"/>
      <c r="RRU17" s="235"/>
      <c r="RRV17" s="235"/>
      <c r="RRW17" s="235"/>
      <c r="RRX17" s="235"/>
      <c r="RRY17" s="235"/>
      <c r="RRZ17" s="235"/>
      <c r="RSA17" s="235"/>
      <c r="RSB17" s="235"/>
      <c r="RSC17" s="235"/>
      <c r="RSD17" s="235"/>
      <c r="RSE17" s="235"/>
      <c r="RSF17" s="235"/>
      <c r="RSG17" s="235"/>
      <c r="RSH17" s="235"/>
      <c r="RSI17" s="235"/>
      <c r="RSJ17" s="235"/>
      <c r="RSK17" s="235"/>
      <c r="RSL17" s="235"/>
      <c r="RSM17" s="235"/>
      <c r="RSN17" s="235"/>
      <c r="RSO17" s="235"/>
      <c r="RSP17" s="235"/>
      <c r="RSQ17" s="235"/>
      <c r="RSR17" s="235"/>
      <c r="RSS17" s="235"/>
      <c r="RST17" s="235"/>
      <c r="RSU17" s="235"/>
      <c r="RSV17" s="235"/>
      <c r="RSW17" s="235"/>
      <c r="RSX17" s="235"/>
      <c r="RSY17" s="235"/>
      <c r="RSZ17" s="235"/>
      <c r="RTA17" s="235"/>
      <c r="RTB17" s="235"/>
      <c r="RTC17" s="235"/>
      <c r="RTD17" s="235"/>
      <c r="RTE17" s="235"/>
      <c r="RTF17" s="235"/>
      <c r="RTG17" s="235"/>
      <c r="RTH17" s="235"/>
      <c r="RTI17" s="235"/>
      <c r="RTJ17" s="235"/>
      <c r="RTK17" s="235"/>
      <c r="RTL17" s="235"/>
      <c r="RTM17" s="235"/>
      <c r="RTN17" s="235"/>
      <c r="RTO17" s="235"/>
      <c r="RTP17" s="235"/>
      <c r="RTQ17" s="235"/>
      <c r="RTR17" s="235"/>
      <c r="RTS17" s="235"/>
      <c r="RTT17" s="235"/>
      <c r="RTU17" s="235"/>
      <c r="RTV17" s="235"/>
      <c r="RTW17" s="235"/>
      <c r="RTX17" s="235"/>
      <c r="RTY17" s="235"/>
      <c r="RTZ17" s="235"/>
      <c r="RUA17" s="235"/>
      <c r="RUB17" s="235"/>
      <c r="RUC17" s="235"/>
      <c r="RUD17" s="235"/>
      <c r="RUE17" s="235"/>
      <c r="RUF17" s="235"/>
      <c r="RUG17" s="235"/>
      <c r="RUH17" s="235"/>
      <c r="RUI17" s="235"/>
      <c r="RUJ17" s="235"/>
      <c r="RUK17" s="235"/>
      <c r="RUL17" s="235"/>
      <c r="RUM17" s="235"/>
      <c r="RUN17" s="235"/>
      <c r="RUO17" s="235"/>
      <c r="RUP17" s="235"/>
      <c r="RUQ17" s="235"/>
      <c r="RUR17" s="235"/>
      <c r="RUS17" s="235"/>
      <c r="RUT17" s="235"/>
      <c r="RUU17" s="235"/>
      <c r="RUV17" s="235"/>
      <c r="RUW17" s="235"/>
      <c r="RUX17" s="235"/>
      <c r="RUY17" s="235"/>
      <c r="RUZ17" s="235"/>
      <c r="RVA17" s="235"/>
      <c r="RVB17" s="235"/>
      <c r="RVC17" s="235"/>
      <c r="RVD17" s="235"/>
      <c r="RVE17" s="235"/>
      <c r="RVF17" s="235"/>
      <c r="RVG17" s="235"/>
      <c r="RVH17" s="235"/>
      <c r="RVI17" s="235"/>
      <c r="RVJ17" s="235"/>
      <c r="RVK17" s="235"/>
      <c r="RVL17" s="235"/>
      <c r="RVM17" s="235"/>
      <c r="RVN17" s="235"/>
      <c r="RVO17" s="235"/>
      <c r="RVP17" s="235"/>
      <c r="RVQ17" s="235"/>
      <c r="RVR17" s="235"/>
      <c r="RVS17" s="235"/>
      <c r="RVT17" s="235"/>
      <c r="RVU17" s="235"/>
      <c r="RVV17" s="235"/>
      <c r="RVW17" s="235"/>
      <c r="RVX17" s="235"/>
      <c r="RVY17" s="235"/>
      <c r="RVZ17" s="235"/>
      <c r="RWA17" s="235"/>
      <c r="RWB17" s="235"/>
      <c r="RWC17" s="235"/>
      <c r="RWD17" s="235"/>
      <c r="RWE17" s="235"/>
      <c r="RWF17" s="235"/>
      <c r="RWG17" s="235"/>
      <c r="RWH17" s="235"/>
      <c r="RWI17" s="235"/>
      <c r="RWJ17" s="235"/>
      <c r="RWK17" s="235"/>
      <c r="RWL17" s="235"/>
      <c r="RWM17" s="235"/>
      <c r="RWN17" s="235"/>
      <c r="RWO17" s="235"/>
      <c r="RWP17" s="235"/>
      <c r="RWQ17" s="235"/>
      <c r="RWR17" s="235"/>
      <c r="RWS17" s="235"/>
      <c r="RWT17" s="235"/>
      <c r="RWU17" s="235"/>
      <c r="RWV17" s="235"/>
      <c r="RWW17" s="235"/>
      <c r="RWX17" s="235"/>
      <c r="RWY17" s="235"/>
      <c r="RWZ17" s="235"/>
      <c r="RXA17" s="235"/>
      <c r="RXB17" s="235"/>
      <c r="RXC17" s="235"/>
      <c r="RXD17" s="235"/>
      <c r="RXE17" s="235"/>
      <c r="RXF17" s="235"/>
      <c r="RXG17" s="235"/>
      <c r="RXH17" s="235"/>
      <c r="RXI17" s="235"/>
      <c r="RXJ17" s="235"/>
      <c r="RXK17" s="235"/>
      <c r="RXL17" s="235"/>
      <c r="RXM17" s="235"/>
      <c r="RXN17" s="235"/>
      <c r="RXO17" s="235"/>
      <c r="RXP17" s="235"/>
      <c r="RXQ17" s="235"/>
      <c r="RXR17" s="235"/>
      <c r="RXS17" s="235"/>
      <c r="RXT17" s="235"/>
      <c r="RXU17" s="235"/>
      <c r="RXV17" s="235"/>
      <c r="RXW17" s="235"/>
      <c r="RXX17" s="235"/>
      <c r="RXY17" s="235"/>
      <c r="RXZ17" s="235"/>
      <c r="RYA17" s="235"/>
      <c r="RYB17" s="235"/>
      <c r="RYC17" s="235"/>
      <c r="RYD17" s="235"/>
      <c r="RYE17" s="235"/>
      <c r="RYF17" s="235"/>
      <c r="RYG17" s="235"/>
      <c r="RYH17" s="235"/>
      <c r="RYI17" s="235"/>
      <c r="RYJ17" s="235"/>
      <c r="RYK17" s="235"/>
      <c r="RYL17" s="235"/>
      <c r="RYM17" s="235"/>
      <c r="RYN17" s="235"/>
      <c r="RYO17" s="235"/>
      <c r="RYP17" s="235"/>
      <c r="RYQ17" s="235"/>
      <c r="RYR17" s="235"/>
      <c r="RYS17" s="235"/>
      <c r="RYT17" s="235"/>
      <c r="RYU17" s="235"/>
      <c r="RYV17" s="235"/>
      <c r="RYW17" s="235"/>
      <c r="RYX17" s="235"/>
      <c r="RYY17" s="235"/>
      <c r="RYZ17" s="235"/>
      <c r="RZA17" s="235"/>
      <c r="RZB17" s="235"/>
      <c r="RZC17" s="235"/>
      <c r="RZD17" s="235"/>
      <c r="RZE17" s="235"/>
      <c r="RZF17" s="235"/>
      <c r="RZG17" s="235"/>
      <c r="RZH17" s="235"/>
      <c r="RZI17" s="235"/>
      <c r="RZJ17" s="235"/>
      <c r="RZK17" s="235"/>
      <c r="RZL17" s="235"/>
      <c r="RZM17" s="235"/>
      <c r="RZN17" s="235"/>
      <c r="RZO17" s="235"/>
      <c r="RZP17" s="235"/>
      <c r="RZQ17" s="235"/>
      <c r="RZR17" s="235"/>
      <c r="RZS17" s="235"/>
      <c r="RZT17" s="235"/>
      <c r="RZU17" s="235"/>
      <c r="RZV17" s="235"/>
      <c r="RZW17" s="235"/>
      <c r="RZX17" s="235"/>
      <c r="RZY17" s="235"/>
      <c r="RZZ17" s="235"/>
      <c r="SAA17" s="235"/>
      <c r="SAB17" s="235"/>
      <c r="SAC17" s="235"/>
      <c r="SAD17" s="235"/>
      <c r="SAE17" s="235"/>
      <c r="SAF17" s="235"/>
      <c r="SAG17" s="235"/>
      <c r="SAH17" s="235"/>
      <c r="SAI17" s="235"/>
      <c r="SAJ17" s="235"/>
      <c r="SAK17" s="235"/>
      <c r="SAL17" s="235"/>
      <c r="SAM17" s="235"/>
      <c r="SAN17" s="235"/>
      <c r="SAO17" s="235"/>
      <c r="SAP17" s="235"/>
      <c r="SAQ17" s="235"/>
      <c r="SAR17" s="235"/>
      <c r="SAS17" s="235"/>
      <c r="SAT17" s="235"/>
      <c r="SAU17" s="235"/>
      <c r="SAV17" s="235"/>
      <c r="SAW17" s="235"/>
      <c r="SAX17" s="235"/>
      <c r="SAY17" s="235"/>
      <c r="SAZ17" s="235"/>
      <c r="SBA17" s="235"/>
      <c r="SBB17" s="235"/>
      <c r="SBC17" s="235"/>
      <c r="SBD17" s="235"/>
      <c r="SBE17" s="235"/>
      <c r="SBF17" s="235"/>
      <c r="SBG17" s="235"/>
      <c r="SBH17" s="235"/>
      <c r="SBI17" s="235"/>
      <c r="SBJ17" s="235"/>
      <c r="SBK17" s="235"/>
      <c r="SBL17" s="235"/>
      <c r="SBM17" s="235"/>
      <c r="SBN17" s="235"/>
      <c r="SBO17" s="235"/>
      <c r="SBP17" s="235"/>
      <c r="SBQ17" s="235"/>
      <c r="SBR17" s="235"/>
      <c r="SBS17" s="235"/>
      <c r="SBT17" s="235"/>
      <c r="SBU17" s="235"/>
      <c r="SBV17" s="235"/>
      <c r="SBW17" s="235"/>
      <c r="SBX17" s="235"/>
      <c r="SBY17" s="235"/>
      <c r="SBZ17" s="235"/>
      <c r="SCA17" s="235"/>
      <c r="SCB17" s="235"/>
      <c r="SCC17" s="235"/>
      <c r="SCD17" s="235"/>
      <c r="SCE17" s="235"/>
      <c r="SCF17" s="235"/>
      <c r="SCG17" s="235"/>
      <c r="SCH17" s="235"/>
      <c r="SCI17" s="235"/>
      <c r="SCJ17" s="235"/>
      <c r="SCK17" s="235"/>
      <c r="SCL17" s="235"/>
      <c r="SCM17" s="235"/>
      <c r="SCN17" s="235"/>
      <c r="SCO17" s="235"/>
      <c r="SCP17" s="235"/>
      <c r="SCQ17" s="235"/>
      <c r="SCR17" s="235"/>
      <c r="SCS17" s="235"/>
      <c r="SCT17" s="235"/>
      <c r="SCU17" s="235"/>
      <c r="SCV17" s="235"/>
      <c r="SCW17" s="235"/>
      <c r="SCX17" s="235"/>
      <c r="SCY17" s="235"/>
      <c r="SCZ17" s="235"/>
      <c r="SDA17" s="235"/>
      <c r="SDB17" s="235"/>
      <c r="SDC17" s="235"/>
      <c r="SDD17" s="235"/>
      <c r="SDE17" s="235"/>
      <c r="SDF17" s="235"/>
      <c r="SDG17" s="235"/>
      <c r="SDH17" s="235"/>
      <c r="SDI17" s="235"/>
      <c r="SDJ17" s="235"/>
      <c r="SDK17" s="235"/>
      <c r="SDL17" s="235"/>
      <c r="SDM17" s="235"/>
      <c r="SDN17" s="235"/>
      <c r="SDO17" s="235"/>
      <c r="SDP17" s="235"/>
      <c r="SDQ17" s="235"/>
      <c r="SDR17" s="235"/>
      <c r="SDS17" s="235"/>
      <c r="SDT17" s="235"/>
      <c r="SDU17" s="235"/>
      <c r="SDV17" s="235"/>
      <c r="SDW17" s="235"/>
      <c r="SDX17" s="235"/>
      <c r="SDY17" s="235"/>
      <c r="SDZ17" s="235"/>
      <c r="SEA17" s="235"/>
      <c r="SEB17" s="235"/>
      <c r="SEC17" s="235"/>
      <c r="SED17" s="235"/>
      <c r="SEE17" s="235"/>
      <c r="SEF17" s="235"/>
      <c r="SEG17" s="235"/>
      <c r="SEH17" s="235"/>
      <c r="SEI17" s="235"/>
      <c r="SEJ17" s="235"/>
      <c r="SEK17" s="235"/>
      <c r="SEL17" s="235"/>
      <c r="SEM17" s="235"/>
      <c r="SEN17" s="235"/>
      <c r="SEO17" s="235"/>
      <c r="SEP17" s="235"/>
      <c r="SEQ17" s="235"/>
      <c r="SER17" s="235"/>
      <c r="SES17" s="235"/>
      <c r="SET17" s="235"/>
      <c r="SEU17" s="235"/>
      <c r="SEV17" s="235"/>
      <c r="SEW17" s="235"/>
      <c r="SEX17" s="235"/>
      <c r="SEY17" s="235"/>
      <c r="SEZ17" s="235"/>
      <c r="SFA17" s="235"/>
      <c r="SFB17" s="235"/>
      <c r="SFC17" s="235"/>
      <c r="SFD17" s="235"/>
      <c r="SFE17" s="235"/>
      <c r="SFF17" s="235"/>
      <c r="SFG17" s="235"/>
      <c r="SFH17" s="235"/>
      <c r="SFI17" s="235"/>
      <c r="SFJ17" s="235"/>
      <c r="SFK17" s="235"/>
      <c r="SFL17" s="235"/>
      <c r="SFM17" s="235"/>
      <c r="SFN17" s="235"/>
      <c r="SFO17" s="235"/>
      <c r="SFP17" s="235"/>
      <c r="SFQ17" s="235"/>
      <c r="SFR17" s="235"/>
      <c r="SFS17" s="235"/>
      <c r="SFT17" s="235"/>
      <c r="SFU17" s="235"/>
      <c r="SFV17" s="235"/>
      <c r="SFW17" s="235"/>
      <c r="SFX17" s="235"/>
      <c r="SFY17" s="235"/>
      <c r="SFZ17" s="235"/>
      <c r="SGA17" s="235"/>
      <c r="SGB17" s="235"/>
      <c r="SGC17" s="235"/>
      <c r="SGD17" s="235"/>
      <c r="SGE17" s="235"/>
      <c r="SGF17" s="235"/>
      <c r="SGG17" s="235"/>
      <c r="SGH17" s="235"/>
      <c r="SGI17" s="235"/>
      <c r="SGJ17" s="235"/>
      <c r="SGK17" s="235"/>
      <c r="SGL17" s="235"/>
      <c r="SGM17" s="235"/>
      <c r="SGN17" s="235"/>
      <c r="SGO17" s="235"/>
      <c r="SGP17" s="235"/>
      <c r="SGQ17" s="235"/>
      <c r="SGR17" s="235"/>
      <c r="SGS17" s="235"/>
      <c r="SGT17" s="235"/>
      <c r="SGU17" s="235"/>
      <c r="SGV17" s="235"/>
      <c r="SGW17" s="235"/>
      <c r="SGX17" s="235"/>
      <c r="SGY17" s="235"/>
      <c r="SGZ17" s="235"/>
      <c r="SHA17" s="235"/>
      <c r="SHB17" s="235"/>
      <c r="SHC17" s="235"/>
      <c r="SHD17" s="235"/>
      <c r="SHE17" s="235"/>
      <c r="SHF17" s="235"/>
      <c r="SHG17" s="235"/>
      <c r="SHH17" s="235"/>
      <c r="SHI17" s="235"/>
      <c r="SHJ17" s="235"/>
      <c r="SHK17" s="235"/>
      <c r="SHL17" s="235"/>
      <c r="SHM17" s="235"/>
      <c r="SHN17" s="235"/>
      <c r="SHO17" s="235"/>
      <c r="SHP17" s="235"/>
      <c r="SHQ17" s="235"/>
      <c r="SHR17" s="235"/>
      <c r="SHS17" s="235"/>
      <c r="SHT17" s="235"/>
      <c r="SHU17" s="235"/>
      <c r="SHV17" s="235"/>
      <c r="SHW17" s="235"/>
      <c r="SHX17" s="235"/>
      <c r="SHY17" s="235"/>
      <c r="SHZ17" s="235"/>
      <c r="SIA17" s="235"/>
      <c r="SIB17" s="235"/>
      <c r="SIC17" s="235"/>
      <c r="SID17" s="235"/>
      <c r="SIE17" s="235"/>
      <c r="SIF17" s="235"/>
      <c r="SIG17" s="235"/>
      <c r="SIH17" s="235"/>
      <c r="SII17" s="235"/>
      <c r="SIJ17" s="235"/>
      <c r="SIK17" s="235"/>
      <c r="SIL17" s="235"/>
      <c r="SIM17" s="235"/>
      <c r="SIN17" s="235"/>
      <c r="SIO17" s="235"/>
      <c r="SIP17" s="235"/>
      <c r="SIQ17" s="235"/>
      <c r="SIR17" s="235"/>
      <c r="SIS17" s="235"/>
      <c r="SIT17" s="235"/>
      <c r="SIU17" s="235"/>
      <c r="SIV17" s="235"/>
      <c r="SIW17" s="235"/>
      <c r="SIX17" s="235"/>
      <c r="SIY17" s="235"/>
      <c r="SIZ17" s="235"/>
      <c r="SJA17" s="235"/>
      <c r="SJB17" s="235"/>
      <c r="SJC17" s="235"/>
      <c r="SJD17" s="235"/>
      <c r="SJE17" s="235"/>
      <c r="SJF17" s="235"/>
      <c r="SJG17" s="235"/>
      <c r="SJH17" s="235"/>
      <c r="SJI17" s="235"/>
      <c r="SJJ17" s="235"/>
      <c r="SJK17" s="235"/>
      <c r="SJL17" s="235"/>
      <c r="SJM17" s="235"/>
      <c r="SJN17" s="235"/>
      <c r="SJO17" s="235"/>
      <c r="SJP17" s="235"/>
      <c r="SJQ17" s="235"/>
      <c r="SJR17" s="235"/>
      <c r="SJS17" s="235"/>
      <c r="SJT17" s="235"/>
      <c r="SJU17" s="235"/>
      <c r="SJV17" s="235"/>
      <c r="SJW17" s="235"/>
      <c r="SJX17" s="235"/>
      <c r="SJY17" s="235"/>
      <c r="SJZ17" s="235"/>
      <c r="SKA17" s="235"/>
      <c r="SKB17" s="235"/>
      <c r="SKC17" s="235"/>
      <c r="SKD17" s="235"/>
      <c r="SKE17" s="235"/>
      <c r="SKF17" s="235"/>
      <c r="SKG17" s="235"/>
      <c r="SKH17" s="235"/>
      <c r="SKI17" s="235"/>
      <c r="SKJ17" s="235"/>
      <c r="SKK17" s="235"/>
      <c r="SKL17" s="235"/>
      <c r="SKM17" s="235"/>
      <c r="SKN17" s="235"/>
      <c r="SKO17" s="235"/>
      <c r="SKP17" s="235"/>
      <c r="SKQ17" s="235"/>
      <c r="SKR17" s="235"/>
      <c r="SKS17" s="235"/>
      <c r="SKT17" s="235"/>
      <c r="SKU17" s="235"/>
      <c r="SKV17" s="235"/>
      <c r="SKW17" s="235"/>
      <c r="SKX17" s="235"/>
      <c r="SKY17" s="235"/>
      <c r="SKZ17" s="235"/>
      <c r="SLA17" s="235"/>
      <c r="SLB17" s="235"/>
      <c r="SLC17" s="235"/>
      <c r="SLD17" s="235"/>
      <c r="SLE17" s="235"/>
      <c r="SLF17" s="235"/>
      <c r="SLG17" s="235"/>
      <c r="SLH17" s="235"/>
      <c r="SLI17" s="235"/>
      <c r="SLJ17" s="235"/>
      <c r="SLK17" s="235"/>
      <c r="SLL17" s="235"/>
      <c r="SLM17" s="235"/>
      <c r="SLN17" s="235"/>
      <c r="SLO17" s="235"/>
      <c r="SLP17" s="235"/>
      <c r="SLQ17" s="235"/>
      <c r="SLR17" s="235"/>
      <c r="SLS17" s="235"/>
      <c r="SLT17" s="235"/>
      <c r="SLU17" s="235"/>
      <c r="SLV17" s="235"/>
      <c r="SLW17" s="235"/>
      <c r="SLX17" s="235"/>
      <c r="SLY17" s="235"/>
      <c r="SLZ17" s="235"/>
      <c r="SMA17" s="235"/>
      <c r="SMB17" s="235"/>
      <c r="SMC17" s="235"/>
      <c r="SMD17" s="235"/>
      <c r="SME17" s="235"/>
      <c r="SMF17" s="235"/>
      <c r="SMG17" s="235"/>
      <c r="SMH17" s="235"/>
      <c r="SMI17" s="235"/>
      <c r="SMJ17" s="235"/>
      <c r="SMK17" s="235"/>
      <c r="SML17" s="235"/>
      <c r="SMM17" s="235"/>
      <c r="SMN17" s="235"/>
      <c r="SMO17" s="235"/>
      <c r="SMP17" s="235"/>
      <c r="SMQ17" s="235"/>
      <c r="SMR17" s="235"/>
      <c r="SMS17" s="235"/>
      <c r="SMT17" s="235"/>
      <c r="SMU17" s="235"/>
      <c r="SMV17" s="235"/>
      <c r="SMW17" s="235"/>
      <c r="SMX17" s="235"/>
      <c r="SMY17" s="235"/>
      <c r="SMZ17" s="235"/>
      <c r="SNA17" s="235"/>
      <c r="SNB17" s="235"/>
      <c r="SNC17" s="235"/>
      <c r="SND17" s="235"/>
      <c r="SNE17" s="235"/>
      <c r="SNF17" s="235"/>
      <c r="SNG17" s="235"/>
      <c r="SNH17" s="235"/>
      <c r="SNI17" s="235"/>
      <c r="SNJ17" s="235"/>
      <c r="SNK17" s="235"/>
      <c r="SNL17" s="235"/>
      <c r="SNM17" s="235"/>
      <c r="SNN17" s="235"/>
      <c r="SNO17" s="235"/>
      <c r="SNP17" s="235"/>
      <c r="SNQ17" s="235"/>
      <c r="SNR17" s="235"/>
      <c r="SNS17" s="235"/>
      <c r="SNT17" s="235"/>
      <c r="SNU17" s="235"/>
      <c r="SNV17" s="235"/>
      <c r="SNW17" s="235"/>
      <c r="SNX17" s="235"/>
      <c r="SNY17" s="235"/>
      <c r="SNZ17" s="235"/>
      <c r="SOA17" s="235"/>
      <c r="SOB17" s="235"/>
      <c r="SOC17" s="235"/>
      <c r="SOD17" s="235"/>
      <c r="SOE17" s="235"/>
      <c r="SOF17" s="235"/>
      <c r="SOG17" s="235"/>
      <c r="SOH17" s="235"/>
      <c r="SOI17" s="235"/>
      <c r="SOJ17" s="235"/>
      <c r="SOK17" s="235"/>
      <c r="SOL17" s="235"/>
      <c r="SOM17" s="235"/>
      <c r="SON17" s="235"/>
      <c r="SOO17" s="235"/>
      <c r="SOP17" s="235"/>
      <c r="SOQ17" s="235"/>
      <c r="SOR17" s="235"/>
      <c r="SOS17" s="235"/>
      <c r="SOT17" s="235"/>
      <c r="SOU17" s="235"/>
      <c r="SOV17" s="235"/>
      <c r="SOW17" s="235"/>
      <c r="SOX17" s="235"/>
      <c r="SOY17" s="235"/>
      <c r="SOZ17" s="235"/>
      <c r="SPA17" s="235"/>
      <c r="SPB17" s="235"/>
      <c r="SPC17" s="235"/>
      <c r="SPD17" s="235"/>
      <c r="SPE17" s="235"/>
      <c r="SPF17" s="235"/>
      <c r="SPG17" s="235"/>
      <c r="SPH17" s="235"/>
      <c r="SPI17" s="235"/>
      <c r="SPJ17" s="235"/>
      <c r="SPK17" s="235"/>
      <c r="SPL17" s="235"/>
      <c r="SPM17" s="235"/>
      <c r="SPN17" s="235"/>
      <c r="SPO17" s="235"/>
      <c r="SPP17" s="235"/>
      <c r="SPQ17" s="235"/>
      <c r="SPR17" s="235"/>
      <c r="SPS17" s="235"/>
      <c r="SPT17" s="235"/>
      <c r="SPU17" s="235"/>
      <c r="SPV17" s="235"/>
      <c r="SPW17" s="235"/>
      <c r="SPX17" s="235"/>
      <c r="SPY17" s="235"/>
      <c r="SPZ17" s="235"/>
      <c r="SQA17" s="235"/>
      <c r="SQB17" s="235"/>
      <c r="SQC17" s="235"/>
      <c r="SQD17" s="235"/>
      <c r="SQE17" s="235"/>
      <c r="SQF17" s="235"/>
      <c r="SQG17" s="235"/>
      <c r="SQH17" s="235"/>
      <c r="SQI17" s="235"/>
      <c r="SQJ17" s="235"/>
      <c r="SQK17" s="235"/>
      <c r="SQL17" s="235"/>
      <c r="SQM17" s="235"/>
      <c r="SQN17" s="235"/>
      <c r="SQO17" s="235"/>
      <c r="SQP17" s="235"/>
      <c r="SQQ17" s="235"/>
      <c r="SQR17" s="235"/>
      <c r="SQS17" s="235"/>
      <c r="SQT17" s="235"/>
      <c r="SQU17" s="235"/>
      <c r="SQV17" s="235"/>
      <c r="SQW17" s="235"/>
      <c r="SQX17" s="235"/>
      <c r="SQY17" s="235"/>
      <c r="SQZ17" s="235"/>
      <c r="SRA17" s="235"/>
      <c r="SRB17" s="235"/>
      <c r="SRC17" s="235"/>
      <c r="SRD17" s="235"/>
      <c r="SRE17" s="235"/>
      <c r="SRF17" s="235"/>
      <c r="SRG17" s="235"/>
      <c r="SRH17" s="235"/>
      <c r="SRI17" s="235"/>
      <c r="SRJ17" s="235"/>
      <c r="SRK17" s="235"/>
      <c r="SRL17" s="235"/>
      <c r="SRM17" s="235"/>
      <c r="SRN17" s="235"/>
      <c r="SRO17" s="235"/>
      <c r="SRP17" s="235"/>
      <c r="SRQ17" s="235"/>
      <c r="SRR17" s="235"/>
      <c r="SRS17" s="235"/>
      <c r="SRT17" s="235"/>
      <c r="SRU17" s="235"/>
      <c r="SRV17" s="235"/>
      <c r="SRW17" s="235"/>
      <c r="SRX17" s="235"/>
      <c r="SRY17" s="235"/>
      <c r="SRZ17" s="235"/>
      <c r="SSA17" s="235"/>
      <c r="SSB17" s="235"/>
      <c r="SSC17" s="235"/>
      <c r="SSD17" s="235"/>
      <c r="SSE17" s="235"/>
      <c r="SSF17" s="235"/>
      <c r="SSG17" s="235"/>
      <c r="SSH17" s="235"/>
      <c r="SSI17" s="235"/>
      <c r="SSJ17" s="235"/>
      <c r="SSK17" s="235"/>
      <c r="SSL17" s="235"/>
      <c r="SSM17" s="235"/>
      <c r="SSN17" s="235"/>
      <c r="SSO17" s="235"/>
      <c r="SSP17" s="235"/>
      <c r="SSQ17" s="235"/>
      <c r="SSR17" s="235"/>
      <c r="SSS17" s="235"/>
      <c r="SST17" s="235"/>
      <c r="SSU17" s="235"/>
      <c r="SSV17" s="235"/>
      <c r="SSW17" s="235"/>
      <c r="SSX17" s="235"/>
      <c r="SSY17" s="235"/>
      <c r="SSZ17" s="235"/>
      <c r="STA17" s="235"/>
      <c r="STB17" s="235"/>
      <c r="STC17" s="235"/>
      <c r="STD17" s="235"/>
      <c r="STE17" s="235"/>
      <c r="STF17" s="235"/>
      <c r="STG17" s="235"/>
      <c r="STH17" s="235"/>
      <c r="STI17" s="235"/>
      <c r="STJ17" s="235"/>
      <c r="STK17" s="235"/>
      <c r="STL17" s="235"/>
      <c r="STM17" s="235"/>
      <c r="STN17" s="235"/>
      <c r="STO17" s="235"/>
      <c r="STP17" s="235"/>
      <c r="STQ17" s="235"/>
      <c r="STR17" s="235"/>
      <c r="STS17" s="235"/>
      <c r="STT17" s="235"/>
      <c r="STU17" s="235"/>
      <c r="STV17" s="235"/>
      <c r="STW17" s="235"/>
      <c r="STX17" s="235"/>
      <c r="STY17" s="235"/>
      <c r="STZ17" s="235"/>
      <c r="SUA17" s="235"/>
      <c r="SUB17" s="235"/>
      <c r="SUC17" s="235"/>
      <c r="SUD17" s="235"/>
      <c r="SUE17" s="235"/>
      <c r="SUF17" s="235"/>
      <c r="SUG17" s="235"/>
      <c r="SUH17" s="235"/>
      <c r="SUI17" s="235"/>
      <c r="SUJ17" s="235"/>
      <c r="SUK17" s="235"/>
      <c r="SUL17" s="235"/>
      <c r="SUM17" s="235"/>
      <c r="SUN17" s="235"/>
      <c r="SUO17" s="235"/>
      <c r="SUP17" s="235"/>
      <c r="SUQ17" s="235"/>
      <c r="SUR17" s="235"/>
      <c r="SUS17" s="235"/>
      <c r="SUT17" s="235"/>
      <c r="SUU17" s="235"/>
      <c r="SUV17" s="235"/>
      <c r="SUW17" s="235"/>
      <c r="SUX17" s="235"/>
      <c r="SUY17" s="235"/>
      <c r="SUZ17" s="235"/>
      <c r="SVA17" s="235"/>
      <c r="SVB17" s="235"/>
      <c r="SVC17" s="235"/>
      <c r="SVD17" s="235"/>
      <c r="SVE17" s="235"/>
      <c r="SVF17" s="235"/>
      <c r="SVG17" s="235"/>
      <c r="SVH17" s="235"/>
      <c r="SVI17" s="235"/>
      <c r="SVJ17" s="235"/>
      <c r="SVK17" s="235"/>
      <c r="SVL17" s="235"/>
      <c r="SVM17" s="235"/>
      <c r="SVN17" s="235"/>
      <c r="SVO17" s="235"/>
      <c r="SVP17" s="235"/>
      <c r="SVQ17" s="235"/>
      <c r="SVR17" s="235"/>
      <c r="SVS17" s="235"/>
      <c r="SVT17" s="235"/>
      <c r="SVU17" s="235"/>
      <c r="SVV17" s="235"/>
      <c r="SVW17" s="235"/>
      <c r="SVX17" s="235"/>
      <c r="SVY17" s="235"/>
      <c r="SVZ17" s="235"/>
      <c r="SWA17" s="235"/>
      <c r="SWB17" s="235"/>
      <c r="SWC17" s="235"/>
      <c r="SWD17" s="235"/>
      <c r="SWE17" s="235"/>
      <c r="SWF17" s="235"/>
      <c r="SWG17" s="235"/>
      <c r="SWH17" s="235"/>
      <c r="SWI17" s="235"/>
      <c r="SWJ17" s="235"/>
      <c r="SWK17" s="235"/>
      <c r="SWL17" s="235"/>
      <c r="SWM17" s="235"/>
      <c r="SWN17" s="235"/>
      <c r="SWO17" s="235"/>
      <c r="SWP17" s="235"/>
      <c r="SWQ17" s="235"/>
      <c r="SWR17" s="235"/>
      <c r="SWS17" s="235"/>
      <c r="SWT17" s="235"/>
      <c r="SWU17" s="235"/>
      <c r="SWV17" s="235"/>
      <c r="SWW17" s="235"/>
      <c r="SWX17" s="235"/>
      <c r="SWY17" s="235"/>
      <c r="SWZ17" s="235"/>
      <c r="SXA17" s="235"/>
      <c r="SXB17" s="235"/>
      <c r="SXC17" s="235"/>
      <c r="SXD17" s="235"/>
      <c r="SXE17" s="235"/>
      <c r="SXF17" s="235"/>
      <c r="SXG17" s="235"/>
      <c r="SXH17" s="235"/>
      <c r="SXI17" s="235"/>
      <c r="SXJ17" s="235"/>
      <c r="SXK17" s="235"/>
      <c r="SXL17" s="235"/>
      <c r="SXM17" s="235"/>
      <c r="SXN17" s="235"/>
      <c r="SXO17" s="235"/>
      <c r="SXP17" s="235"/>
      <c r="SXQ17" s="235"/>
      <c r="SXR17" s="235"/>
      <c r="SXS17" s="235"/>
      <c r="SXT17" s="235"/>
      <c r="SXU17" s="235"/>
      <c r="SXV17" s="235"/>
      <c r="SXW17" s="235"/>
      <c r="SXX17" s="235"/>
      <c r="SXY17" s="235"/>
      <c r="SXZ17" s="235"/>
      <c r="SYA17" s="235"/>
      <c r="SYB17" s="235"/>
      <c r="SYC17" s="235"/>
      <c r="SYD17" s="235"/>
      <c r="SYE17" s="235"/>
      <c r="SYF17" s="235"/>
      <c r="SYG17" s="235"/>
      <c r="SYH17" s="235"/>
      <c r="SYI17" s="235"/>
      <c r="SYJ17" s="235"/>
      <c r="SYK17" s="235"/>
      <c r="SYL17" s="235"/>
      <c r="SYM17" s="235"/>
      <c r="SYN17" s="235"/>
      <c r="SYO17" s="235"/>
      <c r="SYP17" s="235"/>
      <c r="SYQ17" s="235"/>
      <c r="SYR17" s="235"/>
      <c r="SYS17" s="235"/>
      <c r="SYT17" s="235"/>
      <c r="SYU17" s="235"/>
      <c r="SYV17" s="235"/>
      <c r="SYW17" s="235"/>
      <c r="SYX17" s="235"/>
      <c r="SYY17" s="235"/>
      <c r="SYZ17" s="235"/>
      <c r="SZA17" s="235"/>
      <c r="SZB17" s="235"/>
      <c r="SZC17" s="235"/>
      <c r="SZD17" s="235"/>
      <c r="SZE17" s="235"/>
      <c r="SZF17" s="235"/>
      <c r="SZG17" s="235"/>
      <c r="SZH17" s="235"/>
      <c r="SZI17" s="235"/>
      <c r="SZJ17" s="235"/>
      <c r="SZK17" s="235"/>
      <c r="SZL17" s="235"/>
      <c r="SZM17" s="235"/>
      <c r="SZN17" s="235"/>
      <c r="SZO17" s="235"/>
      <c r="SZP17" s="235"/>
      <c r="SZQ17" s="235"/>
      <c r="SZR17" s="235"/>
      <c r="SZS17" s="235"/>
      <c r="SZT17" s="235"/>
      <c r="SZU17" s="235"/>
      <c r="SZV17" s="235"/>
      <c r="SZW17" s="235"/>
      <c r="SZX17" s="235"/>
      <c r="SZY17" s="235"/>
      <c r="SZZ17" s="235"/>
      <c r="TAA17" s="235"/>
      <c r="TAB17" s="235"/>
      <c r="TAC17" s="235"/>
      <c r="TAD17" s="235"/>
      <c r="TAE17" s="235"/>
      <c r="TAF17" s="235"/>
      <c r="TAG17" s="235"/>
      <c r="TAH17" s="235"/>
      <c r="TAI17" s="235"/>
      <c r="TAJ17" s="235"/>
      <c r="TAK17" s="235"/>
      <c r="TAL17" s="235"/>
      <c r="TAM17" s="235"/>
      <c r="TAN17" s="235"/>
      <c r="TAO17" s="235"/>
      <c r="TAP17" s="235"/>
      <c r="TAQ17" s="235"/>
      <c r="TAR17" s="235"/>
      <c r="TAS17" s="235"/>
      <c r="TAT17" s="235"/>
      <c r="TAU17" s="235"/>
      <c r="TAV17" s="235"/>
      <c r="TAW17" s="235"/>
      <c r="TAX17" s="235"/>
      <c r="TAY17" s="235"/>
      <c r="TAZ17" s="235"/>
      <c r="TBA17" s="235"/>
      <c r="TBB17" s="235"/>
      <c r="TBC17" s="235"/>
      <c r="TBD17" s="235"/>
      <c r="TBE17" s="235"/>
      <c r="TBF17" s="235"/>
      <c r="TBG17" s="235"/>
      <c r="TBH17" s="235"/>
      <c r="TBI17" s="235"/>
      <c r="TBJ17" s="235"/>
      <c r="TBK17" s="235"/>
      <c r="TBL17" s="235"/>
      <c r="TBM17" s="235"/>
      <c r="TBN17" s="235"/>
      <c r="TBO17" s="235"/>
      <c r="TBP17" s="235"/>
      <c r="TBQ17" s="235"/>
      <c r="TBR17" s="235"/>
      <c r="TBS17" s="235"/>
      <c r="TBT17" s="235"/>
      <c r="TBU17" s="235"/>
      <c r="TBV17" s="235"/>
      <c r="TBW17" s="235"/>
      <c r="TBX17" s="235"/>
      <c r="TBY17" s="235"/>
      <c r="TBZ17" s="235"/>
      <c r="TCA17" s="235"/>
      <c r="TCB17" s="235"/>
      <c r="TCC17" s="235"/>
      <c r="TCD17" s="235"/>
      <c r="TCE17" s="235"/>
      <c r="TCF17" s="235"/>
      <c r="TCG17" s="235"/>
      <c r="TCH17" s="235"/>
      <c r="TCI17" s="235"/>
      <c r="TCJ17" s="235"/>
      <c r="TCK17" s="235"/>
      <c r="TCL17" s="235"/>
      <c r="TCM17" s="235"/>
      <c r="TCN17" s="235"/>
      <c r="TCO17" s="235"/>
      <c r="TCP17" s="235"/>
      <c r="TCQ17" s="235"/>
      <c r="TCR17" s="235"/>
      <c r="TCS17" s="235"/>
      <c r="TCT17" s="235"/>
      <c r="TCU17" s="235"/>
      <c r="TCV17" s="235"/>
      <c r="TCW17" s="235"/>
      <c r="TCX17" s="235"/>
      <c r="TCY17" s="235"/>
      <c r="TCZ17" s="235"/>
      <c r="TDA17" s="235"/>
      <c r="TDB17" s="235"/>
      <c r="TDC17" s="235"/>
      <c r="TDD17" s="235"/>
      <c r="TDE17" s="235"/>
      <c r="TDF17" s="235"/>
      <c r="TDG17" s="235"/>
      <c r="TDH17" s="235"/>
      <c r="TDI17" s="235"/>
      <c r="TDJ17" s="235"/>
      <c r="TDK17" s="235"/>
      <c r="TDL17" s="235"/>
      <c r="TDM17" s="235"/>
      <c r="TDN17" s="235"/>
      <c r="TDO17" s="235"/>
      <c r="TDP17" s="235"/>
      <c r="TDQ17" s="235"/>
      <c r="TDR17" s="235"/>
      <c r="TDS17" s="235"/>
      <c r="TDT17" s="235"/>
      <c r="TDU17" s="235"/>
      <c r="TDV17" s="235"/>
      <c r="TDW17" s="235"/>
      <c r="TDX17" s="235"/>
      <c r="TDY17" s="235"/>
      <c r="TDZ17" s="235"/>
      <c r="TEA17" s="235"/>
      <c r="TEB17" s="235"/>
      <c r="TEC17" s="235"/>
      <c r="TED17" s="235"/>
      <c r="TEE17" s="235"/>
      <c r="TEF17" s="235"/>
      <c r="TEG17" s="235"/>
      <c r="TEH17" s="235"/>
      <c r="TEI17" s="235"/>
      <c r="TEJ17" s="235"/>
      <c r="TEK17" s="235"/>
      <c r="TEL17" s="235"/>
      <c r="TEM17" s="235"/>
      <c r="TEN17" s="235"/>
      <c r="TEO17" s="235"/>
      <c r="TEP17" s="235"/>
      <c r="TEQ17" s="235"/>
      <c r="TER17" s="235"/>
      <c r="TES17" s="235"/>
      <c r="TET17" s="235"/>
      <c r="TEU17" s="235"/>
      <c r="TEV17" s="235"/>
      <c r="TEW17" s="235"/>
      <c r="TEX17" s="235"/>
      <c r="TEY17" s="235"/>
      <c r="TEZ17" s="235"/>
      <c r="TFA17" s="235"/>
      <c r="TFB17" s="235"/>
      <c r="TFC17" s="235"/>
      <c r="TFD17" s="235"/>
      <c r="TFE17" s="235"/>
      <c r="TFF17" s="235"/>
      <c r="TFG17" s="235"/>
      <c r="TFH17" s="235"/>
      <c r="TFI17" s="235"/>
      <c r="TFJ17" s="235"/>
      <c r="TFK17" s="235"/>
      <c r="TFL17" s="235"/>
      <c r="TFM17" s="235"/>
      <c r="TFN17" s="235"/>
      <c r="TFO17" s="235"/>
      <c r="TFP17" s="235"/>
      <c r="TFQ17" s="235"/>
      <c r="TFR17" s="235"/>
      <c r="TFS17" s="235"/>
      <c r="TFT17" s="235"/>
      <c r="TFU17" s="235"/>
      <c r="TFV17" s="235"/>
      <c r="TFW17" s="235"/>
      <c r="TFX17" s="235"/>
      <c r="TFY17" s="235"/>
      <c r="TFZ17" s="235"/>
      <c r="TGA17" s="235"/>
      <c r="TGB17" s="235"/>
      <c r="TGC17" s="235"/>
      <c r="TGD17" s="235"/>
      <c r="TGE17" s="235"/>
      <c r="TGF17" s="235"/>
      <c r="TGG17" s="235"/>
      <c r="TGH17" s="235"/>
      <c r="TGI17" s="235"/>
      <c r="TGJ17" s="235"/>
      <c r="TGK17" s="235"/>
      <c r="TGL17" s="235"/>
      <c r="TGM17" s="235"/>
      <c r="TGN17" s="235"/>
      <c r="TGO17" s="235"/>
      <c r="TGP17" s="235"/>
      <c r="TGQ17" s="235"/>
      <c r="TGR17" s="235"/>
      <c r="TGS17" s="235"/>
      <c r="TGT17" s="235"/>
      <c r="TGU17" s="235"/>
      <c r="TGV17" s="235"/>
      <c r="TGW17" s="235"/>
      <c r="TGX17" s="235"/>
      <c r="TGY17" s="235"/>
      <c r="TGZ17" s="235"/>
      <c r="THA17" s="235"/>
      <c r="THB17" s="235"/>
      <c r="THC17" s="235"/>
      <c r="THD17" s="235"/>
      <c r="THE17" s="235"/>
      <c r="THF17" s="235"/>
      <c r="THG17" s="235"/>
      <c r="THH17" s="235"/>
      <c r="THI17" s="235"/>
      <c r="THJ17" s="235"/>
      <c r="THK17" s="235"/>
      <c r="THL17" s="235"/>
      <c r="THM17" s="235"/>
      <c r="THN17" s="235"/>
      <c r="THO17" s="235"/>
      <c r="THP17" s="235"/>
      <c r="THQ17" s="235"/>
      <c r="THR17" s="235"/>
      <c r="THS17" s="235"/>
      <c r="THT17" s="235"/>
      <c r="THU17" s="235"/>
      <c r="THV17" s="235"/>
      <c r="THW17" s="235"/>
      <c r="THX17" s="235"/>
      <c r="THY17" s="235"/>
      <c r="THZ17" s="235"/>
      <c r="TIA17" s="235"/>
      <c r="TIB17" s="235"/>
      <c r="TIC17" s="235"/>
      <c r="TID17" s="235"/>
      <c r="TIE17" s="235"/>
      <c r="TIF17" s="235"/>
      <c r="TIG17" s="235"/>
      <c r="TIH17" s="235"/>
      <c r="TII17" s="235"/>
      <c r="TIJ17" s="235"/>
      <c r="TIK17" s="235"/>
      <c r="TIL17" s="235"/>
      <c r="TIM17" s="235"/>
      <c r="TIN17" s="235"/>
      <c r="TIO17" s="235"/>
      <c r="TIP17" s="235"/>
      <c r="TIQ17" s="235"/>
      <c r="TIR17" s="235"/>
      <c r="TIS17" s="235"/>
      <c r="TIT17" s="235"/>
      <c r="TIU17" s="235"/>
      <c r="TIV17" s="235"/>
      <c r="TIW17" s="235"/>
      <c r="TIX17" s="235"/>
      <c r="TIY17" s="235"/>
      <c r="TIZ17" s="235"/>
      <c r="TJA17" s="235"/>
      <c r="TJB17" s="235"/>
      <c r="TJC17" s="235"/>
      <c r="TJD17" s="235"/>
      <c r="TJE17" s="235"/>
      <c r="TJF17" s="235"/>
      <c r="TJG17" s="235"/>
      <c r="TJH17" s="235"/>
      <c r="TJI17" s="235"/>
      <c r="TJJ17" s="235"/>
      <c r="TJK17" s="235"/>
      <c r="TJL17" s="235"/>
      <c r="TJM17" s="235"/>
      <c r="TJN17" s="235"/>
      <c r="TJO17" s="235"/>
      <c r="TJP17" s="235"/>
      <c r="TJQ17" s="235"/>
      <c r="TJR17" s="235"/>
      <c r="TJS17" s="235"/>
      <c r="TJT17" s="235"/>
      <c r="TJU17" s="235"/>
      <c r="TJV17" s="235"/>
      <c r="TJW17" s="235"/>
      <c r="TJX17" s="235"/>
      <c r="TJY17" s="235"/>
      <c r="TJZ17" s="235"/>
      <c r="TKA17" s="235"/>
      <c r="TKB17" s="235"/>
      <c r="TKC17" s="235"/>
      <c r="TKD17" s="235"/>
      <c r="TKE17" s="235"/>
      <c r="TKF17" s="235"/>
      <c r="TKG17" s="235"/>
      <c r="TKH17" s="235"/>
      <c r="TKI17" s="235"/>
      <c r="TKJ17" s="235"/>
      <c r="TKK17" s="235"/>
      <c r="TKL17" s="235"/>
      <c r="TKM17" s="235"/>
      <c r="TKN17" s="235"/>
      <c r="TKO17" s="235"/>
      <c r="TKP17" s="235"/>
      <c r="TKQ17" s="235"/>
      <c r="TKR17" s="235"/>
      <c r="TKS17" s="235"/>
      <c r="TKT17" s="235"/>
      <c r="TKU17" s="235"/>
      <c r="TKV17" s="235"/>
      <c r="TKW17" s="235"/>
      <c r="TKX17" s="235"/>
      <c r="TKY17" s="235"/>
      <c r="TKZ17" s="235"/>
      <c r="TLA17" s="235"/>
      <c r="TLB17" s="235"/>
      <c r="TLC17" s="235"/>
      <c r="TLD17" s="235"/>
      <c r="TLE17" s="235"/>
      <c r="TLF17" s="235"/>
      <c r="TLG17" s="235"/>
      <c r="TLH17" s="235"/>
      <c r="TLI17" s="235"/>
      <c r="TLJ17" s="235"/>
      <c r="TLK17" s="235"/>
      <c r="TLL17" s="235"/>
      <c r="TLM17" s="235"/>
      <c r="TLN17" s="235"/>
      <c r="TLO17" s="235"/>
      <c r="TLP17" s="235"/>
      <c r="TLQ17" s="235"/>
      <c r="TLR17" s="235"/>
      <c r="TLS17" s="235"/>
      <c r="TLT17" s="235"/>
      <c r="TLU17" s="235"/>
      <c r="TLV17" s="235"/>
      <c r="TLW17" s="235"/>
      <c r="TLX17" s="235"/>
      <c r="TLY17" s="235"/>
      <c r="TLZ17" s="235"/>
      <c r="TMA17" s="235"/>
      <c r="TMB17" s="235"/>
      <c r="TMC17" s="235"/>
      <c r="TMD17" s="235"/>
      <c r="TME17" s="235"/>
      <c r="TMF17" s="235"/>
      <c r="TMG17" s="235"/>
      <c r="TMH17" s="235"/>
      <c r="TMI17" s="235"/>
      <c r="TMJ17" s="235"/>
      <c r="TMK17" s="235"/>
      <c r="TML17" s="235"/>
      <c r="TMM17" s="235"/>
      <c r="TMN17" s="235"/>
      <c r="TMO17" s="235"/>
      <c r="TMP17" s="235"/>
      <c r="TMQ17" s="235"/>
      <c r="TMR17" s="235"/>
      <c r="TMS17" s="235"/>
      <c r="TMT17" s="235"/>
      <c r="TMU17" s="235"/>
      <c r="TMV17" s="235"/>
      <c r="TMW17" s="235"/>
      <c r="TMX17" s="235"/>
      <c r="TMY17" s="235"/>
      <c r="TMZ17" s="235"/>
      <c r="TNA17" s="235"/>
      <c r="TNB17" s="235"/>
      <c r="TNC17" s="235"/>
      <c r="TND17" s="235"/>
      <c r="TNE17" s="235"/>
      <c r="TNF17" s="235"/>
      <c r="TNG17" s="235"/>
      <c r="TNH17" s="235"/>
      <c r="TNI17" s="235"/>
      <c r="TNJ17" s="235"/>
      <c r="TNK17" s="235"/>
      <c r="TNL17" s="235"/>
      <c r="TNM17" s="235"/>
      <c r="TNN17" s="235"/>
      <c r="TNO17" s="235"/>
      <c r="TNP17" s="235"/>
      <c r="TNQ17" s="235"/>
      <c r="TNR17" s="235"/>
      <c r="TNS17" s="235"/>
      <c r="TNT17" s="235"/>
      <c r="TNU17" s="235"/>
      <c r="TNV17" s="235"/>
      <c r="TNW17" s="235"/>
      <c r="TNX17" s="235"/>
      <c r="TNY17" s="235"/>
      <c r="TNZ17" s="235"/>
      <c r="TOA17" s="235"/>
      <c r="TOB17" s="235"/>
      <c r="TOC17" s="235"/>
      <c r="TOD17" s="235"/>
      <c r="TOE17" s="235"/>
      <c r="TOF17" s="235"/>
      <c r="TOG17" s="235"/>
      <c r="TOH17" s="235"/>
      <c r="TOI17" s="235"/>
      <c r="TOJ17" s="235"/>
      <c r="TOK17" s="235"/>
      <c r="TOL17" s="235"/>
      <c r="TOM17" s="235"/>
      <c r="TON17" s="235"/>
      <c r="TOO17" s="235"/>
      <c r="TOP17" s="235"/>
      <c r="TOQ17" s="235"/>
      <c r="TOR17" s="235"/>
      <c r="TOS17" s="235"/>
      <c r="TOT17" s="235"/>
      <c r="TOU17" s="235"/>
      <c r="TOV17" s="235"/>
      <c r="TOW17" s="235"/>
      <c r="TOX17" s="235"/>
      <c r="TOY17" s="235"/>
      <c r="TOZ17" s="235"/>
      <c r="TPA17" s="235"/>
      <c r="TPB17" s="235"/>
      <c r="TPC17" s="235"/>
      <c r="TPD17" s="235"/>
      <c r="TPE17" s="235"/>
      <c r="TPF17" s="235"/>
      <c r="TPG17" s="235"/>
      <c r="TPH17" s="235"/>
      <c r="TPI17" s="235"/>
      <c r="TPJ17" s="235"/>
      <c r="TPK17" s="235"/>
      <c r="TPL17" s="235"/>
      <c r="TPM17" s="235"/>
      <c r="TPN17" s="235"/>
      <c r="TPO17" s="235"/>
      <c r="TPP17" s="235"/>
      <c r="TPQ17" s="235"/>
      <c r="TPR17" s="235"/>
      <c r="TPS17" s="235"/>
      <c r="TPT17" s="235"/>
      <c r="TPU17" s="235"/>
      <c r="TPV17" s="235"/>
      <c r="TPW17" s="235"/>
      <c r="TPX17" s="235"/>
      <c r="TPY17" s="235"/>
      <c r="TPZ17" s="235"/>
      <c r="TQA17" s="235"/>
      <c r="TQB17" s="235"/>
      <c r="TQC17" s="235"/>
      <c r="TQD17" s="235"/>
      <c r="TQE17" s="235"/>
      <c r="TQF17" s="235"/>
      <c r="TQG17" s="235"/>
      <c r="TQH17" s="235"/>
      <c r="TQI17" s="235"/>
      <c r="TQJ17" s="235"/>
      <c r="TQK17" s="235"/>
      <c r="TQL17" s="235"/>
      <c r="TQM17" s="235"/>
      <c r="TQN17" s="235"/>
      <c r="TQO17" s="235"/>
      <c r="TQP17" s="235"/>
      <c r="TQQ17" s="235"/>
      <c r="TQR17" s="235"/>
      <c r="TQS17" s="235"/>
      <c r="TQT17" s="235"/>
      <c r="TQU17" s="235"/>
      <c r="TQV17" s="235"/>
      <c r="TQW17" s="235"/>
      <c r="TQX17" s="235"/>
      <c r="TQY17" s="235"/>
      <c r="TQZ17" s="235"/>
      <c r="TRA17" s="235"/>
      <c r="TRB17" s="235"/>
      <c r="TRC17" s="235"/>
      <c r="TRD17" s="235"/>
      <c r="TRE17" s="235"/>
      <c r="TRF17" s="235"/>
      <c r="TRG17" s="235"/>
      <c r="TRH17" s="235"/>
      <c r="TRI17" s="235"/>
      <c r="TRJ17" s="235"/>
      <c r="TRK17" s="235"/>
      <c r="TRL17" s="235"/>
      <c r="TRM17" s="235"/>
      <c r="TRN17" s="235"/>
      <c r="TRO17" s="235"/>
      <c r="TRP17" s="235"/>
      <c r="TRQ17" s="235"/>
      <c r="TRR17" s="235"/>
      <c r="TRS17" s="235"/>
      <c r="TRT17" s="235"/>
      <c r="TRU17" s="235"/>
      <c r="TRV17" s="235"/>
      <c r="TRW17" s="235"/>
      <c r="TRX17" s="235"/>
      <c r="TRY17" s="235"/>
      <c r="TRZ17" s="235"/>
      <c r="TSA17" s="235"/>
      <c r="TSB17" s="235"/>
      <c r="TSC17" s="235"/>
      <c r="TSD17" s="235"/>
      <c r="TSE17" s="235"/>
      <c r="TSF17" s="235"/>
      <c r="TSG17" s="235"/>
      <c r="TSH17" s="235"/>
      <c r="TSI17" s="235"/>
      <c r="TSJ17" s="235"/>
      <c r="TSK17" s="235"/>
      <c r="TSL17" s="235"/>
      <c r="TSM17" s="235"/>
      <c r="TSN17" s="235"/>
      <c r="TSO17" s="235"/>
      <c r="TSP17" s="235"/>
      <c r="TSQ17" s="235"/>
      <c r="TSR17" s="235"/>
      <c r="TSS17" s="235"/>
      <c r="TST17" s="235"/>
      <c r="TSU17" s="235"/>
      <c r="TSV17" s="235"/>
      <c r="TSW17" s="235"/>
      <c r="TSX17" s="235"/>
      <c r="TSY17" s="235"/>
      <c r="TSZ17" s="235"/>
      <c r="TTA17" s="235"/>
      <c r="TTB17" s="235"/>
      <c r="TTC17" s="235"/>
      <c r="TTD17" s="235"/>
      <c r="TTE17" s="235"/>
      <c r="TTF17" s="235"/>
      <c r="TTG17" s="235"/>
      <c r="TTH17" s="235"/>
      <c r="TTI17" s="235"/>
      <c r="TTJ17" s="235"/>
      <c r="TTK17" s="235"/>
      <c r="TTL17" s="235"/>
      <c r="TTM17" s="235"/>
      <c r="TTN17" s="235"/>
      <c r="TTO17" s="235"/>
      <c r="TTP17" s="235"/>
      <c r="TTQ17" s="235"/>
      <c r="TTR17" s="235"/>
      <c r="TTS17" s="235"/>
      <c r="TTT17" s="235"/>
      <c r="TTU17" s="235"/>
      <c r="TTV17" s="235"/>
      <c r="TTW17" s="235"/>
      <c r="TTX17" s="235"/>
      <c r="TTY17" s="235"/>
      <c r="TTZ17" s="235"/>
      <c r="TUA17" s="235"/>
      <c r="TUB17" s="235"/>
      <c r="TUC17" s="235"/>
      <c r="TUD17" s="235"/>
      <c r="TUE17" s="235"/>
      <c r="TUF17" s="235"/>
      <c r="TUG17" s="235"/>
      <c r="TUH17" s="235"/>
      <c r="TUI17" s="235"/>
      <c r="TUJ17" s="235"/>
      <c r="TUK17" s="235"/>
      <c r="TUL17" s="235"/>
      <c r="TUM17" s="235"/>
      <c r="TUN17" s="235"/>
      <c r="TUO17" s="235"/>
      <c r="TUP17" s="235"/>
      <c r="TUQ17" s="235"/>
      <c r="TUR17" s="235"/>
      <c r="TUS17" s="235"/>
      <c r="TUT17" s="235"/>
      <c r="TUU17" s="235"/>
      <c r="TUV17" s="235"/>
      <c r="TUW17" s="235"/>
      <c r="TUX17" s="235"/>
      <c r="TUY17" s="235"/>
      <c r="TUZ17" s="235"/>
      <c r="TVA17" s="235"/>
      <c r="TVB17" s="235"/>
      <c r="TVC17" s="235"/>
      <c r="TVD17" s="235"/>
      <c r="TVE17" s="235"/>
      <c r="TVF17" s="235"/>
      <c r="TVG17" s="235"/>
      <c r="TVH17" s="235"/>
      <c r="TVI17" s="235"/>
      <c r="TVJ17" s="235"/>
      <c r="TVK17" s="235"/>
      <c r="TVL17" s="235"/>
      <c r="TVM17" s="235"/>
      <c r="TVN17" s="235"/>
      <c r="TVO17" s="235"/>
      <c r="TVP17" s="235"/>
      <c r="TVQ17" s="235"/>
      <c r="TVR17" s="235"/>
      <c r="TVS17" s="235"/>
      <c r="TVT17" s="235"/>
      <c r="TVU17" s="235"/>
      <c r="TVV17" s="235"/>
      <c r="TVW17" s="235"/>
      <c r="TVX17" s="235"/>
      <c r="TVY17" s="235"/>
      <c r="TVZ17" s="235"/>
      <c r="TWA17" s="235"/>
      <c r="TWB17" s="235"/>
      <c r="TWC17" s="235"/>
      <c r="TWD17" s="235"/>
      <c r="TWE17" s="235"/>
      <c r="TWF17" s="235"/>
      <c r="TWG17" s="235"/>
      <c r="TWH17" s="235"/>
      <c r="TWI17" s="235"/>
      <c r="TWJ17" s="235"/>
      <c r="TWK17" s="235"/>
      <c r="TWL17" s="235"/>
      <c r="TWM17" s="235"/>
      <c r="TWN17" s="235"/>
      <c r="TWO17" s="235"/>
      <c r="TWP17" s="235"/>
      <c r="TWQ17" s="235"/>
      <c r="TWR17" s="235"/>
      <c r="TWS17" s="235"/>
      <c r="TWT17" s="235"/>
      <c r="TWU17" s="235"/>
      <c r="TWV17" s="235"/>
      <c r="TWW17" s="235"/>
      <c r="TWX17" s="235"/>
      <c r="TWY17" s="235"/>
      <c r="TWZ17" s="235"/>
      <c r="TXA17" s="235"/>
      <c r="TXB17" s="235"/>
      <c r="TXC17" s="235"/>
      <c r="TXD17" s="235"/>
      <c r="TXE17" s="235"/>
      <c r="TXF17" s="235"/>
      <c r="TXG17" s="235"/>
      <c r="TXH17" s="235"/>
      <c r="TXI17" s="235"/>
      <c r="TXJ17" s="235"/>
      <c r="TXK17" s="235"/>
      <c r="TXL17" s="235"/>
      <c r="TXM17" s="235"/>
      <c r="TXN17" s="235"/>
      <c r="TXO17" s="235"/>
      <c r="TXP17" s="235"/>
      <c r="TXQ17" s="235"/>
      <c r="TXR17" s="235"/>
      <c r="TXS17" s="235"/>
      <c r="TXT17" s="235"/>
      <c r="TXU17" s="235"/>
      <c r="TXV17" s="235"/>
      <c r="TXW17" s="235"/>
      <c r="TXX17" s="235"/>
      <c r="TXY17" s="235"/>
      <c r="TXZ17" s="235"/>
      <c r="TYA17" s="235"/>
      <c r="TYB17" s="235"/>
      <c r="TYC17" s="235"/>
      <c r="TYD17" s="235"/>
      <c r="TYE17" s="235"/>
      <c r="TYF17" s="235"/>
      <c r="TYG17" s="235"/>
      <c r="TYH17" s="235"/>
      <c r="TYI17" s="235"/>
      <c r="TYJ17" s="235"/>
      <c r="TYK17" s="235"/>
      <c r="TYL17" s="235"/>
      <c r="TYM17" s="235"/>
      <c r="TYN17" s="235"/>
      <c r="TYO17" s="235"/>
      <c r="TYP17" s="235"/>
      <c r="TYQ17" s="235"/>
      <c r="TYR17" s="235"/>
      <c r="TYS17" s="235"/>
      <c r="TYT17" s="235"/>
      <c r="TYU17" s="235"/>
      <c r="TYV17" s="235"/>
      <c r="TYW17" s="235"/>
      <c r="TYX17" s="235"/>
      <c r="TYY17" s="235"/>
      <c r="TYZ17" s="235"/>
      <c r="TZA17" s="235"/>
      <c r="TZB17" s="235"/>
      <c r="TZC17" s="235"/>
      <c r="TZD17" s="235"/>
      <c r="TZE17" s="235"/>
      <c r="TZF17" s="235"/>
      <c r="TZG17" s="235"/>
      <c r="TZH17" s="235"/>
      <c r="TZI17" s="235"/>
      <c r="TZJ17" s="235"/>
      <c r="TZK17" s="235"/>
      <c r="TZL17" s="235"/>
      <c r="TZM17" s="235"/>
      <c r="TZN17" s="235"/>
      <c r="TZO17" s="235"/>
      <c r="TZP17" s="235"/>
      <c r="TZQ17" s="235"/>
      <c r="TZR17" s="235"/>
      <c r="TZS17" s="235"/>
      <c r="TZT17" s="235"/>
      <c r="TZU17" s="235"/>
      <c r="TZV17" s="235"/>
      <c r="TZW17" s="235"/>
      <c r="TZX17" s="235"/>
      <c r="TZY17" s="235"/>
      <c r="TZZ17" s="235"/>
      <c r="UAA17" s="235"/>
      <c r="UAB17" s="235"/>
      <c r="UAC17" s="235"/>
      <c r="UAD17" s="235"/>
      <c r="UAE17" s="235"/>
      <c r="UAF17" s="235"/>
      <c r="UAG17" s="235"/>
      <c r="UAH17" s="235"/>
      <c r="UAI17" s="235"/>
      <c r="UAJ17" s="235"/>
      <c r="UAK17" s="235"/>
      <c r="UAL17" s="235"/>
      <c r="UAM17" s="235"/>
      <c r="UAN17" s="235"/>
      <c r="UAO17" s="235"/>
      <c r="UAP17" s="235"/>
      <c r="UAQ17" s="235"/>
      <c r="UAR17" s="235"/>
      <c r="UAS17" s="235"/>
      <c r="UAT17" s="235"/>
      <c r="UAU17" s="235"/>
      <c r="UAV17" s="235"/>
      <c r="UAW17" s="235"/>
      <c r="UAX17" s="235"/>
      <c r="UAY17" s="235"/>
      <c r="UAZ17" s="235"/>
      <c r="UBA17" s="235"/>
      <c r="UBB17" s="235"/>
      <c r="UBC17" s="235"/>
      <c r="UBD17" s="235"/>
      <c r="UBE17" s="235"/>
      <c r="UBF17" s="235"/>
      <c r="UBG17" s="235"/>
      <c r="UBH17" s="235"/>
      <c r="UBI17" s="235"/>
      <c r="UBJ17" s="235"/>
      <c r="UBK17" s="235"/>
      <c r="UBL17" s="235"/>
      <c r="UBM17" s="235"/>
      <c r="UBN17" s="235"/>
      <c r="UBO17" s="235"/>
      <c r="UBP17" s="235"/>
      <c r="UBQ17" s="235"/>
      <c r="UBR17" s="235"/>
      <c r="UBS17" s="235"/>
      <c r="UBT17" s="235"/>
      <c r="UBU17" s="235"/>
      <c r="UBV17" s="235"/>
      <c r="UBW17" s="235"/>
      <c r="UBX17" s="235"/>
      <c r="UBY17" s="235"/>
      <c r="UBZ17" s="235"/>
      <c r="UCA17" s="235"/>
      <c r="UCB17" s="235"/>
      <c r="UCC17" s="235"/>
      <c r="UCD17" s="235"/>
      <c r="UCE17" s="235"/>
      <c r="UCF17" s="235"/>
      <c r="UCG17" s="235"/>
      <c r="UCH17" s="235"/>
      <c r="UCI17" s="235"/>
      <c r="UCJ17" s="235"/>
      <c r="UCK17" s="235"/>
      <c r="UCL17" s="235"/>
      <c r="UCM17" s="235"/>
      <c r="UCN17" s="235"/>
      <c r="UCO17" s="235"/>
      <c r="UCP17" s="235"/>
      <c r="UCQ17" s="235"/>
      <c r="UCR17" s="235"/>
      <c r="UCS17" s="235"/>
      <c r="UCT17" s="235"/>
      <c r="UCU17" s="235"/>
      <c r="UCV17" s="235"/>
      <c r="UCW17" s="235"/>
      <c r="UCX17" s="235"/>
      <c r="UCY17" s="235"/>
      <c r="UCZ17" s="235"/>
      <c r="UDA17" s="235"/>
      <c r="UDB17" s="235"/>
      <c r="UDC17" s="235"/>
      <c r="UDD17" s="235"/>
      <c r="UDE17" s="235"/>
      <c r="UDF17" s="235"/>
      <c r="UDG17" s="235"/>
      <c r="UDH17" s="235"/>
      <c r="UDI17" s="235"/>
      <c r="UDJ17" s="235"/>
      <c r="UDK17" s="235"/>
      <c r="UDL17" s="235"/>
      <c r="UDM17" s="235"/>
      <c r="UDN17" s="235"/>
      <c r="UDO17" s="235"/>
      <c r="UDP17" s="235"/>
      <c r="UDQ17" s="235"/>
      <c r="UDR17" s="235"/>
      <c r="UDS17" s="235"/>
      <c r="UDT17" s="235"/>
      <c r="UDU17" s="235"/>
      <c r="UDV17" s="235"/>
      <c r="UDW17" s="235"/>
      <c r="UDX17" s="235"/>
      <c r="UDY17" s="235"/>
      <c r="UDZ17" s="235"/>
      <c r="UEA17" s="235"/>
      <c r="UEB17" s="235"/>
      <c r="UEC17" s="235"/>
      <c r="UED17" s="235"/>
      <c r="UEE17" s="235"/>
      <c r="UEF17" s="235"/>
      <c r="UEG17" s="235"/>
      <c r="UEH17" s="235"/>
      <c r="UEI17" s="235"/>
      <c r="UEJ17" s="235"/>
      <c r="UEK17" s="235"/>
      <c r="UEL17" s="235"/>
      <c r="UEM17" s="235"/>
      <c r="UEN17" s="235"/>
      <c r="UEO17" s="235"/>
      <c r="UEP17" s="235"/>
      <c r="UEQ17" s="235"/>
      <c r="UER17" s="235"/>
      <c r="UES17" s="235"/>
      <c r="UET17" s="235"/>
      <c r="UEU17" s="235"/>
      <c r="UEV17" s="235"/>
      <c r="UEW17" s="235"/>
      <c r="UEX17" s="235"/>
      <c r="UEY17" s="235"/>
      <c r="UEZ17" s="235"/>
      <c r="UFA17" s="235"/>
      <c r="UFB17" s="235"/>
      <c r="UFC17" s="235"/>
      <c r="UFD17" s="235"/>
      <c r="UFE17" s="235"/>
      <c r="UFF17" s="235"/>
      <c r="UFG17" s="235"/>
      <c r="UFH17" s="235"/>
      <c r="UFI17" s="235"/>
      <c r="UFJ17" s="235"/>
      <c r="UFK17" s="235"/>
      <c r="UFL17" s="235"/>
      <c r="UFM17" s="235"/>
      <c r="UFN17" s="235"/>
      <c r="UFO17" s="235"/>
      <c r="UFP17" s="235"/>
      <c r="UFQ17" s="235"/>
      <c r="UFR17" s="235"/>
      <c r="UFS17" s="235"/>
      <c r="UFT17" s="235"/>
      <c r="UFU17" s="235"/>
      <c r="UFV17" s="235"/>
      <c r="UFW17" s="235"/>
      <c r="UFX17" s="235"/>
      <c r="UFY17" s="235"/>
      <c r="UFZ17" s="235"/>
      <c r="UGA17" s="235"/>
      <c r="UGB17" s="235"/>
      <c r="UGC17" s="235"/>
      <c r="UGD17" s="235"/>
      <c r="UGE17" s="235"/>
      <c r="UGF17" s="235"/>
      <c r="UGG17" s="235"/>
      <c r="UGH17" s="235"/>
      <c r="UGI17" s="235"/>
      <c r="UGJ17" s="235"/>
      <c r="UGK17" s="235"/>
      <c r="UGL17" s="235"/>
      <c r="UGM17" s="235"/>
      <c r="UGN17" s="235"/>
      <c r="UGO17" s="235"/>
      <c r="UGP17" s="235"/>
      <c r="UGQ17" s="235"/>
      <c r="UGR17" s="235"/>
      <c r="UGS17" s="235"/>
      <c r="UGT17" s="235"/>
      <c r="UGU17" s="235"/>
      <c r="UGV17" s="235"/>
      <c r="UGW17" s="235"/>
      <c r="UGX17" s="235"/>
      <c r="UGY17" s="235"/>
      <c r="UGZ17" s="235"/>
      <c r="UHA17" s="235"/>
      <c r="UHB17" s="235"/>
      <c r="UHC17" s="235"/>
      <c r="UHD17" s="235"/>
      <c r="UHE17" s="235"/>
      <c r="UHF17" s="235"/>
      <c r="UHG17" s="235"/>
      <c r="UHH17" s="235"/>
      <c r="UHI17" s="235"/>
      <c r="UHJ17" s="235"/>
      <c r="UHK17" s="235"/>
      <c r="UHL17" s="235"/>
      <c r="UHM17" s="235"/>
      <c r="UHN17" s="235"/>
      <c r="UHO17" s="235"/>
      <c r="UHP17" s="235"/>
      <c r="UHQ17" s="235"/>
      <c r="UHR17" s="235"/>
      <c r="UHS17" s="235"/>
      <c r="UHT17" s="235"/>
      <c r="UHU17" s="235"/>
      <c r="UHV17" s="235"/>
      <c r="UHW17" s="235"/>
      <c r="UHX17" s="235"/>
      <c r="UHY17" s="235"/>
      <c r="UHZ17" s="235"/>
      <c r="UIA17" s="235"/>
      <c r="UIB17" s="235"/>
      <c r="UIC17" s="235"/>
      <c r="UID17" s="235"/>
      <c r="UIE17" s="235"/>
      <c r="UIF17" s="235"/>
      <c r="UIG17" s="235"/>
      <c r="UIH17" s="235"/>
      <c r="UII17" s="235"/>
      <c r="UIJ17" s="235"/>
      <c r="UIK17" s="235"/>
      <c r="UIL17" s="235"/>
      <c r="UIM17" s="235"/>
      <c r="UIN17" s="235"/>
      <c r="UIO17" s="235"/>
      <c r="UIP17" s="235"/>
      <c r="UIQ17" s="235"/>
      <c r="UIR17" s="235"/>
      <c r="UIS17" s="235"/>
      <c r="UIT17" s="235"/>
      <c r="UIU17" s="235"/>
      <c r="UIV17" s="235"/>
      <c r="UIW17" s="235"/>
      <c r="UIX17" s="235"/>
      <c r="UIY17" s="235"/>
      <c r="UIZ17" s="235"/>
      <c r="UJA17" s="235"/>
      <c r="UJB17" s="235"/>
      <c r="UJC17" s="235"/>
      <c r="UJD17" s="235"/>
      <c r="UJE17" s="235"/>
      <c r="UJF17" s="235"/>
      <c r="UJG17" s="235"/>
      <c r="UJH17" s="235"/>
      <c r="UJI17" s="235"/>
      <c r="UJJ17" s="235"/>
      <c r="UJK17" s="235"/>
      <c r="UJL17" s="235"/>
      <c r="UJM17" s="235"/>
      <c r="UJN17" s="235"/>
      <c r="UJO17" s="235"/>
      <c r="UJP17" s="235"/>
      <c r="UJQ17" s="235"/>
      <c r="UJR17" s="235"/>
      <c r="UJS17" s="235"/>
      <c r="UJT17" s="235"/>
      <c r="UJU17" s="235"/>
      <c r="UJV17" s="235"/>
      <c r="UJW17" s="235"/>
      <c r="UJX17" s="235"/>
      <c r="UJY17" s="235"/>
      <c r="UJZ17" s="235"/>
      <c r="UKA17" s="235"/>
      <c r="UKB17" s="235"/>
      <c r="UKC17" s="235"/>
      <c r="UKD17" s="235"/>
      <c r="UKE17" s="235"/>
      <c r="UKF17" s="235"/>
      <c r="UKG17" s="235"/>
      <c r="UKH17" s="235"/>
      <c r="UKI17" s="235"/>
      <c r="UKJ17" s="235"/>
      <c r="UKK17" s="235"/>
      <c r="UKL17" s="235"/>
      <c r="UKM17" s="235"/>
      <c r="UKN17" s="235"/>
      <c r="UKO17" s="235"/>
      <c r="UKP17" s="235"/>
      <c r="UKQ17" s="235"/>
      <c r="UKR17" s="235"/>
      <c r="UKS17" s="235"/>
      <c r="UKT17" s="235"/>
      <c r="UKU17" s="235"/>
      <c r="UKV17" s="235"/>
      <c r="UKW17" s="235"/>
      <c r="UKX17" s="235"/>
      <c r="UKY17" s="235"/>
      <c r="UKZ17" s="235"/>
      <c r="ULA17" s="235"/>
      <c r="ULB17" s="235"/>
      <c r="ULC17" s="235"/>
      <c r="ULD17" s="235"/>
      <c r="ULE17" s="235"/>
      <c r="ULF17" s="235"/>
      <c r="ULG17" s="235"/>
      <c r="ULH17" s="235"/>
      <c r="ULI17" s="235"/>
      <c r="ULJ17" s="235"/>
      <c r="ULK17" s="235"/>
      <c r="ULL17" s="235"/>
      <c r="ULM17" s="235"/>
      <c r="ULN17" s="235"/>
      <c r="ULO17" s="235"/>
      <c r="ULP17" s="235"/>
      <c r="ULQ17" s="235"/>
      <c r="ULR17" s="235"/>
      <c r="ULS17" s="235"/>
      <c r="ULT17" s="235"/>
      <c r="ULU17" s="235"/>
      <c r="ULV17" s="235"/>
      <c r="ULW17" s="235"/>
      <c r="ULX17" s="235"/>
      <c r="ULY17" s="235"/>
      <c r="ULZ17" s="235"/>
      <c r="UMA17" s="235"/>
      <c r="UMB17" s="235"/>
      <c r="UMC17" s="235"/>
      <c r="UMD17" s="235"/>
      <c r="UME17" s="235"/>
      <c r="UMF17" s="235"/>
      <c r="UMG17" s="235"/>
      <c r="UMH17" s="235"/>
      <c r="UMI17" s="235"/>
      <c r="UMJ17" s="235"/>
      <c r="UMK17" s="235"/>
      <c r="UML17" s="235"/>
      <c r="UMM17" s="235"/>
      <c r="UMN17" s="235"/>
      <c r="UMO17" s="235"/>
      <c r="UMP17" s="235"/>
      <c r="UMQ17" s="235"/>
      <c r="UMR17" s="235"/>
      <c r="UMS17" s="235"/>
      <c r="UMT17" s="235"/>
      <c r="UMU17" s="235"/>
      <c r="UMV17" s="235"/>
      <c r="UMW17" s="235"/>
      <c r="UMX17" s="235"/>
      <c r="UMY17" s="235"/>
      <c r="UMZ17" s="235"/>
      <c r="UNA17" s="235"/>
      <c r="UNB17" s="235"/>
      <c r="UNC17" s="235"/>
      <c r="UND17" s="235"/>
      <c r="UNE17" s="235"/>
      <c r="UNF17" s="235"/>
      <c r="UNG17" s="235"/>
      <c r="UNH17" s="235"/>
      <c r="UNI17" s="235"/>
      <c r="UNJ17" s="235"/>
      <c r="UNK17" s="235"/>
      <c r="UNL17" s="235"/>
      <c r="UNM17" s="235"/>
      <c r="UNN17" s="235"/>
      <c r="UNO17" s="235"/>
      <c r="UNP17" s="235"/>
      <c r="UNQ17" s="235"/>
      <c r="UNR17" s="235"/>
      <c r="UNS17" s="235"/>
      <c r="UNT17" s="235"/>
      <c r="UNU17" s="235"/>
      <c r="UNV17" s="235"/>
      <c r="UNW17" s="235"/>
      <c r="UNX17" s="235"/>
      <c r="UNY17" s="235"/>
      <c r="UNZ17" s="235"/>
      <c r="UOA17" s="235"/>
      <c r="UOB17" s="235"/>
      <c r="UOC17" s="235"/>
      <c r="UOD17" s="235"/>
      <c r="UOE17" s="235"/>
      <c r="UOF17" s="235"/>
      <c r="UOG17" s="235"/>
      <c r="UOH17" s="235"/>
      <c r="UOI17" s="235"/>
      <c r="UOJ17" s="235"/>
      <c r="UOK17" s="235"/>
      <c r="UOL17" s="235"/>
      <c r="UOM17" s="235"/>
      <c r="UON17" s="235"/>
      <c r="UOO17" s="235"/>
      <c r="UOP17" s="235"/>
      <c r="UOQ17" s="235"/>
      <c r="UOR17" s="235"/>
      <c r="UOS17" s="235"/>
      <c r="UOT17" s="235"/>
      <c r="UOU17" s="235"/>
      <c r="UOV17" s="235"/>
      <c r="UOW17" s="235"/>
      <c r="UOX17" s="235"/>
      <c r="UOY17" s="235"/>
      <c r="UOZ17" s="235"/>
      <c r="UPA17" s="235"/>
      <c r="UPB17" s="235"/>
      <c r="UPC17" s="235"/>
      <c r="UPD17" s="235"/>
      <c r="UPE17" s="235"/>
      <c r="UPF17" s="235"/>
      <c r="UPG17" s="235"/>
      <c r="UPH17" s="235"/>
      <c r="UPI17" s="235"/>
      <c r="UPJ17" s="235"/>
      <c r="UPK17" s="235"/>
      <c r="UPL17" s="235"/>
      <c r="UPM17" s="235"/>
      <c r="UPN17" s="235"/>
      <c r="UPO17" s="235"/>
      <c r="UPP17" s="235"/>
      <c r="UPQ17" s="235"/>
      <c r="UPR17" s="235"/>
      <c r="UPS17" s="235"/>
      <c r="UPT17" s="235"/>
      <c r="UPU17" s="235"/>
      <c r="UPV17" s="235"/>
      <c r="UPW17" s="235"/>
      <c r="UPX17" s="235"/>
      <c r="UPY17" s="235"/>
      <c r="UPZ17" s="235"/>
      <c r="UQA17" s="235"/>
      <c r="UQB17" s="235"/>
      <c r="UQC17" s="235"/>
      <c r="UQD17" s="235"/>
      <c r="UQE17" s="235"/>
      <c r="UQF17" s="235"/>
      <c r="UQG17" s="235"/>
      <c r="UQH17" s="235"/>
      <c r="UQI17" s="235"/>
      <c r="UQJ17" s="235"/>
      <c r="UQK17" s="235"/>
      <c r="UQL17" s="235"/>
      <c r="UQM17" s="235"/>
      <c r="UQN17" s="235"/>
      <c r="UQO17" s="235"/>
      <c r="UQP17" s="235"/>
      <c r="UQQ17" s="235"/>
      <c r="UQR17" s="235"/>
      <c r="UQS17" s="235"/>
      <c r="UQT17" s="235"/>
      <c r="UQU17" s="235"/>
      <c r="UQV17" s="235"/>
      <c r="UQW17" s="235"/>
      <c r="UQX17" s="235"/>
      <c r="UQY17" s="235"/>
      <c r="UQZ17" s="235"/>
      <c r="URA17" s="235"/>
      <c r="URB17" s="235"/>
      <c r="URC17" s="235"/>
      <c r="URD17" s="235"/>
      <c r="URE17" s="235"/>
      <c r="URF17" s="235"/>
      <c r="URG17" s="235"/>
      <c r="URH17" s="235"/>
      <c r="URI17" s="235"/>
      <c r="URJ17" s="235"/>
      <c r="URK17" s="235"/>
      <c r="URL17" s="235"/>
      <c r="URM17" s="235"/>
      <c r="URN17" s="235"/>
      <c r="URO17" s="235"/>
      <c r="URP17" s="235"/>
      <c r="URQ17" s="235"/>
      <c r="URR17" s="235"/>
      <c r="URS17" s="235"/>
      <c r="URT17" s="235"/>
      <c r="URU17" s="235"/>
      <c r="URV17" s="235"/>
      <c r="URW17" s="235"/>
      <c r="URX17" s="235"/>
      <c r="URY17" s="235"/>
      <c r="URZ17" s="235"/>
      <c r="USA17" s="235"/>
      <c r="USB17" s="235"/>
      <c r="USC17" s="235"/>
      <c r="USD17" s="235"/>
      <c r="USE17" s="235"/>
      <c r="USF17" s="235"/>
      <c r="USG17" s="235"/>
      <c r="USH17" s="235"/>
      <c r="USI17" s="235"/>
      <c r="USJ17" s="235"/>
      <c r="USK17" s="235"/>
      <c r="USL17" s="235"/>
      <c r="USM17" s="235"/>
      <c r="USN17" s="235"/>
      <c r="USO17" s="235"/>
      <c r="USP17" s="235"/>
      <c r="USQ17" s="235"/>
      <c r="USR17" s="235"/>
      <c r="USS17" s="235"/>
      <c r="UST17" s="235"/>
      <c r="USU17" s="235"/>
      <c r="USV17" s="235"/>
      <c r="USW17" s="235"/>
      <c r="USX17" s="235"/>
      <c r="USY17" s="235"/>
      <c r="USZ17" s="235"/>
      <c r="UTA17" s="235"/>
      <c r="UTB17" s="235"/>
      <c r="UTC17" s="235"/>
      <c r="UTD17" s="235"/>
      <c r="UTE17" s="235"/>
      <c r="UTF17" s="235"/>
      <c r="UTG17" s="235"/>
      <c r="UTH17" s="235"/>
      <c r="UTI17" s="235"/>
      <c r="UTJ17" s="235"/>
      <c r="UTK17" s="235"/>
      <c r="UTL17" s="235"/>
      <c r="UTM17" s="235"/>
      <c r="UTN17" s="235"/>
      <c r="UTO17" s="235"/>
      <c r="UTP17" s="235"/>
      <c r="UTQ17" s="235"/>
      <c r="UTR17" s="235"/>
      <c r="UTS17" s="235"/>
      <c r="UTT17" s="235"/>
      <c r="UTU17" s="235"/>
      <c r="UTV17" s="235"/>
      <c r="UTW17" s="235"/>
      <c r="UTX17" s="235"/>
      <c r="UTY17" s="235"/>
      <c r="UTZ17" s="235"/>
      <c r="UUA17" s="235"/>
      <c r="UUB17" s="235"/>
      <c r="UUC17" s="235"/>
      <c r="UUD17" s="235"/>
      <c r="UUE17" s="235"/>
      <c r="UUF17" s="235"/>
      <c r="UUG17" s="235"/>
      <c r="UUH17" s="235"/>
      <c r="UUI17" s="235"/>
      <c r="UUJ17" s="235"/>
      <c r="UUK17" s="235"/>
      <c r="UUL17" s="235"/>
      <c r="UUM17" s="235"/>
      <c r="UUN17" s="235"/>
      <c r="UUO17" s="235"/>
      <c r="UUP17" s="235"/>
      <c r="UUQ17" s="235"/>
      <c r="UUR17" s="235"/>
      <c r="UUS17" s="235"/>
      <c r="UUT17" s="235"/>
      <c r="UUU17" s="235"/>
      <c r="UUV17" s="235"/>
      <c r="UUW17" s="235"/>
      <c r="UUX17" s="235"/>
      <c r="UUY17" s="235"/>
      <c r="UUZ17" s="235"/>
      <c r="UVA17" s="235"/>
      <c r="UVB17" s="235"/>
      <c r="UVC17" s="235"/>
      <c r="UVD17" s="235"/>
      <c r="UVE17" s="235"/>
      <c r="UVF17" s="235"/>
      <c r="UVG17" s="235"/>
      <c r="UVH17" s="235"/>
      <c r="UVI17" s="235"/>
      <c r="UVJ17" s="235"/>
      <c r="UVK17" s="235"/>
      <c r="UVL17" s="235"/>
      <c r="UVM17" s="235"/>
      <c r="UVN17" s="235"/>
      <c r="UVO17" s="235"/>
      <c r="UVP17" s="235"/>
      <c r="UVQ17" s="235"/>
      <c r="UVR17" s="235"/>
      <c r="UVS17" s="235"/>
      <c r="UVT17" s="235"/>
      <c r="UVU17" s="235"/>
      <c r="UVV17" s="235"/>
      <c r="UVW17" s="235"/>
      <c r="UVX17" s="235"/>
      <c r="UVY17" s="235"/>
      <c r="UVZ17" s="235"/>
      <c r="UWA17" s="235"/>
      <c r="UWB17" s="235"/>
      <c r="UWC17" s="235"/>
      <c r="UWD17" s="235"/>
      <c r="UWE17" s="235"/>
      <c r="UWF17" s="235"/>
      <c r="UWG17" s="235"/>
      <c r="UWH17" s="235"/>
      <c r="UWI17" s="235"/>
      <c r="UWJ17" s="235"/>
      <c r="UWK17" s="235"/>
      <c r="UWL17" s="235"/>
      <c r="UWM17" s="235"/>
      <c r="UWN17" s="235"/>
      <c r="UWO17" s="235"/>
      <c r="UWP17" s="235"/>
      <c r="UWQ17" s="235"/>
      <c r="UWR17" s="235"/>
      <c r="UWS17" s="235"/>
      <c r="UWT17" s="235"/>
      <c r="UWU17" s="235"/>
      <c r="UWV17" s="235"/>
      <c r="UWW17" s="235"/>
      <c r="UWX17" s="235"/>
      <c r="UWY17" s="235"/>
      <c r="UWZ17" s="235"/>
      <c r="UXA17" s="235"/>
      <c r="UXB17" s="235"/>
      <c r="UXC17" s="235"/>
      <c r="UXD17" s="235"/>
      <c r="UXE17" s="235"/>
      <c r="UXF17" s="235"/>
      <c r="UXG17" s="235"/>
      <c r="UXH17" s="235"/>
      <c r="UXI17" s="235"/>
      <c r="UXJ17" s="235"/>
      <c r="UXK17" s="235"/>
      <c r="UXL17" s="235"/>
      <c r="UXM17" s="235"/>
      <c r="UXN17" s="235"/>
      <c r="UXO17" s="235"/>
      <c r="UXP17" s="235"/>
      <c r="UXQ17" s="235"/>
      <c r="UXR17" s="235"/>
      <c r="UXS17" s="235"/>
      <c r="UXT17" s="235"/>
      <c r="UXU17" s="235"/>
      <c r="UXV17" s="235"/>
      <c r="UXW17" s="235"/>
      <c r="UXX17" s="235"/>
      <c r="UXY17" s="235"/>
      <c r="UXZ17" s="235"/>
      <c r="UYA17" s="235"/>
      <c r="UYB17" s="235"/>
      <c r="UYC17" s="235"/>
      <c r="UYD17" s="235"/>
      <c r="UYE17" s="235"/>
      <c r="UYF17" s="235"/>
      <c r="UYG17" s="235"/>
      <c r="UYH17" s="235"/>
      <c r="UYI17" s="235"/>
      <c r="UYJ17" s="235"/>
      <c r="UYK17" s="235"/>
      <c r="UYL17" s="235"/>
      <c r="UYM17" s="235"/>
      <c r="UYN17" s="235"/>
      <c r="UYO17" s="235"/>
      <c r="UYP17" s="235"/>
      <c r="UYQ17" s="235"/>
      <c r="UYR17" s="235"/>
      <c r="UYS17" s="235"/>
      <c r="UYT17" s="235"/>
      <c r="UYU17" s="235"/>
      <c r="UYV17" s="235"/>
      <c r="UYW17" s="235"/>
      <c r="UYX17" s="235"/>
      <c r="UYY17" s="235"/>
      <c r="UYZ17" s="235"/>
      <c r="UZA17" s="235"/>
      <c r="UZB17" s="235"/>
      <c r="UZC17" s="235"/>
      <c r="UZD17" s="235"/>
      <c r="UZE17" s="235"/>
      <c r="UZF17" s="235"/>
      <c r="UZG17" s="235"/>
      <c r="UZH17" s="235"/>
      <c r="UZI17" s="235"/>
      <c r="UZJ17" s="235"/>
      <c r="UZK17" s="235"/>
      <c r="UZL17" s="235"/>
      <c r="UZM17" s="235"/>
      <c r="UZN17" s="235"/>
      <c r="UZO17" s="235"/>
      <c r="UZP17" s="235"/>
      <c r="UZQ17" s="235"/>
      <c r="UZR17" s="235"/>
      <c r="UZS17" s="235"/>
      <c r="UZT17" s="235"/>
      <c r="UZU17" s="235"/>
      <c r="UZV17" s="235"/>
      <c r="UZW17" s="235"/>
      <c r="UZX17" s="235"/>
      <c r="UZY17" s="235"/>
      <c r="UZZ17" s="235"/>
      <c r="VAA17" s="235"/>
      <c r="VAB17" s="235"/>
      <c r="VAC17" s="235"/>
      <c r="VAD17" s="235"/>
      <c r="VAE17" s="235"/>
      <c r="VAF17" s="235"/>
      <c r="VAG17" s="235"/>
      <c r="VAH17" s="235"/>
      <c r="VAI17" s="235"/>
      <c r="VAJ17" s="235"/>
      <c r="VAK17" s="235"/>
      <c r="VAL17" s="235"/>
      <c r="VAM17" s="235"/>
      <c r="VAN17" s="235"/>
      <c r="VAO17" s="235"/>
      <c r="VAP17" s="235"/>
      <c r="VAQ17" s="235"/>
      <c r="VAR17" s="235"/>
      <c r="VAS17" s="235"/>
      <c r="VAT17" s="235"/>
      <c r="VAU17" s="235"/>
      <c r="VAV17" s="235"/>
      <c r="VAW17" s="235"/>
      <c r="VAX17" s="235"/>
      <c r="VAY17" s="235"/>
      <c r="VAZ17" s="235"/>
      <c r="VBA17" s="235"/>
      <c r="VBB17" s="235"/>
      <c r="VBC17" s="235"/>
      <c r="VBD17" s="235"/>
      <c r="VBE17" s="235"/>
      <c r="VBF17" s="235"/>
      <c r="VBG17" s="235"/>
      <c r="VBH17" s="235"/>
      <c r="VBI17" s="235"/>
      <c r="VBJ17" s="235"/>
      <c r="VBK17" s="235"/>
      <c r="VBL17" s="235"/>
      <c r="VBM17" s="235"/>
      <c r="VBN17" s="235"/>
      <c r="VBO17" s="235"/>
      <c r="VBP17" s="235"/>
      <c r="VBQ17" s="235"/>
      <c r="VBR17" s="235"/>
      <c r="VBS17" s="235"/>
      <c r="VBT17" s="235"/>
      <c r="VBU17" s="235"/>
      <c r="VBV17" s="235"/>
      <c r="VBW17" s="235"/>
      <c r="VBX17" s="235"/>
      <c r="VBY17" s="235"/>
      <c r="VBZ17" s="235"/>
      <c r="VCA17" s="235"/>
      <c r="VCB17" s="235"/>
      <c r="VCC17" s="235"/>
      <c r="VCD17" s="235"/>
      <c r="VCE17" s="235"/>
      <c r="VCF17" s="235"/>
      <c r="VCG17" s="235"/>
      <c r="VCH17" s="235"/>
      <c r="VCI17" s="235"/>
      <c r="VCJ17" s="235"/>
      <c r="VCK17" s="235"/>
      <c r="VCL17" s="235"/>
      <c r="VCM17" s="235"/>
      <c r="VCN17" s="235"/>
      <c r="VCO17" s="235"/>
      <c r="VCP17" s="235"/>
      <c r="VCQ17" s="235"/>
      <c r="VCR17" s="235"/>
      <c r="VCS17" s="235"/>
      <c r="VCT17" s="235"/>
      <c r="VCU17" s="235"/>
      <c r="VCV17" s="235"/>
      <c r="VCW17" s="235"/>
      <c r="VCX17" s="235"/>
      <c r="VCY17" s="235"/>
      <c r="VCZ17" s="235"/>
      <c r="VDA17" s="235"/>
      <c r="VDB17" s="235"/>
      <c r="VDC17" s="235"/>
      <c r="VDD17" s="235"/>
      <c r="VDE17" s="235"/>
      <c r="VDF17" s="235"/>
      <c r="VDG17" s="235"/>
      <c r="VDH17" s="235"/>
      <c r="VDI17" s="235"/>
      <c r="VDJ17" s="235"/>
      <c r="VDK17" s="235"/>
      <c r="VDL17" s="235"/>
      <c r="VDM17" s="235"/>
      <c r="VDN17" s="235"/>
      <c r="VDO17" s="235"/>
      <c r="VDP17" s="235"/>
      <c r="VDQ17" s="235"/>
      <c r="VDR17" s="235"/>
      <c r="VDS17" s="235"/>
      <c r="VDT17" s="235"/>
      <c r="VDU17" s="235"/>
      <c r="VDV17" s="235"/>
      <c r="VDW17" s="235"/>
      <c r="VDX17" s="235"/>
      <c r="VDY17" s="235"/>
      <c r="VDZ17" s="235"/>
      <c r="VEA17" s="235"/>
      <c r="VEB17" s="235"/>
      <c r="VEC17" s="235"/>
      <c r="VED17" s="235"/>
      <c r="VEE17" s="235"/>
      <c r="VEF17" s="235"/>
      <c r="VEG17" s="235"/>
      <c r="VEH17" s="235"/>
      <c r="VEI17" s="235"/>
      <c r="VEJ17" s="235"/>
      <c r="VEK17" s="235"/>
      <c r="VEL17" s="235"/>
      <c r="VEM17" s="235"/>
      <c r="VEN17" s="235"/>
      <c r="VEO17" s="235"/>
      <c r="VEP17" s="235"/>
      <c r="VEQ17" s="235"/>
      <c r="VER17" s="235"/>
      <c r="VES17" s="235"/>
      <c r="VET17" s="235"/>
      <c r="VEU17" s="235"/>
      <c r="VEV17" s="235"/>
      <c r="VEW17" s="235"/>
      <c r="VEX17" s="235"/>
      <c r="VEY17" s="235"/>
      <c r="VEZ17" s="235"/>
      <c r="VFA17" s="235"/>
      <c r="VFB17" s="235"/>
      <c r="VFC17" s="235"/>
      <c r="VFD17" s="235"/>
      <c r="VFE17" s="235"/>
      <c r="VFF17" s="235"/>
      <c r="VFG17" s="235"/>
      <c r="VFH17" s="235"/>
      <c r="VFI17" s="235"/>
      <c r="VFJ17" s="235"/>
      <c r="VFK17" s="235"/>
      <c r="VFL17" s="235"/>
      <c r="VFM17" s="235"/>
      <c r="VFN17" s="235"/>
      <c r="VFO17" s="235"/>
      <c r="VFP17" s="235"/>
      <c r="VFQ17" s="235"/>
      <c r="VFR17" s="235"/>
      <c r="VFS17" s="235"/>
      <c r="VFT17" s="235"/>
      <c r="VFU17" s="235"/>
      <c r="VFV17" s="235"/>
      <c r="VFW17" s="235"/>
      <c r="VFX17" s="235"/>
      <c r="VFY17" s="235"/>
      <c r="VFZ17" s="235"/>
      <c r="VGA17" s="235"/>
      <c r="VGB17" s="235"/>
      <c r="VGC17" s="235"/>
      <c r="VGD17" s="235"/>
      <c r="VGE17" s="235"/>
      <c r="VGF17" s="235"/>
      <c r="VGG17" s="235"/>
      <c r="VGH17" s="235"/>
      <c r="VGI17" s="235"/>
      <c r="VGJ17" s="235"/>
      <c r="VGK17" s="235"/>
      <c r="VGL17" s="235"/>
      <c r="VGM17" s="235"/>
      <c r="VGN17" s="235"/>
      <c r="VGO17" s="235"/>
      <c r="VGP17" s="235"/>
      <c r="VGQ17" s="235"/>
      <c r="VGR17" s="235"/>
      <c r="VGS17" s="235"/>
      <c r="VGT17" s="235"/>
      <c r="VGU17" s="235"/>
      <c r="VGV17" s="235"/>
      <c r="VGW17" s="235"/>
      <c r="VGX17" s="235"/>
      <c r="VGY17" s="235"/>
      <c r="VGZ17" s="235"/>
      <c r="VHA17" s="235"/>
      <c r="VHB17" s="235"/>
      <c r="VHC17" s="235"/>
      <c r="VHD17" s="235"/>
      <c r="VHE17" s="235"/>
      <c r="VHF17" s="235"/>
      <c r="VHG17" s="235"/>
      <c r="VHH17" s="235"/>
      <c r="VHI17" s="235"/>
      <c r="VHJ17" s="235"/>
      <c r="VHK17" s="235"/>
      <c r="VHL17" s="235"/>
      <c r="VHM17" s="235"/>
      <c r="VHN17" s="235"/>
      <c r="VHO17" s="235"/>
      <c r="VHP17" s="235"/>
      <c r="VHQ17" s="235"/>
      <c r="VHR17" s="235"/>
      <c r="VHS17" s="235"/>
      <c r="VHT17" s="235"/>
      <c r="VHU17" s="235"/>
      <c r="VHV17" s="235"/>
      <c r="VHW17" s="235"/>
      <c r="VHX17" s="235"/>
      <c r="VHY17" s="235"/>
      <c r="VHZ17" s="235"/>
      <c r="VIA17" s="235"/>
      <c r="VIB17" s="235"/>
      <c r="VIC17" s="235"/>
      <c r="VID17" s="235"/>
      <c r="VIE17" s="235"/>
      <c r="VIF17" s="235"/>
      <c r="VIG17" s="235"/>
      <c r="VIH17" s="235"/>
      <c r="VII17" s="235"/>
      <c r="VIJ17" s="235"/>
      <c r="VIK17" s="235"/>
      <c r="VIL17" s="235"/>
      <c r="VIM17" s="235"/>
      <c r="VIN17" s="235"/>
      <c r="VIO17" s="235"/>
      <c r="VIP17" s="235"/>
      <c r="VIQ17" s="235"/>
      <c r="VIR17" s="235"/>
      <c r="VIS17" s="235"/>
      <c r="VIT17" s="235"/>
      <c r="VIU17" s="235"/>
      <c r="VIV17" s="235"/>
      <c r="VIW17" s="235"/>
      <c r="VIX17" s="235"/>
      <c r="VIY17" s="235"/>
      <c r="VIZ17" s="235"/>
      <c r="VJA17" s="235"/>
      <c r="VJB17" s="235"/>
      <c r="VJC17" s="235"/>
      <c r="VJD17" s="235"/>
      <c r="VJE17" s="235"/>
      <c r="VJF17" s="235"/>
      <c r="VJG17" s="235"/>
      <c r="VJH17" s="235"/>
      <c r="VJI17" s="235"/>
      <c r="VJJ17" s="235"/>
      <c r="VJK17" s="235"/>
      <c r="VJL17" s="235"/>
      <c r="VJM17" s="235"/>
      <c r="VJN17" s="235"/>
      <c r="VJO17" s="235"/>
      <c r="VJP17" s="235"/>
      <c r="VJQ17" s="235"/>
      <c r="VJR17" s="235"/>
      <c r="VJS17" s="235"/>
      <c r="VJT17" s="235"/>
      <c r="VJU17" s="235"/>
      <c r="VJV17" s="235"/>
      <c r="VJW17" s="235"/>
      <c r="VJX17" s="235"/>
      <c r="VJY17" s="235"/>
      <c r="VJZ17" s="235"/>
      <c r="VKA17" s="235"/>
      <c r="VKB17" s="235"/>
      <c r="VKC17" s="235"/>
      <c r="VKD17" s="235"/>
      <c r="VKE17" s="235"/>
      <c r="VKF17" s="235"/>
      <c r="VKG17" s="235"/>
      <c r="VKH17" s="235"/>
      <c r="VKI17" s="235"/>
      <c r="VKJ17" s="235"/>
      <c r="VKK17" s="235"/>
      <c r="VKL17" s="235"/>
      <c r="VKM17" s="235"/>
      <c r="VKN17" s="235"/>
      <c r="VKO17" s="235"/>
      <c r="VKP17" s="235"/>
      <c r="VKQ17" s="235"/>
      <c r="VKR17" s="235"/>
      <c r="VKS17" s="235"/>
      <c r="VKT17" s="235"/>
      <c r="VKU17" s="235"/>
      <c r="VKV17" s="235"/>
      <c r="VKW17" s="235"/>
      <c r="VKX17" s="235"/>
      <c r="VKY17" s="235"/>
      <c r="VKZ17" s="235"/>
      <c r="VLA17" s="235"/>
      <c r="VLB17" s="235"/>
      <c r="VLC17" s="235"/>
      <c r="VLD17" s="235"/>
      <c r="VLE17" s="235"/>
      <c r="VLF17" s="235"/>
      <c r="VLG17" s="235"/>
      <c r="VLH17" s="235"/>
      <c r="VLI17" s="235"/>
      <c r="VLJ17" s="235"/>
      <c r="VLK17" s="235"/>
      <c r="VLL17" s="235"/>
      <c r="VLM17" s="235"/>
      <c r="VLN17" s="235"/>
      <c r="VLO17" s="235"/>
      <c r="VLP17" s="235"/>
      <c r="VLQ17" s="235"/>
      <c r="VLR17" s="235"/>
      <c r="VLS17" s="235"/>
      <c r="VLT17" s="235"/>
      <c r="VLU17" s="235"/>
      <c r="VLV17" s="235"/>
      <c r="VLW17" s="235"/>
      <c r="VLX17" s="235"/>
      <c r="VLY17" s="235"/>
      <c r="VLZ17" s="235"/>
      <c r="VMA17" s="235"/>
      <c r="VMB17" s="235"/>
      <c r="VMC17" s="235"/>
      <c r="VMD17" s="235"/>
      <c r="VME17" s="235"/>
      <c r="VMF17" s="235"/>
      <c r="VMG17" s="235"/>
      <c r="VMH17" s="235"/>
      <c r="VMI17" s="235"/>
      <c r="VMJ17" s="235"/>
      <c r="VMK17" s="235"/>
      <c r="VML17" s="235"/>
      <c r="VMM17" s="235"/>
      <c r="VMN17" s="235"/>
      <c r="VMO17" s="235"/>
      <c r="VMP17" s="235"/>
      <c r="VMQ17" s="235"/>
      <c r="VMR17" s="235"/>
      <c r="VMS17" s="235"/>
      <c r="VMT17" s="235"/>
      <c r="VMU17" s="235"/>
      <c r="VMV17" s="235"/>
      <c r="VMW17" s="235"/>
      <c r="VMX17" s="235"/>
      <c r="VMY17" s="235"/>
      <c r="VMZ17" s="235"/>
      <c r="VNA17" s="235"/>
      <c r="VNB17" s="235"/>
      <c r="VNC17" s="235"/>
      <c r="VND17" s="235"/>
      <c r="VNE17" s="235"/>
      <c r="VNF17" s="235"/>
      <c r="VNG17" s="235"/>
      <c r="VNH17" s="235"/>
      <c r="VNI17" s="235"/>
      <c r="VNJ17" s="235"/>
      <c r="VNK17" s="235"/>
      <c r="VNL17" s="235"/>
      <c r="VNM17" s="235"/>
      <c r="VNN17" s="235"/>
      <c r="VNO17" s="235"/>
      <c r="VNP17" s="235"/>
      <c r="VNQ17" s="235"/>
      <c r="VNR17" s="235"/>
      <c r="VNS17" s="235"/>
      <c r="VNT17" s="235"/>
      <c r="VNU17" s="235"/>
      <c r="VNV17" s="235"/>
      <c r="VNW17" s="235"/>
      <c r="VNX17" s="235"/>
      <c r="VNY17" s="235"/>
      <c r="VNZ17" s="235"/>
      <c r="VOA17" s="235"/>
      <c r="VOB17" s="235"/>
      <c r="VOC17" s="235"/>
      <c r="VOD17" s="235"/>
      <c r="VOE17" s="235"/>
      <c r="VOF17" s="235"/>
      <c r="VOG17" s="235"/>
      <c r="VOH17" s="235"/>
      <c r="VOI17" s="235"/>
      <c r="VOJ17" s="235"/>
      <c r="VOK17" s="235"/>
      <c r="VOL17" s="235"/>
      <c r="VOM17" s="235"/>
      <c r="VON17" s="235"/>
      <c r="VOO17" s="235"/>
      <c r="VOP17" s="235"/>
      <c r="VOQ17" s="235"/>
      <c r="VOR17" s="235"/>
      <c r="VOS17" s="235"/>
      <c r="VOT17" s="235"/>
      <c r="VOU17" s="235"/>
      <c r="VOV17" s="235"/>
      <c r="VOW17" s="235"/>
      <c r="VOX17" s="235"/>
      <c r="VOY17" s="235"/>
      <c r="VOZ17" s="235"/>
      <c r="VPA17" s="235"/>
      <c r="VPB17" s="235"/>
      <c r="VPC17" s="235"/>
      <c r="VPD17" s="235"/>
      <c r="VPE17" s="235"/>
      <c r="VPF17" s="235"/>
      <c r="VPG17" s="235"/>
      <c r="VPH17" s="235"/>
      <c r="VPI17" s="235"/>
      <c r="VPJ17" s="235"/>
      <c r="VPK17" s="235"/>
      <c r="VPL17" s="235"/>
      <c r="VPM17" s="235"/>
      <c r="VPN17" s="235"/>
      <c r="VPO17" s="235"/>
      <c r="VPP17" s="235"/>
      <c r="VPQ17" s="235"/>
      <c r="VPR17" s="235"/>
      <c r="VPS17" s="235"/>
      <c r="VPT17" s="235"/>
      <c r="VPU17" s="235"/>
      <c r="VPV17" s="235"/>
      <c r="VPW17" s="235"/>
      <c r="VPX17" s="235"/>
      <c r="VPY17" s="235"/>
      <c r="VPZ17" s="235"/>
      <c r="VQA17" s="235"/>
      <c r="VQB17" s="235"/>
      <c r="VQC17" s="235"/>
      <c r="VQD17" s="235"/>
      <c r="VQE17" s="235"/>
      <c r="VQF17" s="235"/>
      <c r="VQG17" s="235"/>
      <c r="VQH17" s="235"/>
      <c r="VQI17" s="235"/>
      <c r="VQJ17" s="235"/>
      <c r="VQK17" s="235"/>
      <c r="VQL17" s="235"/>
      <c r="VQM17" s="235"/>
      <c r="VQN17" s="235"/>
      <c r="VQO17" s="235"/>
      <c r="VQP17" s="235"/>
      <c r="VQQ17" s="235"/>
      <c r="VQR17" s="235"/>
      <c r="VQS17" s="235"/>
      <c r="VQT17" s="235"/>
      <c r="VQU17" s="235"/>
      <c r="VQV17" s="235"/>
      <c r="VQW17" s="235"/>
      <c r="VQX17" s="235"/>
      <c r="VQY17" s="235"/>
      <c r="VQZ17" s="235"/>
      <c r="VRA17" s="235"/>
      <c r="VRB17" s="235"/>
      <c r="VRC17" s="235"/>
      <c r="VRD17" s="235"/>
      <c r="VRE17" s="235"/>
      <c r="VRF17" s="235"/>
      <c r="VRG17" s="235"/>
      <c r="VRH17" s="235"/>
      <c r="VRI17" s="235"/>
      <c r="VRJ17" s="235"/>
      <c r="VRK17" s="235"/>
      <c r="VRL17" s="235"/>
      <c r="VRM17" s="235"/>
      <c r="VRN17" s="235"/>
      <c r="VRO17" s="235"/>
      <c r="VRP17" s="235"/>
      <c r="VRQ17" s="235"/>
      <c r="VRR17" s="235"/>
      <c r="VRS17" s="235"/>
      <c r="VRT17" s="235"/>
      <c r="VRU17" s="235"/>
      <c r="VRV17" s="235"/>
      <c r="VRW17" s="235"/>
      <c r="VRX17" s="235"/>
      <c r="VRY17" s="235"/>
      <c r="VRZ17" s="235"/>
      <c r="VSA17" s="235"/>
      <c r="VSB17" s="235"/>
      <c r="VSC17" s="235"/>
      <c r="VSD17" s="235"/>
      <c r="VSE17" s="235"/>
      <c r="VSF17" s="235"/>
      <c r="VSG17" s="235"/>
      <c r="VSH17" s="235"/>
      <c r="VSI17" s="235"/>
      <c r="VSJ17" s="235"/>
      <c r="VSK17" s="235"/>
      <c r="VSL17" s="235"/>
      <c r="VSM17" s="235"/>
      <c r="VSN17" s="235"/>
      <c r="VSO17" s="235"/>
      <c r="VSP17" s="235"/>
      <c r="VSQ17" s="235"/>
      <c r="VSR17" s="235"/>
      <c r="VSS17" s="235"/>
      <c r="VST17" s="235"/>
      <c r="VSU17" s="235"/>
      <c r="VSV17" s="235"/>
      <c r="VSW17" s="235"/>
      <c r="VSX17" s="235"/>
      <c r="VSY17" s="235"/>
      <c r="VSZ17" s="235"/>
      <c r="VTA17" s="235"/>
      <c r="VTB17" s="235"/>
      <c r="VTC17" s="235"/>
      <c r="VTD17" s="235"/>
      <c r="VTE17" s="235"/>
      <c r="VTF17" s="235"/>
      <c r="VTG17" s="235"/>
      <c r="VTH17" s="235"/>
      <c r="VTI17" s="235"/>
      <c r="VTJ17" s="235"/>
      <c r="VTK17" s="235"/>
      <c r="VTL17" s="235"/>
      <c r="VTM17" s="235"/>
      <c r="VTN17" s="235"/>
      <c r="VTO17" s="235"/>
      <c r="VTP17" s="235"/>
      <c r="VTQ17" s="235"/>
      <c r="VTR17" s="235"/>
      <c r="VTS17" s="235"/>
      <c r="VTT17" s="235"/>
      <c r="VTU17" s="235"/>
      <c r="VTV17" s="235"/>
      <c r="VTW17" s="235"/>
      <c r="VTX17" s="235"/>
      <c r="VTY17" s="235"/>
      <c r="VTZ17" s="235"/>
      <c r="VUA17" s="235"/>
      <c r="VUB17" s="235"/>
      <c r="VUC17" s="235"/>
      <c r="VUD17" s="235"/>
      <c r="VUE17" s="235"/>
      <c r="VUF17" s="235"/>
      <c r="VUG17" s="235"/>
      <c r="VUH17" s="235"/>
      <c r="VUI17" s="235"/>
      <c r="VUJ17" s="235"/>
      <c r="VUK17" s="235"/>
      <c r="VUL17" s="235"/>
      <c r="VUM17" s="235"/>
      <c r="VUN17" s="235"/>
      <c r="VUO17" s="235"/>
      <c r="VUP17" s="235"/>
      <c r="VUQ17" s="235"/>
      <c r="VUR17" s="235"/>
      <c r="VUS17" s="235"/>
      <c r="VUT17" s="235"/>
      <c r="VUU17" s="235"/>
      <c r="VUV17" s="235"/>
      <c r="VUW17" s="235"/>
      <c r="VUX17" s="235"/>
      <c r="VUY17" s="235"/>
      <c r="VUZ17" s="235"/>
      <c r="VVA17" s="235"/>
      <c r="VVB17" s="235"/>
      <c r="VVC17" s="235"/>
      <c r="VVD17" s="235"/>
      <c r="VVE17" s="235"/>
      <c r="VVF17" s="235"/>
      <c r="VVG17" s="235"/>
      <c r="VVH17" s="235"/>
      <c r="VVI17" s="235"/>
      <c r="VVJ17" s="235"/>
      <c r="VVK17" s="235"/>
      <c r="VVL17" s="235"/>
      <c r="VVM17" s="235"/>
      <c r="VVN17" s="235"/>
      <c r="VVO17" s="235"/>
      <c r="VVP17" s="235"/>
      <c r="VVQ17" s="235"/>
      <c r="VVR17" s="235"/>
      <c r="VVS17" s="235"/>
      <c r="VVT17" s="235"/>
      <c r="VVU17" s="235"/>
      <c r="VVV17" s="235"/>
      <c r="VVW17" s="235"/>
      <c r="VVX17" s="235"/>
      <c r="VVY17" s="235"/>
      <c r="VVZ17" s="235"/>
      <c r="VWA17" s="235"/>
      <c r="VWB17" s="235"/>
      <c r="VWC17" s="235"/>
      <c r="VWD17" s="235"/>
      <c r="VWE17" s="235"/>
      <c r="VWF17" s="235"/>
      <c r="VWG17" s="235"/>
      <c r="VWH17" s="235"/>
      <c r="VWI17" s="235"/>
      <c r="VWJ17" s="235"/>
      <c r="VWK17" s="235"/>
      <c r="VWL17" s="235"/>
      <c r="VWM17" s="235"/>
      <c r="VWN17" s="235"/>
      <c r="VWO17" s="235"/>
      <c r="VWP17" s="235"/>
      <c r="VWQ17" s="235"/>
      <c r="VWR17" s="235"/>
      <c r="VWS17" s="235"/>
      <c r="VWT17" s="235"/>
      <c r="VWU17" s="235"/>
      <c r="VWV17" s="235"/>
      <c r="VWW17" s="235"/>
      <c r="VWX17" s="235"/>
      <c r="VWY17" s="235"/>
      <c r="VWZ17" s="235"/>
      <c r="VXA17" s="235"/>
      <c r="VXB17" s="235"/>
      <c r="VXC17" s="235"/>
      <c r="VXD17" s="235"/>
      <c r="VXE17" s="235"/>
      <c r="VXF17" s="235"/>
      <c r="VXG17" s="235"/>
      <c r="VXH17" s="235"/>
      <c r="VXI17" s="235"/>
      <c r="VXJ17" s="235"/>
      <c r="VXK17" s="235"/>
      <c r="VXL17" s="235"/>
      <c r="VXM17" s="235"/>
      <c r="VXN17" s="235"/>
      <c r="VXO17" s="235"/>
      <c r="VXP17" s="235"/>
      <c r="VXQ17" s="235"/>
      <c r="VXR17" s="235"/>
      <c r="VXS17" s="235"/>
      <c r="VXT17" s="235"/>
      <c r="VXU17" s="235"/>
      <c r="VXV17" s="235"/>
      <c r="VXW17" s="235"/>
      <c r="VXX17" s="235"/>
      <c r="VXY17" s="235"/>
      <c r="VXZ17" s="235"/>
      <c r="VYA17" s="235"/>
      <c r="VYB17" s="235"/>
      <c r="VYC17" s="235"/>
      <c r="VYD17" s="235"/>
      <c r="VYE17" s="235"/>
      <c r="VYF17" s="235"/>
      <c r="VYG17" s="235"/>
      <c r="VYH17" s="235"/>
      <c r="VYI17" s="235"/>
      <c r="VYJ17" s="235"/>
      <c r="VYK17" s="235"/>
      <c r="VYL17" s="235"/>
      <c r="VYM17" s="235"/>
      <c r="VYN17" s="235"/>
      <c r="VYO17" s="235"/>
      <c r="VYP17" s="235"/>
      <c r="VYQ17" s="235"/>
      <c r="VYR17" s="235"/>
      <c r="VYS17" s="235"/>
      <c r="VYT17" s="235"/>
      <c r="VYU17" s="235"/>
      <c r="VYV17" s="235"/>
      <c r="VYW17" s="235"/>
      <c r="VYX17" s="235"/>
      <c r="VYY17" s="235"/>
      <c r="VYZ17" s="235"/>
      <c r="VZA17" s="235"/>
      <c r="VZB17" s="235"/>
      <c r="VZC17" s="235"/>
      <c r="VZD17" s="235"/>
      <c r="VZE17" s="235"/>
      <c r="VZF17" s="235"/>
      <c r="VZG17" s="235"/>
      <c r="VZH17" s="235"/>
      <c r="VZI17" s="235"/>
      <c r="VZJ17" s="235"/>
      <c r="VZK17" s="235"/>
      <c r="VZL17" s="235"/>
      <c r="VZM17" s="235"/>
      <c r="VZN17" s="235"/>
      <c r="VZO17" s="235"/>
      <c r="VZP17" s="235"/>
      <c r="VZQ17" s="235"/>
      <c r="VZR17" s="235"/>
      <c r="VZS17" s="235"/>
      <c r="VZT17" s="235"/>
      <c r="VZU17" s="235"/>
      <c r="VZV17" s="235"/>
      <c r="VZW17" s="235"/>
      <c r="VZX17" s="235"/>
      <c r="VZY17" s="235"/>
      <c r="VZZ17" s="235"/>
      <c r="WAA17" s="235"/>
      <c r="WAB17" s="235"/>
      <c r="WAC17" s="235"/>
      <c r="WAD17" s="235"/>
      <c r="WAE17" s="235"/>
      <c r="WAF17" s="235"/>
      <c r="WAG17" s="235"/>
      <c r="WAH17" s="235"/>
      <c r="WAI17" s="235"/>
      <c r="WAJ17" s="235"/>
      <c r="WAK17" s="235"/>
      <c r="WAL17" s="235"/>
      <c r="WAM17" s="235"/>
      <c r="WAN17" s="235"/>
      <c r="WAO17" s="235"/>
      <c r="WAP17" s="235"/>
      <c r="WAQ17" s="235"/>
      <c r="WAR17" s="235"/>
      <c r="WAS17" s="235"/>
      <c r="WAT17" s="235"/>
      <c r="WAU17" s="235"/>
      <c r="WAV17" s="235"/>
      <c r="WAW17" s="235"/>
      <c r="WAX17" s="235"/>
      <c r="WAY17" s="235"/>
      <c r="WAZ17" s="235"/>
      <c r="WBA17" s="235"/>
      <c r="WBB17" s="235"/>
      <c r="WBC17" s="235"/>
      <c r="WBD17" s="235"/>
      <c r="WBE17" s="235"/>
      <c r="WBF17" s="235"/>
      <c r="WBG17" s="235"/>
      <c r="WBH17" s="235"/>
      <c r="WBI17" s="235"/>
      <c r="WBJ17" s="235"/>
      <c r="WBK17" s="235"/>
      <c r="WBL17" s="235"/>
      <c r="WBM17" s="235"/>
      <c r="WBN17" s="235"/>
      <c r="WBO17" s="235"/>
      <c r="WBP17" s="235"/>
      <c r="WBQ17" s="235"/>
      <c r="WBR17" s="235"/>
      <c r="WBS17" s="235"/>
      <c r="WBT17" s="235"/>
      <c r="WBU17" s="235"/>
      <c r="WBV17" s="235"/>
      <c r="WBW17" s="235"/>
      <c r="WBX17" s="235"/>
      <c r="WBY17" s="235"/>
      <c r="WBZ17" s="235"/>
      <c r="WCA17" s="235"/>
      <c r="WCB17" s="235"/>
      <c r="WCC17" s="235"/>
      <c r="WCD17" s="235"/>
      <c r="WCE17" s="235"/>
      <c r="WCF17" s="235"/>
      <c r="WCG17" s="235"/>
      <c r="WCH17" s="235"/>
      <c r="WCI17" s="235"/>
      <c r="WCJ17" s="235"/>
      <c r="WCK17" s="235"/>
      <c r="WCL17" s="235"/>
      <c r="WCM17" s="235"/>
      <c r="WCN17" s="235"/>
      <c r="WCO17" s="235"/>
      <c r="WCP17" s="235"/>
      <c r="WCQ17" s="235"/>
      <c r="WCR17" s="235"/>
      <c r="WCS17" s="235"/>
      <c r="WCT17" s="235"/>
      <c r="WCU17" s="235"/>
      <c r="WCV17" s="235"/>
      <c r="WCW17" s="235"/>
      <c r="WCX17" s="235"/>
      <c r="WCY17" s="235"/>
      <c r="WCZ17" s="235"/>
      <c r="WDA17" s="235"/>
      <c r="WDB17" s="235"/>
      <c r="WDC17" s="235"/>
      <c r="WDD17" s="235"/>
      <c r="WDE17" s="235"/>
      <c r="WDF17" s="235"/>
      <c r="WDG17" s="235"/>
      <c r="WDH17" s="235"/>
      <c r="WDI17" s="235"/>
      <c r="WDJ17" s="235"/>
      <c r="WDK17" s="235"/>
      <c r="WDL17" s="235"/>
      <c r="WDM17" s="235"/>
      <c r="WDN17" s="235"/>
      <c r="WDO17" s="235"/>
      <c r="WDP17" s="235"/>
      <c r="WDQ17" s="235"/>
      <c r="WDR17" s="235"/>
      <c r="WDS17" s="235"/>
      <c r="WDT17" s="235"/>
      <c r="WDU17" s="235"/>
      <c r="WDV17" s="235"/>
      <c r="WDW17" s="235"/>
      <c r="WDX17" s="235"/>
      <c r="WDY17" s="235"/>
      <c r="WDZ17" s="235"/>
      <c r="WEA17" s="235"/>
      <c r="WEB17" s="235"/>
      <c r="WEC17" s="235"/>
      <c r="WED17" s="235"/>
      <c r="WEE17" s="235"/>
      <c r="WEF17" s="235"/>
      <c r="WEG17" s="235"/>
      <c r="WEH17" s="235"/>
      <c r="WEI17" s="235"/>
      <c r="WEJ17" s="235"/>
      <c r="WEK17" s="235"/>
      <c r="WEL17" s="235"/>
      <c r="WEM17" s="235"/>
      <c r="WEN17" s="235"/>
      <c r="WEO17" s="235"/>
      <c r="WEP17" s="235"/>
      <c r="WEQ17" s="235"/>
      <c r="WER17" s="235"/>
      <c r="WES17" s="235"/>
      <c r="WET17" s="235"/>
      <c r="WEU17" s="235"/>
      <c r="WEV17" s="235"/>
      <c r="WEW17" s="235"/>
      <c r="WEX17" s="235"/>
      <c r="WEY17" s="235"/>
      <c r="WEZ17" s="235"/>
      <c r="WFA17" s="235"/>
      <c r="WFB17" s="235"/>
      <c r="WFC17" s="235"/>
      <c r="WFD17" s="235"/>
      <c r="WFE17" s="235"/>
      <c r="WFF17" s="235"/>
      <c r="WFG17" s="235"/>
      <c r="WFH17" s="235"/>
      <c r="WFI17" s="235"/>
      <c r="WFJ17" s="235"/>
      <c r="WFK17" s="235"/>
      <c r="WFL17" s="235"/>
      <c r="WFM17" s="235"/>
      <c r="WFN17" s="235"/>
      <c r="WFO17" s="235"/>
      <c r="WFP17" s="235"/>
      <c r="WFQ17" s="235"/>
      <c r="WFR17" s="235"/>
      <c r="WFS17" s="235"/>
      <c r="WFT17" s="235"/>
      <c r="WFU17" s="235"/>
      <c r="WFV17" s="235"/>
      <c r="WFW17" s="235"/>
      <c r="WFX17" s="235"/>
      <c r="WFY17" s="235"/>
      <c r="WFZ17" s="235"/>
      <c r="WGA17" s="235"/>
      <c r="WGB17" s="235"/>
      <c r="WGC17" s="235"/>
      <c r="WGD17" s="235"/>
      <c r="WGE17" s="235"/>
      <c r="WGF17" s="235"/>
      <c r="WGG17" s="235"/>
      <c r="WGH17" s="235"/>
      <c r="WGI17" s="235"/>
      <c r="WGJ17" s="235"/>
      <c r="WGK17" s="235"/>
      <c r="WGL17" s="235"/>
      <c r="WGM17" s="235"/>
      <c r="WGN17" s="235"/>
      <c r="WGO17" s="235"/>
      <c r="WGP17" s="235"/>
      <c r="WGQ17" s="235"/>
      <c r="WGR17" s="235"/>
      <c r="WGS17" s="235"/>
      <c r="WGT17" s="235"/>
      <c r="WGU17" s="235"/>
      <c r="WGV17" s="235"/>
      <c r="WGW17" s="235"/>
      <c r="WGX17" s="235"/>
      <c r="WGY17" s="235"/>
      <c r="WGZ17" s="235"/>
      <c r="WHA17" s="235"/>
      <c r="WHB17" s="235"/>
      <c r="WHC17" s="235"/>
      <c r="WHD17" s="235"/>
      <c r="WHE17" s="235"/>
      <c r="WHF17" s="235"/>
      <c r="WHG17" s="235"/>
      <c r="WHH17" s="235"/>
      <c r="WHI17" s="235"/>
      <c r="WHJ17" s="235"/>
      <c r="WHK17" s="235"/>
      <c r="WHL17" s="235"/>
      <c r="WHM17" s="235"/>
      <c r="WHN17" s="235"/>
      <c r="WHO17" s="235"/>
      <c r="WHP17" s="235"/>
      <c r="WHQ17" s="235"/>
      <c r="WHR17" s="235"/>
      <c r="WHS17" s="235"/>
      <c r="WHT17" s="235"/>
      <c r="WHU17" s="235"/>
      <c r="WHV17" s="235"/>
      <c r="WHW17" s="235"/>
      <c r="WHX17" s="235"/>
      <c r="WHY17" s="235"/>
      <c r="WHZ17" s="235"/>
      <c r="WIA17" s="235"/>
      <c r="WIB17" s="235"/>
      <c r="WIC17" s="235"/>
      <c r="WID17" s="235"/>
      <c r="WIE17" s="235"/>
      <c r="WIF17" s="235"/>
      <c r="WIG17" s="235"/>
      <c r="WIH17" s="235"/>
      <c r="WII17" s="235"/>
      <c r="WIJ17" s="235"/>
      <c r="WIK17" s="235"/>
      <c r="WIL17" s="235"/>
      <c r="WIM17" s="235"/>
      <c r="WIN17" s="235"/>
      <c r="WIO17" s="235"/>
      <c r="WIP17" s="235"/>
      <c r="WIQ17" s="235"/>
      <c r="WIR17" s="235"/>
      <c r="WIS17" s="235"/>
      <c r="WIT17" s="235"/>
      <c r="WIU17" s="235"/>
      <c r="WIV17" s="235"/>
      <c r="WIW17" s="235"/>
      <c r="WIX17" s="235"/>
      <c r="WIY17" s="235"/>
      <c r="WIZ17" s="235"/>
      <c r="WJA17" s="235"/>
      <c r="WJB17" s="235"/>
      <c r="WJC17" s="235"/>
      <c r="WJD17" s="235"/>
      <c r="WJE17" s="235"/>
      <c r="WJF17" s="235"/>
      <c r="WJG17" s="235"/>
      <c r="WJH17" s="235"/>
      <c r="WJI17" s="235"/>
      <c r="WJJ17" s="235"/>
      <c r="WJK17" s="235"/>
      <c r="WJL17" s="235"/>
      <c r="WJM17" s="235"/>
      <c r="WJN17" s="235"/>
      <c r="WJO17" s="235"/>
      <c r="WJP17" s="235"/>
      <c r="WJQ17" s="235"/>
      <c r="WJR17" s="235"/>
      <c r="WJS17" s="235"/>
      <c r="WJT17" s="235"/>
      <c r="WJU17" s="235"/>
      <c r="WJV17" s="235"/>
      <c r="WJW17" s="235"/>
      <c r="WJX17" s="235"/>
      <c r="WJY17" s="235"/>
      <c r="WJZ17" s="235"/>
      <c r="WKA17" s="235"/>
      <c r="WKB17" s="235"/>
      <c r="WKC17" s="235"/>
      <c r="WKD17" s="235"/>
      <c r="WKE17" s="235"/>
      <c r="WKF17" s="235"/>
      <c r="WKG17" s="235"/>
      <c r="WKH17" s="235"/>
      <c r="WKI17" s="235"/>
      <c r="WKJ17" s="235"/>
      <c r="WKK17" s="235"/>
      <c r="WKL17" s="235"/>
      <c r="WKM17" s="235"/>
      <c r="WKN17" s="235"/>
      <c r="WKO17" s="235"/>
      <c r="WKP17" s="235"/>
      <c r="WKQ17" s="235"/>
      <c r="WKR17" s="235"/>
      <c r="WKS17" s="235"/>
      <c r="WKT17" s="235"/>
      <c r="WKU17" s="235"/>
      <c r="WKV17" s="235"/>
      <c r="WKW17" s="235"/>
      <c r="WKX17" s="235"/>
      <c r="WKY17" s="235"/>
      <c r="WKZ17" s="235"/>
      <c r="WLA17" s="235"/>
      <c r="WLB17" s="235"/>
      <c r="WLC17" s="235"/>
      <c r="WLD17" s="235"/>
      <c r="WLE17" s="235"/>
      <c r="WLF17" s="235"/>
      <c r="WLG17" s="235"/>
      <c r="WLH17" s="235"/>
      <c r="WLI17" s="235"/>
      <c r="WLJ17" s="235"/>
      <c r="WLK17" s="235"/>
      <c r="WLL17" s="235"/>
      <c r="WLM17" s="235"/>
      <c r="WLN17" s="235"/>
      <c r="WLO17" s="235"/>
      <c r="WLP17" s="235"/>
      <c r="WLQ17" s="235"/>
      <c r="WLR17" s="235"/>
      <c r="WLS17" s="235"/>
      <c r="WLT17" s="235"/>
      <c r="WLU17" s="235"/>
      <c r="WLV17" s="235"/>
      <c r="WLW17" s="235"/>
      <c r="WLX17" s="235"/>
      <c r="WLY17" s="235"/>
      <c r="WLZ17" s="235"/>
      <c r="WMA17" s="235"/>
      <c r="WMB17" s="235"/>
      <c r="WMC17" s="235"/>
      <c r="WMD17" s="235"/>
      <c r="WME17" s="235"/>
      <c r="WMF17" s="235"/>
      <c r="WMG17" s="235"/>
      <c r="WMH17" s="235"/>
      <c r="WMI17" s="235"/>
      <c r="WMJ17" s="235"/>
      <c r="WMK17" s="235"/>
      <c r="WML17" s="235"/>
      <c r="WMM17" s="235"/>
      <c r="WMN17" s="235"/>
      <c r="WMO17" s="235"/>
      <c r="WMP17" s="235"/>
      <c r="WMQ17" s="235"/>
      <c r="WMR17" s="235"/>
      <c r="WMS17" s="235"/>
      <c r="WMT17" s="235"/>
      <c r="WMU17" s="235"/>
      <c r="WMV17" s="235"/>
      <c r="WMW17" s="235"/>
      <c r="WMX17" s="235"/>
      <c r="WMY17" s="235"/>
      <c r="WMZ17" s="235"/>
      <c r="WNA17" s="235"/>
      <c r="WNB17" s="235"/>
      <c r="WNC17" s="235"/>
      <c r="WND17" s="235"/>
      <c r="WNE17" s="235"/>
      <c r="WNF17" s="235"/>
      <c r="WNG17" s="235"/>
      <c r="WNH17" s="235"/>
      <c r="WNI17" s="235"/>
      <c r="WNJ17" s="235"/>
      <c r="WNK17" s="235"/>
      <c r="WNL17" s="235"/>
      <c r="WNM17" s="235"/>
      <c r="WNN17" s="235"/>
      <c r="WNO17" s="235"/>
      <c r="WNP17" s="235"/>
      <c r="WNQ17" s="235"/>
      <c r="WNR17" s="235"/>
      <c r="WNS17" s="235"/>
      <c r="WNT17" s="235"/>
      <c r="WNU17" s="235"/>
      <c r="WNV17" s="235"/>
      <c r="WNW17" s="235"/>
      <c r="WNX17" s="235"/>
      <c r="WNY17" s="235"/>
      <c r="WNZ17" s="235"/>
      <c r="WOA17" s="235"/>
      <c r="WOB17" s="235"/>
      <c r="WOC17" s="235"/>
      <c r="WOD17" s="235"/>
      <c r="WOE17" s="235"/>
      <c r="WOF17" s="235"/>
      <c r="WOG17" s="235"/>
      <c r="WOH17" s="235"/>
      <c r="WOI17" s="235"/>
      <c r="WOJ17" s="235"/>
      <c r="WOK17" s="235"/>
      <c r="WOL17" s="235"/>
      <c r="WOM17" s="235"/>
      <c r="WON17" s="235"/>
      <c r="WOO17" s="235"/>
      <c r="WOP17" s="235"/>
      <c r="WOQ17" s="235"/>
      <c r="WOR17" s="235"/>
      <c r="WOS17" s="235"/>
      <c r="WOT17" s="235"/>
      <c r="WOU17" s="235"/>
      <c r="WOV17" s="235"/>
      <c r="WOW17" s="235"/>
      <c r="WOX17" s="235"/>
      <c r="WOY17" s="235"/>
      <c r="WOZ17" s="235"/>
      <c r="WPA17" s="235"/>
      <c r="WPB17" s="235"/>
      <c r="WPC17" s="235"/>
      <c r="WPD17" s="235"/>
      <c r="WPE17" s="235"/>
      <c r="WPF17" s="235"/>
      <c r="WPG17" s="235"/>
      <c r="WPH17" s="235"/>
      <c r="WPI17" s="235"/>
      <c r="WPJ17" s="235"/>
      <c r="WPK17" s="235"/>
      <c r="WPL17" s="235"/>
      <c r="WPM17" s="235"/>
      <c r="WPN17" s="235"/>
      <c r="WPO17" s="235"/>
      <c r="WPP17" s="235"/>
      <c r="WPQ17" s="235"/>
      <c r="WPR17" s="235"/>
      <c r="WPS17" s="235"/>
      <c r="WPT17" s="235"/>
      <c r="WPU17" s="235"/>
      <c r="WPV17" s="235"/>
      <c r="WPW17" s="235"/>
      <c r="WPX17" s="235"/>
      <c r="WPY17" s="235"/>
      <c r="WPZ17" s="235"/>
      <c r="WQA17" s="235"/>
      <c r="WQB17" s="235"/>
      <c r="WQC17" s="235"/>
      <c r="WQD17" s="235"/>
      <c r="WQE17" s="235"/>
      <c r="WQF17" s="235"/>
      <c r="WQG17" s="235"/>
      <c r="WQH17" s="235"/>
      <c r="WQI17" s="235"/>
      <c r="WQJ17" s="235"/>
      <c r="WQK17" s="235"/>
      <c r="WQL17" s="235"/>
      <c r="WQM17" s="235"/>
      <c r="WQN17" s="235"/>
      <c r="WQO17" s="235"/>
      <c r="WQP17" s="235"/>
      <c r="WQQ17" s="235"/>
      <c r="WQR17" s="235"/>
      <c r="WQS17" s="235"/>
      <c r="WQT17" s="235"/>
      <c r="WQU17" s="235"/>
      <c r="WQV17" s="235"/>
      <c r="WQW17" s="235"/>
      <c r="WQX17" s="235"/>
      <c r="WQY17" s="235"/>
      <c r="WQZ17" s="235"/>
      <c r="WRA17" s="235"/>
      <c r="WRB17" s="235"/>
      <c r="WRC17" s="235"/>
      <c r="WRD17" s="235"/>
      <c r="WRE17" s="235"/>
      <c r="WRF17" s="235"/>
      <c r="WRG17" s="235"/>
      <c r="WRH17" s="235"/>
      <c r="WRI17" s="235"/>
      <c r="WRJ17" s="235"/>
      <c r="WRK17" s="235"/>
      <c r="WRL17" s="235"/>
      <c r="WRM17" s="235"/>
      <c r="WRN17" s="235"/>
      <c r="WRO17" s="235"/>
      <c r="WRP17" s="235"/>
      <c r="WRQ17" s="235"/>
      <c r="WRR17" s="235"/>
      <c r="WRS17" s="235"/>
      <c r="WRT17" s="235"/>
      <c r="WRU17" s="235"/>
      <c r="WRV17" s="235"/>
      <c r="WRW17" s="235"/>
      <c r="WRX17" s="235"/>
      <c r="WRY17" s="235"/>
      <c r="WRZ17" s="235"/>
      <c r="WSA17" s="235"/>
      <c r="WSB17" s="235"/>
      <c r="WSC17" s="235"/>
      <c r="WSD17" s="235"/>
      <c r="WSE17" s="235"/>
      <c r="WSF17" s="235"/>
      <c r="WSG17" s="235"/>
      <c r="WSH17" s="235"/>
      <c r="WSI17" s="235"/>
      <c r="WSJ17" s="235"/>
      <c r="WSK17" s="235"/>
      <c r="WSL17" s="235"/>
      <c r="WSM17" s="235"/>
      <c r="WSN17" s="235"/>
      <c r="WSO17" s="235"/>
      <c r="WSP17" s="235"/>
      <c r="WSQ17" s="235"/>
      <c r="WSR17" s="235"/>
      <c r="WSS17" s="235"/>
      <c r="WST17" s="235"/>
      <c r="WSU17" s="235"/>
      <c r="WSV17" s="235"/>
      <c r="WSW17" s="235"/>
      <c r="WSX17" s="235"/>
      <c r="WSY17" s="235"/>
      <c r="WSZ17" s="235"/>
      <c r="WTA17" s="235"/>
      <c r="WTB17" s="235"/>
      <c r="WTC17" s="235"/>
      <c r="WTD17" s="235"/>
      <c r="WTE17" s="235"/>
      <c r="WTF17" s="235"/>
      <c r="WTG17" s="235"/>
      <c r="WTH17" s="235"/>
      <c r="WTI17" s="235"/>
      <c r="WTJ17" s="235"/>
      <c r="WTK17" s="235"/>
      <c r="WTL17" s="235"/>
      <c r="WTM17" s="235"/>
      <c r="WTN17" s="235"/>
      <c r="WTO17" s="235"/>
      <c r="WTP17" s="235"/>
      <c r="WTQ17" s="235"/>
      <c r="WTR17" s="235"/>
      <c r="WTS17" s="235"/>
      <c r="WTT17" s="235"/>
      <c r="WTU17" s="235"/>
      <c r="WTV17" s="235"/>
      <c r="WTW17" s="235"/>
      <c r="WTX17" s="235"/>
      <c r="WTY17" s="235"/>
      <c r="WTZ17" s="235"/>
      <c r="WUA17" s="235"/>
      <c r="WUB17" s="235"/>
      <c r="WUC17" s="235"/>
      <c r="WUD17" s="235"/>
      <c r="WUE17" s="235"/>
      <c r="WUF17" s="235"/>
      <c r="WUG17" s="235"/>
      <c r="WUH17" s="235"/>
      <c r="WUI17" s="235"/>
      <c r="WUJ17" s="235"/>
      <c r="WUK17" s="235"/>
      <c r="WUL17" s="235"/>
      <c r="WUM17" s="235"/>
      <c r="WUN17" s="235"/>
      <c r="WUO17" s="235"/>
      <c r="WUP17" s="235"/>
      <c r="WUQ17" s="235"/>
      <c r="WUR17" s="235"/>
      <c r="WUS17" s="235"/>
      <c r="WUT17" s="235"/>
      <c r="WUU17" s="235"/>
      <c r="WUV17" s="235"/>
      <c r="WUW17" s="235"/>
      <c r="WUX17" s="235"/>
      <c r="WUY17" s="235"/>
      <c r="WUZ17" s="235"/>
      <c r="WVA17" s="235"/>
      <c r="WVB17" s="235"/>
      <c r="WVC17" s="235"/>
      <c r="WVD17" s="235"/>
      <c r="WVE17" s="235"/>
      <c r="WVF17" s="235"/>
      <c r="WVG17" s="235"/>
      <c r="WVH17" s="235"/>
      <c r="WVI17" s="235"/>
      <c r="WVJ17" s="235"/>
      <c r="WVK17" s="235"/>
      <c r="WVL17" s="235"/>
      <c r="WVM17" s="235"/>
      <c r="WVN17" s="235"/>
      <c r="WVO17" s="235"/>
      <c r="WVP17" s="235"/>
      <c r="WVQ17" s="235"/>
      <c r="WVR17" s="235"/>
      <c r="WVS17" s="235"/>
      <c r="WVT17" s="235"/>
      <c r="WVU17" s="235"/>
      <c r="WVV17" s="235"/>
      <c r="WVW17" s="235"/>
      <c r="WVX17" s="235"/>
      <c r="WVY17" s="235"/>
      <c r="WVZ17" s="235"/>
      <c r="WWA17" s="235"/>
      <c r="WWB17" s="235"/>
      <c r="WWC17" s="235"/>
      <c r="WWD17" s="235"/>
      <c r="WWE17" s="235"/>
      <c r="WWF17" s="235"/>
      <c r="WWG17" s="235"/>
      <c r="WWH17" s="235"/>
      <c r="WWI17" s="235"/>
      <c r="WWJ17" s="235"/>
      <c r="WWK17" s="235"/>
      <c r="WWL17" s="235"/>
      <c r="WWM17" s="235"/>
      <c r="WWN17" s="235"/>
      <c r="WWO17" s="235"/>
      <c r="WWP17" s="235"/>
      <c r="WWQ17" s="235"/>
      <c r="WWR17" s="235"/>
      <c r="WWS17" s="235"/>
      <c r="WWT17" s="235"/>
      <c r="WWU17" s="235"/>
      <c r="WWV17" s="235"/>
      <c r="WWW17" s="235"/>
      <c r="WWX17" s="235"/>
      <c r="WWY17" s="235"/>
      <c r="WWZ17" s="235"/>
      <c r="WXA17" s="235"/>
      <c r="WXB17" s="235"/>
      <c r="WXC17" s="235"/>
      <c r="WXD17" s="235"/>
      <c r="WXE17" s="235"/>
      <c r="WXF17" s="235"/>
      <c r="WXG17" s="235"/>
      <c r="WXH17" s="235"/>
      <c r="WXI17" s="235"/>
      <c r="WXJ17" s="235"/>
      <c r="WXK17" s="235"/>
      <c r="WXL17" s="235"/>
      <c r="WXM17" s="235"/>
      <c r="WXN17" s="235"/>
      <c r="WXO17" s="235"/>
      <c r="WXP17" s="235"/>
      <c r="WXQ17" s="235"/>
      <c r="WXR17" s="235"/>
      <c r="WXS17" s="235"/>
      <c r="WXT17" s="235"/>
      <c r="WXU17" s="235"/>
      <c r="WXV17" s="235"/>
      <c r="WXW17" s="235"/>
      <c r="WXX17" s="235"/>
      <c r="WXY17" s="235"/>
      <c r="WXZ17" s="235"/>
      <c r="WYA17" s="235"/>
      <c r="WYB17" s="235"/>
      <c r="WYC17" s="235"/>
      <c r="WYD17" s="235"/>
      <c r="WYE17" s="235"/>
      <c r="WYF17" s="235"/>
      <c r="WYG17" s="235"/>
      <c r="WYH17" s="235"/>
      <c r="WYI17" s="235"/>
      <c r="WYJ17" s="235"/>
      <c r="WYK17" s="235"/>
      <c r="WYL17" s="235"/>
      <c r="WYM17" s="235"/>
      <c r="WYN17" s="235"/>
      <c r="WYO17" s="235"/>
      <c r="WYP17" s="235"/>
      <c r="WYQ17" s="235"/>
      <c r="WYR17" s="235"/>
      <c r="WYS17" s="235"/>
      <c r="WYT17" s="235"/>
      <c r="WYU17" s="235"/>
      <c r="WYV17" s="235"/>
      <c r="WYW17" s="235"/>
      <c r="WYX17" s="235"/>
      <c r="WYY17" s="235"/>
      <c r="WYZ17" s="235"/>
      <c r="WZA17" s="235"/>
      <c r="WZB17" s="235"/>
      <c r="WZC17" s="235"/>
      <c r="WZD17" s="235"/>
      <c r="WZE17" s="235"/>
      <c r="WZF17" s="235"/>
      <c r="WZG17" s="235"/>
      <c r="WZH17" s="235"/>
      <c r="WZI17" s="235"/>
      <c r="WZJ17" s="235"/>
      <c r="WZK17" s="235"/>
      <c r="WZL17" s="235"/>
      <c r="WZM17" s="235"/>
      <c r="WZN17" s="235"/>
      <c r="WZO17" s="235"/>
      <c r="WZP17" s="235"/>
      <c r="WZQ17" s="235"/>
      <c r="WZR17" s="235"/>
      <c r="WZS17" s="235"/>
      <c r="WZT17" s="235"/>
      <c r="WZU17" s="235"/>
      <c r="WZV17" s="235"/>
      <c r="WZW17" s="235"/>
      <c r="WZX17" s="235"/>
      <c r="WZY17" s="235"/>
      <c r="WZZ17" s="235"/>
      <c r="XAA17" s="235"/>
      <c r="XAB17" s="235"/>
      <c r="XAC17" s="235"/>
      <c r="XAD17" s="235"/>
      <c r="XAE17" s="235"/>
      <c r="XAF17" s="235"/>
      <c r="XAG17" s="235"/>
      <c r="XAH17" s="235"/>
      <c r="XAI17" s="235"/>
      <c r="XAJ17" s="235"/>
      <c r="XAK17" s="235"/>
      <c r="XAL17" s="235"/>
      <c r="XAM17" s="235"/>
      <c r="XAN17" s="235"/>
      <c r="XAO17" s="235"/>
      <c r="XAP17" s="235"/>
      <c r="XAQ17" s="235"/>
      <c r="XAR17" s="235"/>
      <c r="XAS17" s="235"/>
      <c r="XAT17" s="235"/>
      <c r="XAU17" s="235"/>
      <c r="XAV17" s="235"/>
      <c r="XAW17" s="235"/>
      <c r="XAX17" s="235"/>
      <c r="XAY17" s="235"/>
      <c r="XAZ17" s="235"/>
      <c r="XBA17" s="235"/>
      <c r="XBB17" s="235"/>
      <c r="XBC17" s="235"/>
      <c r="XBD17" s="235"/>
      <c r="XBE17" s="235"/>
      <c r="XBF17" s="235"/>
      <c r="XBG17" s="235"/>
      <c r="XBH17" s="235"/>
      <c r="XBI17" s="235"/>
      <c r="XBJ17" s="235"/>
      <c r="XBK17" s="235"/>
      <c r="XBL17" s="235"/>
      <c r="XBM17" s="235"/>
      <c r="XBN17" s="235"/>
      <c r="XBO17" s="235"/>
      <c r="XBP17" s="235"/>
      <c r="XBQ17" s="235"/>
      <c r="XBR17" s="235"/>
      <c r="XBS17" s="235"/>
      <c r="XBT17" s="235"/>
      <c r="XBU17" s="235"/>
      <c r="XBV17" s="235"/>
      <c r="XBW17" s="235"/>
      <c r="XBX17" s="235"/>
      <c r="XBY17" s="235"/>
      <c r="XBZ17" s="235"/>
      <c r="XCA17" s="235"/>
      <c r="XCB17" s="235"/>
      <c r="XCC17" s="235"/>
      <c r="XCD17" s="235"/>
      <c r="XCE17" s="235"/>
      <c r="XCF17" s="235"/>
      <c r="XCG17" s="235"/>
      <c r="XCH17" s="235"/>
      <c r="XCI17" s="235"/>
      <c r="XCJ17" s="235"/>
      <c r="XCK17" s="235"/>
      <c r="XCL17" s="235"/>
      <c r="XCM17" s="235"/>
      <c r="XCN17" s="235"/>
      <c r="XCO17" s="235"/>
      <c r="XCP17" s="235"/>
      <c r="XCQ17" s="235"/>
      <c r="XCR17" s="235"/>
      <c r="XCS17" s="235"/>
      <c r="XCT17" s="235"/>
      <c r="XCU17" s="235"/>
      <c r="XCV17" s="235"/>
      <c r="XCW17" s="235"/>
      <c r="XCX17" s="235"/>
      <c r="XCY17" s="235"/>
      <c r="XCZ17" s="235"/>
      <c r="XDA17" s="235"/>
      <c r="XDB17" s="235"/>
      <c r="XDC17" s="235"/>
      <c r="XDD17" s="235"/>
      <c r="XDE17" s="235"/>
      <c r="XDF17" s="235"/>
      <c r="XDG17" s="235"/>
      <c r="XDH17" s="235"/>
      <c r="XDI17" s="235"/>
      <c r="XDJ17" s="235"/>
      <c r="XDK17" s="235"/>
      <c r="XDL17" s="235"/>
      <c r="XDM17" s="235"/>
      <c r="XDN17" s="235"/>
      <c r="XDO17" s="235"/>
      <c r="XDP17" s="235"/>
      <c r="XDQ17" s="235"/>
      <c r="XDR17" s="235"/>
      <c r="XDS17" s="235"/>
      <c r="XDT17" s="235"/>
      <c r="XDU17" s="235"/>
      <c r="XDV17" s="235"/>
      <c r="XDW17" s="235"/>
      <c r="XDX17" s="235"/>
      <c r="XDY17" s="235"/>
      <c r="XDZ17" s="235"/>
      <c r="XEA17" s="235"/>
      <c r="XEB17" s="235"/>
      <c r="XEC17" s="235"/>
      <c r="XED17" s="235"/>
      <c r="XEE17" s="235"/>
      <c r="XEF17" s="235"/>
      <c r="XEG17" s="235"/>
      <c r="XEH17" s="235"/>
      <c r="XEI17" s="235"/>
      <c r="XEJ17" s="235"/>
      <c r="XEK17" s="235"/>
      <c r="XEL17" s="235"/>
      <c r="XEM17" s="235"/>
      <c r="XEN17" s="235"/>
      <c r="XEO17" s="235"/>
      <c r="XEP17" s="235"/>
      <c r="XEQ17" s="235"/>
      <c r="XER17" s="235"/>
      <c r="XES17" s="235"/>
      <c r="XET17" s="235"/>
      <c r="XEU17" s="235"/>
      <c r="XEV17" s="235"/>
      <c r="XEW17" s="235"/>
      <c r="XEX17" s="235"/>
      <c r="XEY17" s="235"/>
      <c r="XEZ17" s="235"/>
      <c r="XFA17" s="235"/>
      <c r="XFB17" s="235"/>
      <c r="XFC17" s="235"/>
      <c r="XFD17" s="235"/>
    </row>
    <row r="18" spans="1:16384" ht="12" customHeight="1">
      <c r="A18" s="207" t="s">
        <v>10</v>
      </c>
      <c r="B18" s="198"/>
      <c r="C18" s="223"/>
      <c r="D18" s="215"/>
      <c r="E18" s="223"/>
      <c r="F18" s="223"/>
      <c r="G18" s="215"/>
    </row>
    <row r="19" spans="1:16384" ht="24" customHeight="1">
      <c r="A19" s="329" t="s">
        <v>150</v>
      </c>
      <c r="B19" s="329"/>
      <c r="C19" s="329"/>
      <c r="D19" s="329"/>
      <c r="E19" s="329"/>
      <c r="F19" s="329"/>
      <c r="G19" s="329"/>
    </row>
    <row r="20" spans="1:16384" s="158" customFormat="1" ht="12" customHeight="1">
      <c r="A20" s="148" t="s">
        <v>12</v>
      </c>
      <c r="B20" s="208"/>
      <c r="C20" s="225"/>
      <c r="D20" s="208"/>
      <c r="E20" s="225"/>
      <c r="F20" s="225"/>
      <c r="G20" s="215"/>
      <c r="J20" s="163"/>
      <c r="K20" s="163"/>
      <c r="L20" s="163"/>
    </row>
    <row r="21" spans="1:16384" s="158" customFormat="1" ht="12" customHeight="1">
      <c r="A21" s="322" t="s">
        <v>312</v>
      </c>
      <c r="B21" s="148"/>
      <c r="C21" s="148"/>
      <c r="D21" s="148"/>
      <c r="E21" s="148"/>
      <c r="F21" s="148"/>
      <c r="G21" s="148"/>
      <c r="J21" s="163"/>
      <c r="K21" s="163"/>
      <c r="L21" s="163"/>
    </row>
    <row r="22" spans="1:16384" s="158" customFormat="1" ht="12" customHeight="1">
      <c r="A22" s="323" t="s">
        <v>313</v>
      </c>
      <c r="B22" s="215"/>
      <c r="C22" s="223"/>
      <c r="D22" s="215"/>
      <c r="E22" s="223"/>
      <c r="F22" s="223"/>
      <c r="G22" s="215"/>
      <c r="J22" s="163"/>
      <c r="K22" s="163"/>
      <c r="L22" s="163"/>
    </row>
    <row r="23" spans="1:16384" s="158" customFormat="1" ht="12" customHeight="1">
      <c r="A23" s="324" t="s">
        <v>314</v>
      </c>
      <c r="B23" s="208"/>
      <c r="C23" s="225"/>
      <c r="D23" s="215"/>
      <c r="E23" s="223"/>
      <c r="F23" s="223"/>
      <c r="G23" s="215"/>
      <c r="J23" s="163"/>
      <c r="K23" s="163"/>
      <c r="L23" s="163"/>
    </row>
  </sheetData>
  <mergeCells count="3">
    <mergeCell ref="A16:G16"/>
    <mergeCell ref="A19:G19"/>
    <mergeCell ref="A17:G17"/>
  </mergeCells>
  <hyperlinks>
    <hyperlink ref="A2" location="'Table of Contents'!A1" display="Table of Contents"/>
    <hyperlink ref="A17:G17" r:id="rId1" display="† Substance-related disorders presented in this table are mental and behavioural disorders. Users are cautioned not to compare these results with those of the indicator Hospital Stays for Harm Caused by Substance Use reported in the Your Health System web"/>
  </hyperlinks>
  <pageMargins left="0.75" right="0.75" top="0.75" bottom="0.75" header="0.3" footer="0.3"/>
  <pageSetup scale="98" orientation="landscape" r:id="rId2"/>
  <headerFooter>
    <oddFooter>&amp;L&amp;9© 2020 CIHI&amp;R&amp;9&amp;P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Data!$B$19:$C$19</xm:f>
          </x14:formula1>
          <xm:sqref>B3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26"/>
  <sheetViews>
    <sheetView showGridLines="0" topLeftCell="A2" zoomScaleNormal="100" zoomScaleSheetLayoutView="50" workbookViewId="0"/>
  </sheetViews>
  <sheetFormatPr defaultColWidth="9" defaultRowHeight="13.8"/>
  <cols>
    <col min="1" max="1" width="39.19921875" style="93" customWidth="1"/>
    <col min="2" max="2" width="21.59765625" style="93" customWidth="1"/>
    <col min="3" max="3" width="22.5" style="92" customWidth="1"/>
    <col min="4" max="4" width="12.59765625" style="91" customWidth="1"/>
    <col min="5" max="6" width="9" style="92"/>
    <col min="7" max="16384" width="9" style="93"/>
  </cols>
  <sheetData>
    <row r="1" spans="1:9" s="311" customFormat="1" ht="18.75" hidden="1" customHeight="1">
      <c r="A1" s="308" t="s">
        <v>210</v>
      </c>
      <c r="B1" s="308"/>
      <c r="C1" s="308"/>
      <c r="D1" s="310"/>
      <c r="E1" s="310"/>
      <c r="F1" s="310"/>
      <c r="G1" s="310"/>
      <c r="H1" s="310"/>
    </row>
    <row r="2" spans="1:9" s="13" customFormat="1" ht="24" customHeight="1">
      <c r="A2" s="16" t="s">
        <v>5</v>
      </c>
      <c r="B2" s="16"/>
      <c r="E2" s="81"/>
      <c r="F2" s="81"/>
    </row>
    <row r="3" spans="1:9" s="20" customFormat="1" ht="18" customHeight="1">
      <c r="A3" s="261" t="s">
        <v>152</v>
      </c>
      <c r="B3" s="259" t="s">
        <v>25</v>
      </c>
      <c r="C3" s="260"/>
      <c r="E3" s="244"/>
      <c r="F3" s="244"/>
    </row>
    <row r="4" spans="1:9" s="59" customFormat="1" ht="40.200000000000003" customHeight="1">
      <c r="A4" s="331" t="s">
        <v>316</v>
      </c>
      <c r="B4" s="332"/>
      <c r="C4" s="332"/>
      <c r="D4" s="255"/>
      <c r="E4" s="256"/>
      <c r="F4" s="256"/>
      <c r="G4" s="255"/>
    </row>
    <row r="5" spans="1:9" s="91" customFormat="1" ht="41.4">
      <c r="A5" s="275" t="s">
        <v>36</v>
      </c>
      <c r="B5" s="276" t="s">
        <v>11</v>
      </c>
      <c r="C5" s="278" t="s">
        <v>185</v>
      </c>
      <c r="E5" s="116"/>
      <c r="F5" s="116"/>
    </row>
    <row r="6" spans="1:9" s="91" customFormat="1" ht="15" customHeight="1">
      <c r="A6" s="171" t="str">
        <f>INDEX(Data!$A$41:$C$68,(MATCH($B$3,Data!$B$39:$C$39, 0)-1)*14+1,1)</f>
        <v>Newfoundland and Labrador</v>
      </c>
      <c r="B6" s="264">
        <f>INDEX(Data!$A$41:$C$68,(MATCH($B$3,Data!$B$39:$C$39, 0)-1)*14+1,2)</f>
        <v>3412</v>
      </c>
      <c r="C6" s="265">
        <f>INDEX(Data!$A$41:$C$68,(MATCH($B$3,Data!$B$39:$C$39, 0)-1)*14+1,3)</f>
        <v>664.77</v>
      </c>
      <c r="E6" s="116"/>
      <c r="F6" s="116"/>
      <c r="G6" s="118"/>
      <c r="H6" s="118"/>
      <c r="I6" s="118"/>
    </row>
    <row r="7" spans="1:9" s="91" customFormat="1" ht="15" customHeight="1">
      <c r="A7" s="171" t="str">
        <f>INDEX(Data!$A$41:$C$68,(MATCH($B$3,Data!$B$39:$C$39, 0)-1)*14+2,1)</f>
        <v>Prince Edward Island</v>
      </c>
      <c r="B7" s="264">
        <f>INDEX(Data!$A$41:$C$68,(MATCH($B$3,Data!$B$39:$C$39, 0)-1)*14+2,2)</f>
        <v>1496</v>
      </c>
      <c r="C7" s="265">
        <f>INDEX(Data!$A$41:$C$68,(MATCH($B$3,Data!$B$39:$C$39, 0)-1)*14+2,3)</f>
        <v>994.67</v>
      </c>
      <c r="E7" s="116"/>
      <c r="F7" s="116"/>
      <c r="G7" s="118"/>
      <c r="H7" s="118"/>
      <c r="I7" s="118"/>
    </row>
    <row r="8" spans="1:9" s="91" customFormat="1" ht="15" customHeight="1">
      <c r="A8" s="171" t="str">
        <f>INDEX(Data!$A$41:$C$68,(MATCH($B$3,Data!$B$39:$C$39, 0)-1)*14+3,1)</f>
        <v>Nova Scotia</v>
      </c>
      <c r="B8" s="264">
        <f>INDEX(Data!$A$41:$C$68,(MATCH($B$3,Data!$B$39:$C$39, 0)-1)*14+3,2)</f>
        <v>5609</v>
      </c>
      <c r="C8" s="265">
        <f>INDEX(Data!$A$41:$C$68,(MATCH($B$3,Data!$B$39:$C$39, 0)-1)*14+3,3)</f>
        <v>579.89</v>
      </c>
      <c r="E8" s="116"/>
      <c r="F8" s="116"/>
      <c r="G8" s="118"/>
      <c r="H8" s="118"/>
      <c r="I8" s="118"/>
    </row>
    <row r="9" spans="1:9" s="91" customFormat="1" ht="15" customHeight="1">
      <c r="A9" s="171" t="str">
        <f>INDEX(Data!$A$41:$C$68,(MATCH($B$3,Data!$B$39:$C$39, 0)-1)*14+4,1)</f>
        <v>New Brunswick</v>
      </c>
      <c r="B9" s="264">
        <f>INDEX(Data!$A$41:$C$68,(MATCH($B$3,Data!$B$39:$C$39, 0)-1)*14+4,2)</f>
        <v>5829</v>
      </c>
      <c r="C9" s="265">
        <f>INDEX(Data!$A$41:$C$68,(MATCH($B$3,Data!$B$39:$C$39, 0)-1)*14+4,3)</f>
        <v>768.72</v>
      </c>
      <c r="E9" s="116"/>
      <c r="F9" s="116"/>
      <c r="G9" s="118"/>
      <c r="H9" s="118"/>
      <c r="I9" s="118"/>
    </row>
    <row r="10" spans="1:9" s="91" customFormat="1" ht="15" customHeight="1">
      <c r="A10" s="171" t="str">
        <f>INDEX(Data!$A$41:$C$68,(MATCH($B$3,Data!$B$39:$C$39, 0)-1)*14+5,1)</f>
        <v>Quebec</v>
      </c>
      <c r="B10" s="264">
        <f>INDEX(Data!$A$41:$C$68,(MATCH($B$3,Data!$B$39:$C$39, 0)-1)*14+5,2)</f>
        <v>57976</v>
      </c>
      <c r="C10" s="265">
        <f>INDEX(Data!$A$41:$C$68,(MATCH($B$3,Data!$B$39:$C$39, 0)-1)*14+5,3)</f>
        <v>684.59</v>
      </c>
      <c r="E10" s="116"/>
      <c r="F10" s="116"/>
      <c r="G10" s="118"/>
      <c r="H10" s="118"/>
      <c r="I10" s="118"/>
    </row>
    <row r="11" spans="1:9" s="91" customFormat="1" ht="15" customHeight="1">
      <c r="A11" s="171" t="str">
        <f>INDEX(Data!$A$41:$C$68,(MATCH($B$3,Data!$B$39:$C$39, 0)-1)*14+6,1)</f>
        <v>Ontario</v>
      </c>
      <c r="B11" s="264">
        <f>INDEX(Data!$A$41:$C$68,(MATCH($B$3,Data!$B$39:$C$39, 0)-1)*14+6,2)</f>
        <v>95855</v>
      </c>
      <c r="C11" s="265">
        <f>INDEX(Data!$A$41:$C$68,(MATCH($B$3,Data!$B$39:$C$39, 0)-1)*14+6,3)</f>
        <v>664.7</v>
      </c>
      <c r="E11" s="116"/>
      <c r="F11" s="116"/>
      <c r="G11" s="118"/>
      <c r="H11" s="118"/>
      <c r="I11" s="118"/>
    </row>
    <row r="12" spans="1:9" s="91" customFormat="1" ht="15" customHeight="1">
      <c r="A12" s="171" t="str">
        <f>INDEX(Data!$A$41:$C$68,(MATCH($B$3,Data!$B$39:$C$39, 0)-1)*14+7,1)</f>
        <v>Manitoba</v>
      </c>
      <c r="B12" s="264">
        <f>INDEX(Data!$A$41:$C$68,(MATCH($B$3,Data!$B$39:$C$39, 0)-1)*14+7,2)</f>
        <v>7756</v>
      </c>
      <c r="C12" s="265">
        <f>INDEX(Data!$A$41:$C$68,(MATCH($B$3,Data!$B$39:$C$39, 0)-1)*14+7,3)</f>
        <v>577.79999999999995</v>
      </c>
      <c r="E12" s="116"/>
      <c r="F12" s="116"/>
      <c r="G12" s="118"/>
      <c r="H12" s="118"/>
      <c r="I12" s="118"/>
    </row>
    <row r="13" spans="1:9" s="91" customFormat="1" ht="15" customHeight="1">
      <c r="A13" s="171" t="str">
        <f>INDEX(Data!$A$41:$C$68,(MATCH($B$3,Data!$B$39:$C$39, 0)-1)*14+8,1)</f>
        <v>Saskatchewan</v>
      </c>
      <c r="B13" s="264">
        <f>INDEX(Data!$A$41:$C$68,(MATCH($B$3,Data!$B$39:$C$39, 0)-1)*14+8,2)</f>
        <v>8402</v>
      </c>
      <c r="C13" s="265">
        <f>INDEX(Data!$A$41:$C$68,(MATCH($B$3,Data!$B$39:$C$39, 0)-1)*14+8,3)</f>
        <v>746.07</v>
      </c>
      <c r="E13" s="116"/>
      <c r="F13" s="116"/>
      <c r="G13" s="118"/>
      <c r="H13" s="118"/>
      <c r="I13" s="118"/>
    </row>
    <row r="14" spans="1:9" s="91" customFormat="1" ht="15" customHeight="1">
      <c r="A14" s="171" t="str">
        <f>INDEX(Data!$A$41:$C$68,(MATCH($B$3,Data!$B$39:$C$39, 0)-1)*14+9,1)</f>
        <v>Alberta</v>
      </c>
      <c r="B14" s="264">
        <f>INDEX(Data!$A$41:$C$68,(MATCH($B$3,Data!$B$39:$C$39, 0)-1)*14+9,2)</f>
        <v>30021</v>
      </c>
      <c r="C14" s="265">
        <f>INDEX(Data!$A$41:$C$68,(MATCH($B$3,Data!$B$39:$C$39, 0)-1)*14+9,3)</f>
        <v>722.49</v>
      </c>
      <c r="E14" s="116"/>
      <c r="F14" s="116"/>
      <c r="G14" s="118"/>
      <c r="H14" s="118"/>
      <c r="I14" s="118"/>
    </row>
    <row r="15" spans="1:9" s="91" customFormat="1" ht="15" customHeight="1">
      <c r="A15" s="171" t="str">
        <f>INDEX(Data!$A$41:$C$68,(MATCH($B$3,Data!$B$39:$C$39, 0)-1)*14+10,1)</f>
        <v>British Columbia</v>
      </c>
      <c r="B15" s="264">
        <f>INDEX(Data!$A$41:$C$68,(MATCH($B$3,Data!$B$39:$C$39, 0)-1)*14+10,2)</f>
        <v>39897</v>
      </c>
      <c r="C15" s="265">
        <f>INDEX(Data!$A$41:$C$68,(MATCH($B$3,Data!$B$39:$C$39, 0)-1)*14+10,3)</f>
        <v>794.17</v>
      </c>
      <c r="E15" s="116"/>
      <c r="F15" s="116"/>
      <c r="G15" s="118"/>
      <c r="H15" s="118"/>
      <c r="I15" s="118"/>
    </row>
    <row r="16" spans="1:9" s="91" customFormat="1" ht="15" customHeight="1">
      <c r="A16" s="171" t="str">
        <f>INDEX(Data!$A$41:$C$68,(MATCH($B$3,Data!$B$39:$C$39, 0)-1)*14+11,1)</f>
        <v>Yukon</v>
      </c>
      <c r="B16" s="51">
        <f>INDEX(Data!$A$41:$C$68,(MATCH($B$3,Data!$B$39:$C$39, 0)-1)*14+11,2)</f>
        <v>389</v>
      </c>
      <c r="C16" s="265">
        <f>INDEX(Data!$A$41:$C$68,(MATCH($B$3,Data!$B$39:$C$39, 0)-1)*14+11,3)</f>
        <v>1006.07</v>
      </c>
      <c r="E16" s="116"/>
      <c r="F16" s="116"/>
      <c r="G16" s="118"/>
      <c r="H16" s="118"/>
      <c r="I16" s="118"/>
    </row>
    <row r="17" spans="1:9" s="91" customFormat="1" ht="15" customHeight="1">
      <c r="A17" s="171" t="str">
        <f>INDEX(Data!$A$41:$C$68,(MATCH($B$3,Data!$B$39:$C$39, 0)-1)*14+12,1)</f>
        <v>Northwest Territories</v>
      </c>
      <c r="B17" s="51">
        <f>INDEX(Data!$A$41:$C$68,(MATCH($B$3,Data!$B$39:$C$39, 0)-1)*14+12,2)</f>
        <v>701</v>
      </c>
      <c r="C17" s="265">
        <f>INDEX(Data!$A$41:$C$68,(MATCH($B$3,Data!$B$39:$C$39, 0)-1)*14+12,3)</f>
        <v>1626.8</v>
      </c>
      <c r="E17" s="116"/>
      <c r="F17" s="116"/>
      <c r="G17" s="118"/>
      <c r="H17" s="118"/>
      <c r="I17" s="118"/>
    </row>
    <row r="18" spans="1:9" s="91" customFormat="1" ht="15" customHeight="1">
      <c r="A18" s="171" t="str">
        <f>INDEX(Data!$A$41:$C$68,(MATCH($B$3,Data!$B$39:$C$39, 0)-1)*14+13,1)</f>
        <v>Nunavut</v>
      </c>
      <c r="B18" s="51">
        <f>INDEX(Data!$A$41:$C$68,(MATCH($B$3,Data!$B$39:$C$39, 0)-1)*14+13,2)</f>
        <v>209</v>
      </c>
      <c r="C18" s="265">
        <f>INDEX(Data!$A$41:$C$68,(MATCH($B$3,Data!$B$39:$C$39, 0)-1)*14+13,3)</f>
        <v>542.67999999999995</v>
      </c>
      <c r="E18" s="116"/>
      <c r="F18" s="116"/>
      <c r="G18" s="118"/>
      <c r="H18" s="118"/>
      <c r="I18" s="118"/>
    </row>
    <row r="19" spans="1:9" s="91" customFormat="1" ht="15" customHeight="1">
      <c r="A19" s="171" t="str">
        <f>INDEX(Data!$A$41:$C$68,(MATCH($B$3,Data!$B$39:$C$39, 0)-1)*14+14,1)</f>
        <v>Canada (Organic disorders included)</v>
      </c>
      <c r="B19" s="266">
        <f>INDEX(Data!$A$41:$C$68,(MATCH($B$3,Data!$B$39:$C$39, 0)-1)*14+14,2)</f>
        <v>257552</v>
      </c>
      <c r="C19" s="267">
        <f>INDEX(Data!$A$41:$C$68,(MATCH($B$3,Data!$B$39:$C$39, 0)-1)*14+14,3)</f>
        <v>695.98</v>
      </c>
      <c r="E19" s="116"/>
      <c r="F19" s="116"/>
      <c r="G19" s="118"/>
      <c r="H19" s="118"/>
      <c r="I19" s="118"/>
    </row>
    <row r="20" spans="1:9" s="91" customFormat="1" ht="17.25" customHeight="1">
      <c r="A20" s="204" t="s">
        <v>9</v>
      </c>
      <c r="B20" s="223"/>
      <c r="C20" s="215"/>
      <c r="E20" s="116"/>
      <c r="F20" s="116"/>
    </row>
    <row r="21" spans="1:9" s="91" customFormat="1" ht="24" customHeight="1">
      <c r="A21" s="328" t="s">
        <v>192</v>
      </c>
      <c r="B21" s="328"/>
      <c r="C21" s="328"/>
      <c r="D21" s="235"/>
      <c r="E21" s="235"/>
      <c r="F21" s="235"/>
      <c r="G21" s="235"/>
    </row>
    <row r="22" spans="1:9" s="91" customFormat="1" ht="24" customHeight="1">
      <c r="A22" s="328" t="s">
        <v>12</v>
      </c>
      <c r="B22" s="328"/>
      <c r="C22" s="328"/>
      <c r="D22" s="120"/>
      <c r="E22" s="121"/>
      <c r="F22" s="116"/>
    </row>
    <row r="23" spans="1:9" s="91" customFormat="1" ht="12" customHeight="1">
      <c r="A23" s="328" t="s">
        <v>33</v>
      </c>
      <c r="B23" s="328"/>
      <c r="C23" s="328"/>
      <c r="E23" s="116"/>
      <c r="F23" s="116"/>
    </row>
    <row r="24" spans="1:9" s="91" customFormat="1" ht="24" customHeight="1">
      <c r="A24" s="333" t="s">
        <v>56</v>
      </c>
      <c r="B24" s="333"/>
      <c r="C24" s="333"/>
      <c r="E24" s="116"/>
      <c r="F24" s="116"/>
    </row>
    <row r="25" spans="1:9" s="91" customFormat="1" ht="12" customHeight="1">
      <c r="A25" s="209" t="s">
        <v>24</v>
      </c>
      <c r="B25" s="223"/>
      <c r="C25" s="215"/>
      <c r="E25" s="116"/>
      <c r="F25" s="116"/>
    </row>
    <row r="26" spans="1:9" s="91" customFormat="1" ht="12" customHeight="1">
      <c r="A26" s="324" t="s">
        <v>314</v>
      </c>
      <c r="B26" s="208"/>
      <c r="C26" s="225"/>
      <c r="E26" s="116"/>
      <c r="F26" s="116"/>
    </row>
  </sheetData>
  <mergeCells count="5">
    <mergeCell ref="A4:C4"/>
    <mergeCell ref="A22:C22"/>
    <mergeCell ref="A24:C24"/>
    <mergeCell ref="A23:C23"/>
    <mergeCell ref="A21:C21"/>
  </mergeCells>
  <hyperlinks>
    <hyperlink ref="A2" location="'Table of Contents'!A1" display="Table of Contents"/>
  </hyperlinks>
  <pageMargins left="0.75" right="0.75" top="0.75" bottom="0.75" header="0.3" footer="0.3"/>
  <pageSetup orientation="landscape" r:id="rId1"/>
  <headerFooter>
    <oddFooter>&amp;L&amp;9© 2020 CIHI&amp;R&amp;9&amp;P</oddFooter>
  </headerFooter>
  <colBreaks count="1" manualBreakCount="1">
    <brk id="3"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14:formula1>
            <xm:f>Data!$B$39:$C$39</xm:f>
          </x14:formula1>
          <xm:sqref>B3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62"/>
  <sheetViews>
    <sheetView showGridLines="0" zoomScaleNormal="100" zoomScaleSheetLayoutView="50" workbookViewId="0">
      <pane ySplit="5" topLeftCell="A6" activePane="bottomLeft" state="frozen"/>
      <selection activeCell="A7" sqref="A7:XFD7"/>
      <selection pane="bottomLeft"/>
    </sheetView>
  </sheetViews>
  <sheetFormatPr defaultColWidth="9" defaultRowHeight="14.4"/>
  <cols>
    <col min="1" max="1" width="39.59765625" style="82" customWidth="1"/>
    <col min="2" max="2" width="34.5" style="82" customWidth="1"/>
    <col min="3" max="3" width="14.19921875" style="82" customWidth="1"/>
    <col min="4" max="5" width="14.69921875" style="115" customWidth="1"/>
    <col min="6" max="6" width="12.59765625" style="82" customWidth="1"/>
    <col min="7" max="7" width="9" style="114"/>
    <col min="8" max="8" width="9.19921875" style="115" bestFit="1" customWidth="1"/>
    <col min="9" max="16384" width="9" style="82"/>
  </cols>
  <sheetData>
    <row r="1" spans="1:9" s="311" customFormat="1" ht="21" hidden="1" customHeight="1">
      <c r="A1" s="309" t="s">
        <v>211</v>
      </c>
      <c r="B1" s="309"/>
      <c r="C1" s="309"/>
      <c r="D1" s="309"/>
      <c r="E1" s="309"/>
      <c r="F1" s="309"/>
      <c r="G1" s="310"/>
      <c r="H1" s="310"/>
      <c r="I1" s="310"/>
    </row>
    <row r="2" spans="1:9" s="13" customFormat="1" ht="24" customHeight="1">
      <c r="A2" s="16" t="s">
        <v>5</v>
      </c>
      <c r="B2" s="16"/>
      <c r="C2" s="16"/>
      <c r="H2" s="81"/>
    </row>
    <row r="3" spans="1:9" s="20" customFormat="1" ht="18" customHeight="1">
      <c r="A3" s="262" t="s">
        <v>152</v>
      </c>
      <c r="B3" s="259" t="s">
        <v>26</v>
      </c>
      <c r="G3" s="244"/>
    </row>
    <row r="4" spans="1:9" s="254" customFormat="1" ht="40.200000000000003" customHeight="1">
      <c r="A4" s="331" t="s">
        <v>317</v>
      </c>
      <c r="B4" s="334"/>
      <c r="C4" s="334"/>
      <c r="D4" s="334"/>
      <c r="E4" s="334"/>
      <c r="F4" s="334"/>
      <c r="G4" s="252"/>
      <c r="H4" s="253"/>
    </row>
    <row r="5" spans="1:9" s="85" customFormat="1" ht="41.4">
      <c r="A5" s="279" t="s">
        <v>35</v>
      </c>
      <c r="B5" s="275" t="s">
        <v>36</v>
      </c>
      <c r="C5" s="276" t="s">
        <v>180</v>
      </c>
      <c r="D5" s="277" t="s">
        <v>181</v>
      </c>
      <c r="E5" s="277" t="s">
        <v>186</v>
      </c>
      <c r="F5" s="278" t="s">
        <v>187</v>
      </c>
      <c r="G5" s="83"/>
      <c r="H5" s="84"/>
    </row>
    <row r="6" spans="1:9" s="93" customFormat="1" ht="15" customHeight="1">
      <c r="A6" s="86" t="s">
        <v>37</v>
      </c>
      <c r="B6" s="87" t="str">
        <f>INDEX(Data!$B$71:$F$154,(MATCH($B$3,Data!$B$69:$C$69, 0)-1)*42+1,1)</f>
        <v>Newfoundland and Labrador</v>
      </c>
      <c r="C6" s="88">
        <f>INDEX(Data!$B$71:$F$154,(MATCH($B$3,Data!$B$69:$C$69, 0)-1)*42+1,2)</f>
        <v>6</v>
      </c>
      <c r="D6" s="89">
        <f>INDEX(Data!$B$71:$F$154,(MATCH($B$3,Data!$B$69:$C$69, 0)-1)*42+1,3)</f>
        <v>14.22</v>
      </c>
      <c r="E6" s="117">
        <f>INDEX(Data!$B$71:$F$154,(MATCH($B$3,Data!$B$69:$C$69, 0)-1)*42+1,4)</f>
        <v>12.93</v>
      </c>
      <c r="F6" s="90">
        <f>INDEX(Data!$B$71:$F$154,(MATCH($B$3,Data!$B$69:$C$69, 0)-1)*42+1,5)</f>
        <v>26157</v>
      </c>
      <c r="G6" s="91"/>
      <c r="H6" s="92"/>
    </row>
    <row r="7" spans="1:9" s="93" customFormat="1" ht="15" customHeight="1">
      <c r="A7" s="94" t="s">
        <v>37</v>
      </c>
      <c r="B7" s="87" t="str">
        <f>INDEX(Data!$B$71:$F$154,(MATCH($B$3,Data!$B$69:$C$69, 0)-1)*42+2,1)</f>
        <v>Prince Edward Island</v>
      </c>
      <c r="C7" s="88">
        <f>INDEX(Data!$B$71:$F$154,(MATCH($B$3,Data!$B$69:$C$69, 0)-1)*42+2,2)</f>
        <v>7</v>
      </c>
      <c r="D7" s="89">
        <f>INDEX(Data!$B$71:$F$154,(MATCH($B$3,Data!$B$69:$C$69, 0)-1)*42+2,3)</f>
        <v>13.56</v>
      </c>
      <c r="E7" s="117">
        <f>INDEX(Data!$B$71:$F$154,(MATCH($B$3,Data!$B$69:$C$69, 0)-1)*42+2,4)</f>
        <v>12.46</v>
      </c>
      <c r="F7" s="90">
        <f>INDEX(Data!$B$71:$F$154,(MATCH($B$3,Data!$B$69:$C$69, 0)-1)*42+2,5)</f>
        <v>16310</v>
      </c>
      <c r="G7" s="91"/>
      <c r="H7" s="92"/>
    </row>
    <row r="8" spans="1:9" s="93" customFormat="1" ht="15" customHeight="1">
      <c r="A8" s="94" t="s">
        <v>37</v>
      </c>
      <c r="B8" s="87" t="str">
        <f>INDEX(Data!$B$71:$F$154,(MATCH($B$3,Data!$B$69:$C$69, 0)-1)*42+3,1)</f>
        <v>Nova Scotia</v>
      </c>
      <c r="C8" s="88">
        <f>INDEX(Data!$B$71:$F$154,(MATCH($B$3,Data!$B$69:$C$69, 0)-1)*42+3,2)</f>
        <v>6</v>
      </c>
      <c r="D8" s="89">
        <f>INDEX(Data!$B$71:$F$154,(MATCH($B$3,Data!$B$69:$C$69, 0)-1)*42+3,3)</f>
        <v>14.57</v>
      </c>
      <c r="E8" s="117">
        <f>INDEX(Data!$B$71:$F$154,(MATCH($B$3,Data!$B$69:$C$69, 0)-1)*42+3,4)</f>
        <v>13.44</v>
      </c>
      <c r="F8" s="90">
        <f>INDEX(Data!$B$71:$F$154,(MATCH($B$3,Data!$B$69:$C$69, 0)-1)*42+3,5)</f>
        <v>57417</v>
      </c>
      <c r="G8" s="91"/>
      <c r="H8" s="92"/>
    </row>
    <row r="9" spans="1:9" s="93" customFormat="1" ht="15" customHeight="1">
      <c r="A9" s="94" t="s">
        <v>37</v>
      </c>
      <c r="B9" s="87" t="str">
        <f>INDEX(Data!$B$71:$F$154,(MATCH($B$3,Data!$B$69:$C$69, 0)-1)*42+4,1)</f>
        <v>New Brunswick</v>
      </c>
      <c r="C9" s="88">
        <f>INDEX(Data!$B$71:$F$154,(MATCH($B$3,Data!$B$69:$C$69, 0)-1)*42+4,2)</f>
        <v>7</v>
      </c>
      <c r="D9" s="89">
        <f>INDEX(Data!$B$71:$F$154,(MATCH($B$3,Data!$B$69:$C$69, 0)-1)*42+4,3)</f>
        <v>14.24</v>
      </c>
      <c r="E9" s="117">
        <f>INDEX(Data!$B$71:$F$154,(MATCH($B$3,Data!$B$69:$C$69, 0)-1)*42+4,4)</f>
        <v>12.28</v>
      </c>
      <c r="F9" s="90">
        <f>INDEX(Data!$B$71:$F$154,(MATCH($B$3,Data!$B$69:$C$69, 0)-1)*42+4,5)</f>
        <v>63929</v>
      </c>
      <c r="G9" s="91"/>
      <c r="H9" s="92"/>
    </row>
    <row r="10" spans="1:9" s="93" customFormat="1" ht="15" customHeight="1">
      <c r="A10" s="94" t="s">
        <v>37</v>
      </c>
      <c r="B10" s="87" t="str">
        <f>INDEX(Data!$B$71:$F$154,(MATCH($B$3,Data!$B$69:$C$69, 0)-1)*42+5,1)</f>
        <v>Quebec</v>
      </c>
      <c r="C10" s="88">
        <f>INDEX(Data!$B$71:$F$154,(MATCH($B$3,Data!$B$69:$C$69, 0)-1)*42+5,2)</f>
        <v>6</v>
      </c>
      <c r="D10" s="89">
        <f>INDEX(Data!$B$71:$F$154,(MATCH($B$3,Data!$B$69:$C$69, 0)-1)*42+5,3)</f>
        <v>16.73</v>
      </c>
      <c r="E10" s="117">
        <f>INDEX(Data!$B$71:$F$154,(MATCH($B$3,Data!$B$69:$C$69, 0)-1)*42+5,4)</f>
        <v>15.16</v>
      </c>
      <c r="F10" s="90">
        <f>INDEX(Data!$B$71:$F$154,(MATCH($B$3,Data!$B$69:$C$69, 0)-1)*42+5,5)</f>
        <v>640697</v>
      </c>
      <c r="G10" s="91"/>
      <c r="H10" s="92"/>
    </row>
    <row r="11" spans="1:9" s="93" customFormat="1" ht="15" customHeight="1">
      <c r="A11" s="94" t="s">
        <v>37</v>
      </c>
      <c r="B11" s="87" t="str">
        <f>INDEX(Data!$B$71:$F$154,(MATCH($B$3,Data!$B$69:$C$69, 0)-1)*42+6,1)</f>
        <v>Ontario</v>
      </c>
      <c r="C11" s="88">
        <f>INDEX(Data!$B$71:$F$154,(MATCH($B$3,Data!$B$69:$C$69, 0)-1)*42+6,2)</f>
        <v>5</v>
      </c>
      <c r="D11" s="89">
        <f>INDEX(Data!$B$71:$F$154,(MATCH($B$3,Data!$B$69:$C$69, 0)-1)*42+6,3)</f>
        <v>11.29</v>
      </c>
      <c r="E11" s="117">
        <f>INDEX(Data!$B$71:$F$154,(MATCH($B$3,Data!$B$69:$C$69, 0)-1)*42+6,4)</f>
        <v>10.23</v>
      </c>
      <c r="F11" s="90">
        <f>INDEX(Data!$B$71:$F$154,(MATCH($B$3,Data!$B$69:$C$69, 0)-1)*42+6,5)</f>
        <v>785838</v>
      </c>
      <c r="G11" s="91"/>
      <c r="H11" s="92"/>
    </row>
    <row r="12" spans="1:9" s="93" customFormat="1" ht="15" customHeight="1">
      <c r="A12" s="94" t="s">
        <v>37</v>
      </c>
      <c r="B12" s="87" t="str">
        <f>INDEX(Data!$B$71:$F$154,(MATCH($B$3,Data!$B$69:$C$69, 0)-1)*42+7,1)</f>
        <v>Manitoba</v>
      </c>
      <c r="C12" s="88">
        <f>INDEX(Data!$B$71:$F$154,(MATCH($B$3,Data!$B$69:$C$69, 0)-1)*42+7,2)</f>
        <v>8</v>
      </c>
      <c r="D12" s="89">
        <f>INDEX(Data!$B$71:$F$154,(MATCH($B$3,Data!$B$69:$C$69, 0)-1)*42+7,3)</f>
        <v>16.96</v>
      </c>
      <c r="E12" s="117">
        <f>INDEX(Data!$B$71:$F$154,(MATCH($B$3,Data!$B$69:$C$69, 0)-1)*42+7,4)</f>
        <v>15.51</v>
      </c>
      <c r="F12" s="90">
        <f>INDEX(Data!$B$71:$F$154,(MATCH($B$3,Data!$B$69:$C$69, 0)-1)*42+7,5)</f>
        <v>98172</v>
      </c>
      <c r="G12" s="91"/>
      <c r="H12" s="92"/>
    </row>
    <row r="13" spans="1:9" s="93" customFormat="1" ht="15" customHeight="1">
      <c r="A13" s="94" t="s">
        <v>37</v>
      </c>
      <c r="B13" s="87" t="str">
        <f>INDEX(Data!$B$71:$F$154,(MATCH($B$3,Data!$B$69:$C$69, 0)-1)*42+8,1)</f>
        <v>Saskatchewan</v>
      </c>
      <c r="C13" s="88">
        <f>INDEX(Data!$B$71:$F$154,(MATCH($B$3,Data!$B$69:$C$69, 0)-1)*42+8,2)</f>
        <v>6</v>
      </c>
      <c r="D13" s="89">
        <f>INDEX(Data!$B$71:$F$154,(MATCH($B$3,Data!$B$69:$C$69, 0)-1)*42+8,3)</f>
        <v>10.36</v>
      </c>
      <c r="E13" s="117">
        <f>INDEX(Data!$B$71:$F$154,(MATCH($B$3,Data!$B$69:$C$69, 0)-1)*42+8,4)</f>
        <v>9.74</v>
      </c>
      <c r="F13" s="90">
        <f>INDEX(Data!$B$71:$F$154,(MATCH($B$3,Data!$B$69:$C$69, 0)-1)*42+8,5)</f>
        <v>78819</v>
      </c>
      <c r="G13" s="91"/>
      <c r="H13" s="92"/>
    </row>
    <row r="14" spans="1:9" s="93" customFormat="1" ht="15" customHeight="1">
      <c r="A14" s="94" t="s">
        <v>37</v>
      </c>
      <c r="B14" s="87" t="str">
        <f>INDEX(Data!$B$71:$F$154,(MATCH($B$3,Data!$B$69:$C$69, 0)-1)*42+9,1)</f>
        <v>Alberta</v>
      </c>
      <c r="C14" s="88">
        <f>INDEX(Data!$B$71:$F$154,(MATCH($B$3,Data!$B$69:$C$69, 0)-1)*42+9,2)</f>
        <v>5</v>
      </c>
      <c r="D14" s="89">
        <f>INDEX(Data!$B$71:$F$154,(MATCH($B$3,Data!$B$69:$C$69, 0)-1)*42+9,3)</f>
        <v>14.29</v>
      </c>
      <c r="E14" s="117">
        <f>INDEX(Data!$B$71:$F$154,(MATCH($B$3,Data!$B$69:$C$69, 0)-1)*42+9,4)</f>
        <v>12.99</v>
      </c>
      <c r="F14" s="90">
        <f>INDEX(Data!$B$71:$F$154,(MATCH($B$3,Data!$B$69:$C$69, 0)-1)*42+9,5)</f>
        <v>320038</v>
      </c>
      <c r="G14" s="91"/>
      <c r="H14" s="92"/>
    </row>
    <row r="15" spans="1:9" s="93" customFormat="1" ht="15" customHeight="1">
      <c r="A15" s="94" t="s">
        <v>37</v>
      </c>
      <c r="B15" s="87" t="str">
        <f>INDEX(Data!$B$71:$F$154,(MATCH($B$3,Data!$B$69:$C$69, 0)-1)*42+10,1)</f>
        <v>British Columbia</v>
      </c>
      <c r="C15" s="88">
        <f>INDEX(Data!$B$71:$F$154,(MATCH($B$3,Data!$B$69:$C$69, 0)-1)*42+10,2)</f>
        <v>4</v>
      </c>
      <c r="D15" s="89">
        <f>INDEX(Data!$B$71:$F$154,(MATCH($B$3,Data!$B$69:$C$69, 0)-1)*42+10,3)</f>
        <v>10.9</v>
      </c>
      <c r="E15" s="117">
        <f>INDEX(Data!$B$71:$F$154,(MATCH($B$3,Data!$B$69:$C$69, 0)-1)*42+10,4)</f>
        <v>10.09</v>
      </c>
      <c r="F15" s="90">
        <f>INDEX(Data!$B$71:$F$154,(MATCH($B$3,Data!$B$69:$C$69, 0)-1)*42+10,5)</f>
        <v>376471</v>
      </c>
      <c r="G15" s="91"/>
      <c r="H15" s="92"/>
    </row>
    <row r="16" spans="1:9" s="93" customFormat="1" ht="15" customHeight="1">
      <c r="A16" s="94" t="s">
        <v>37</v>
      </c>
      <c r="B16" s="87" t="str">
        <f>INDEX(Data!$B$71:$F$154,(MATCH($B$3,Data!$B$69:$C$69, 0)-1)*42+11,1)</f>
        <v>Yukon</v>
      </c>
      <c r="C16" s="88">
        <f>INDEX(Data!$B$71:$F$154,(MATCH($B$3,Data!$B$69:$C$69, 0)-1)*42+11,2)</f>
        <v>2</v>
      </c>
      <c r="D16" s="89">
        <f>INDEX(Data!$B$71:$F$154,(MATCH($B$3,Data!$B$69:$C$69, 0)-1)*42+11,3)</f>
        <v>4.45</v>
      </c>
      <c r="E16" s="117">
        <f>INDEX(Data!$B$71:$F$154,(MATCH($B$3,Data!$B$69:$C$69, 0)-1)*42+11,4)</f>
        <v>4.13</v>
      </c>
      <c r="F16" s="90">
        <f>INDEX(Data!$B$71:$F$154,(MATCH($B$3,Data!$B$69:$C$69, 0)-1)*42+11,5)</f>
        <v>1616</v>
      </c>
      <c r="G16" s="91"/>
      <c r="H16" s="92"/>
    </row>
    <row r="17" spans="1:8" s="93" customFormat="1" ht="15" customHeight="1">
      <c r="A17" s="94" t="s">
        <v>37</v>
      </c>
      <c r="B17" s="87" t="str">
        <f>INDEX(Data!$B$71:$F$154,(MATCH($B$3,Data!$B$69:$C$69, 0)-1)*42+12,1)</f>
        <v>Northwest Territories</v>
      </c>
      <c r="C17" s="88">
        <f>INDEX(Data!$B$71:$F$154,(MATCH($B$3,Data!$B$69:$C$69, 0)-1)*42+12,2)</f>
        <v>3</v>
      </c>
      <c r="D17" s="89">
        <f>INDEX(Data!$B$71:$F$154,(MATCH($B$3,Data!$B$69:$C$69, 0)-1)*42+12,3)</f>
        <v>5.8</v>
      </c>
      <c r="E17" s="117">
        <f>INDEX(Data!$B$71:$F$154,(MATCH($B$3,Data!$B$69:$C$69, 0)-1)*42+12,4)</f>
        <v>5.43</v>
      </c>
      <c r="F17" s="90">
        <f>INDEX(Data!$B$71:$F$154,(MATCH($B$3,Data!$B$69:$C$69, 0)-1)*42+12,5)</f>
        <v>3900</v>
      </c>
      <c r="G17" s="91"/>
      <c r="H17" s="92"/>
    </row>
    <row r="18" spans="1:8" s="93" customFormat="1" ht="15" customHeight="1">
      <c r="A18" s="95" t="s">
        <v>37</v>
      </c>
      <c r="B18" s="87" t="str">
        <f>INDEX(Data!$B$71:$F$154,(MATCH($B$3,Data!$B$69:$C$69, 0)-1)*42+13,1)</f>
        <v>Nunavut</v>
      </c>
      <c r="C18" s="96">
        <f>INDEX(Data!$B$71:$F$154,(MATCH($B$3,Data!$B$69:$C$69, 0)-1)*42+13,2)</f>
        <v>2</v>
      </c>
      <c r="D18" s="89">
        <f>INDEX(Data!$B$71:$F$154,(MATCH($B$3,Data!$B$69:$C$69, 0)-1)*42+13,3)</f>
        <v>3.22</v>
      </c>
      <c r="E18" s="117">
        <f>INDEX(Data!$B$71:$F$154,(MATCH($B$3,Data!$B$69:$C$69, 0)-1)*42+13,4)</f>
        <v>3.12</v>
      </c>
      <c r="F18" s="90">
        <f>INDEX(Data!$B$71:$F$154,(MATCH($B$3,Data!$B$69:$C$69, 0)-1)*42+13,5)</f>
        <v>666</v>
      </c>
      <c r="G18" s="91"/>
      <c r="H18" s="92"/>
    </row>
    <row r="19" spans="1:8" s="93" customFormat="1" ht="15" customHeight="1">
      <c r="A19" s="97" t="s">
        <v>37</v>
      </c>
      <c r="B19" s="87" t="str">
        <f>INDEX(Data!$B$71:$F$154,(MATCH($B$3,Data!$B$69:$C$69, 0)-1)*42+14,1)</f>
        <v>Canada</v>
      </c>
      <c r="C19" s="98">
        <f>INDEX(Data!$B$71:$F$154,(MATCH($B$3,Data!$B$69:$C$69, 0)-1)*42+14,2)</f>
        <v>5</v>
      </c>
      <c r="D19" s="99">
        <f>INDEX(Data!$B$71:$F$154,(MATCH($B$3,Data!$B$69:$C$69, 0)-1)*42+14,3)</f>
        <v>12.93</v>
      </c>
      <c r="E19" s="119">
        <f>INDEX(Data!$B$71:$F$154,(MATCH($B$3,Data!$B$69:$C$69, 0)-1)*42+14,4)</f>
        <v>11.73</v>
      </c>
      <c r="F19" s="100">
        <f>INDEX(Data!$B$71:$F$154,(MATCH($B$3,Data!$B$69:$C$69, 0)-1)*42+14,5)</f>
        <v>2470030</v>
      </c>
      <c r="G19" s="91"/>
      <c r="H19" s="92"/>
    </row>
    <row r="20" spans="1:8" s="93" customFormat="1" ht="15" customHeight="1">
      <c r="A20" s="86" t="s">
        <v>52</v>
      </c>
      <c r="B20" s="87" t="str">
        <f>INDEX(Data!$B$71:$F$154,(MATCH($B$3,Data!$B$69:$C$69, 0)-1)*42+15,1)</f>
        <v>Newfoundland and Labrador</v>
      </c>
      <c r="C20" s="88">
        <f>INDEX(Data!$B$71:$F$154,(MATCH($B$3,Data!$B$69:$C$69, 0)-1)*42+15,2)</f>
        <v>7</v>
      </c>
      <c r="D20" s="89">
        <f>INDEX(Data!$B$71:$F$154,(MATCH($B$3,Data!$B$69:$C$69, 0)-1)*42+15,3)</f>
        <v>20.36</v>
      </c>
      <c r="E20" s="117">
        <f>INDEX(Data!$B$71:$F$154,(MATCH($B$3,Data!$B$69:$C$69, 0)-1)*42+15,4)</f>
        <v>18.309999999999999</v>
      </c>
      <c r="F20" s="90">
        <f>INDEX(Data!$B$71:$F$154,(MATCH($B$3,Data!$B$69:$C$69, 0)-1)*42+15,5)</f>
        <v>22865</v>
      </c>
      <c r="G20" s="91"/>
      <c r="H20" s="92"/>
    </row>
    <row r="21" spans="1:8" s="93" customFormat="1" ht="15" customHeight="1">
      <c r="A21" s="94" t="s">
        <v>52</v>
      </c>
      <c r="B21" s="87" t="str">
        <f>INDEX(Data!$B$71:$F$154,(MATCH($B$3,Data!$B$69:$C$69, 0)-1)*42+16,1)</f>
        <v>Prince Edward Island</v>
      </c>
      <c r="C21" s="88">
        <f>INDEX(Data!$B$71:$F$154,(MATCH($B$3,Data!$B$69:$C$69, 0)-1)*42+16,2)</f>
        <v>21</v>
      </c>
      <c r="D21" s="89">
        <f>INDEX(Data!$B$71:$F$154,(MATCH($B$3,Data!$B$69:$C$69, 0)-1)*42+16,3)</f>
        <v>30.29</v>
      </c>
      <c r="E21" s="117">
        <f>INDEX(Data!$B$71:$F$154,(MATCH($B$3,Data!$B$69:$C$69, 0)-1)*42+16,4)</f>
        <v>29.92</v>
      </c>
      <c r="F21" s="90">
        <f>INDEX(Data!$B$71:$F$154,(MATCH($B$3,Data!$B$69:$C$69, 0)-1)*42+16,5)</f>
        <v>4423</v>
      </c>
      <c r="G21" s="91"/>
      <c r="H21" s="92"/>
    </row>
    <row r="22" spans="1:8" s="93" customFormat="1" ht="15" customHeight="1">
      <c r="A22" s="94" t="s">
        <v>52</v>
      </c>
      <c r="B22" s="87" t="str">
        <f>INDEX(Data!$B$71:$F$154,(MATCH($B$3,Data!$B$69:$C$69, 0)-1)*42+17,1)</f>
        <v>Nova Scotia</v>
      </c>
      <c r="C22" s="88">
        <f>INDEX(Data!$B$71:$F$154,(MATCH($B$3,Data!$B$69:$C$69, 0)-1)*42+17,2)</f>
        <v>18</v>
      </c>
      <c r="D22" s="89">
        <f>INDEX(Data!$B$71:$F$154,(MATCH($B$3,Data!$B$69:$C$69, 0)-1)*42+17,3)</f>
        <v>59.8</v>
      </c>
      <c r="E22" s="117">
        <f>INDEX(Data!$B$71:$F$154,(MATCH($B$3,Data!$B$69:$C$69, 0)-1)*42+17,4)</f>
        <v>51.11</v>
      </c>
      <c r="F22" s="90">
        <f>INDEX(Data!$B$71:$F$154,(MATCH($B$3,Data!$B$69:$C$69, 0)-1)*42+17,5)</f>
        <v>45864</v>
      </c>
      <c r="G22" s="91"/>
      <c r="H22" s="92"/>
    </row>
    <row r="23" spans="1:8" s="93" customFormat="1" ht="15" customHeight="1">
      <c r="A23" s="94" t="s">
        <v>52</v>
      </c>
      <c r="B23" s="87" t="str">
        <f>INDEX(Data!$B$71:$F$154,(MATCH($B$3,Data!$B$69:$C$69, 0)-1)*42+18,1)</f>
        <v>New Brunswick</v>
      </c>
      <c r="C23" s="88">
        <f>INDEX(Data!$B$71:$F$154,(MATCH($B$3,Data!$B$69:$C$69, 0)-1)*42+18,2)</f>
        <v>25</v>
      </c>
      <c r="D23" s="89">
        <f>INDEX(Data!$B$71:$F$154,(MATCH($B$3,Data!$B$69:$C$69, 0)-1)*42+18,3)</f>
        <v>502.19</v>
      </c>
      <c r="E23" s="117">
        <f>INDEX(Data!$B$71:$F$154,(MATCH($B$3,Data!$B$69:$C$69, 0)-1)*42+18,4)</f>
        <v>379.09</v>
      </c>
      <c r="F23" s="90">
        <f>INDEX(Data!$B$71:$F$154,(MATCH($B$3,Data!$B$69:$C$69, 0)-1)*42+18,5)</f>
        <v>135591</v>
      </c>
      <c r="G23" s="91"/>
      <c r="H23" s="92"/>
    </row>
    <row r="24" spans="1:8" s="93" customFormat="1" ht="15" customHeight="1">
      <c r="A24" s="94" t="s">
        <v>52</v>
      </c>
      <c r="B24" s="87" t="str">
        <f>INDEX(Data!$B$71:$F$154,(MATCH($B$3,Data!$B$69:$C$69, 0)-1)*42+19,1)</f>
        <v>Quebec</v>
      </c>
      <c r="C24" s="88">
        <f>INDEX(Data!$B$71:$F$154,(MATCH($B$3,Data!$B$69:$C$69, 0)-1)*42+19,2)</f>
        <v>13</v>
      </c>
      <c r="D24" s="89">
        <f>INDEX(Data!$B$71:$F$154,(MATCH($B$3,Data!$B$69:$C$69, 0)-1)*42+19,3)</f>
        <v>44.43</v>
      </c>
      <c r="E24" s="117">
        <f>INDEX(Data!$B$71:$F$154,(MATCH($B$3,Data!$B$69:$C$69, 0)-1)*42+19,4)</f>
        <v>35.9</v>
      </c>
      <c r="F24" s="90">
        <f>INDEX(Data!$B$71:$F$154,(MATCH($B$3,Data!$B$69:$C$69, 0)-1)*42+19,5)</f>
        <v>378751</v>
      </c>
      <c r="G24" s="91"/>
      <c r="H24" s="92"/>
    </row>
    <row r="25" spans="1:8" s="93" customFormat="1" ht="15" customHeight="1">
      <c r="A25" s="94" t="s">
        <v>52</v>
      </c>
      <c r="B25" s="87" t="str">
        <f>INDEX(Data!$B$71:$F$154,(MATCH($B$3,Data!$B$69:$C$69, 0)-1)*42+20,1)</f>
        <v>Ontario</v>
      </c>
      <c r="C25" s="88">
        <f>INDEX(Data!$B$71:$F$154,(MATCH($B$3,Data!$B$69:$C$69, 0)-1)*42+20,2)</f>
        <v>19</v>
      </c>
      <c r="D25" s="89">
        <f>INDEX(Data!$B$71:$F$154,(MATCH($B$3,Data!$B$69:$C$69, 0)-1)*42+20,3)</f>
        <v>58.03</v>
      </c>
      <c r="E25" s="117">
        <f>INDEX(Data!$B$71:$F$154,(MATCH($B$3,Data!$B$69:$C$69, 0)-1)*42+20,4)</f>
        <v>46.64</v>
      </c>
      <c r="F25" s="90">
        <f>INDEX(Data!$B$71:$F$154,(MATCH($B$3,Data!$B$69:$C$69, 0)-1)*42+20,5)</f>
        <v>732103</v>
      </c>
      <c r="G25" s="91"/>
      <c r="H25" s="92"/>
    </row>
    <row r="26" spans="1:8" s="93" customFormat="1" ht="15" customHeight="1">
      <c r="A26" s="94" t="s">
        <v>52</v>
      </c>
      <c r="B26" s="87" t="str">
        <f>INDEX(Data!$B$71:$F$154,(MATCH($B$3,Data!$B$69:$C$69, 0)-1)*42+21,1)</f>
        <v>Manitoba</v>
      </c>
      <c r="C26" s="88">
        <f>INDEX(Data!$B$71:$F$154,(MATCH($B$3,Data!$B$69:$C$69, 0)-1)*42+21,2)</f>
        <v>22</v>
      </c>
      <c r="D26" s="89">
        <f>INDEX(Data!$B$71:$F$154,(MATCH($B$3,Data!$B$69:$C$69, 0)-1)*42+21,3)</f>
        <v>74.92</v>
      </c>
      <c r="E26" s="117">
        <f>INDEX(Data!$B$71:$F$154,(MATCH($B$3,Data!$B$69:$C$69, 0)-1)*42+21,4)</f>
        <v>60.98</v>
      </c>
      <c r="F26" s="90">
        <f>INDEX(Data!$B$71:$F$154,(MATCH($B$3,Data!$B$69:$C$69, 0)-1)*42+21,5)</f>
        <v>49146</v>
      </c>
      <c r="G26" s="91"/>
      <c r="H26" s="92"/>
    </row>
    <row r="27" spans="1:8" s="93" customFormat="1" ht="15" customHeight="1">
      <c r="A27" s="94" t="s">
        <v>52</v>
      </c>
      <c r="B27" s="87" t="str">
        <f>INDEX(Data!$B$71:$F$154,(MATCH($B$3,Data!$B$69:$C$69, 0)-1)*42+22,1)</f>
        <v>Saskatchewan</v>
      </c>
      <c r="C27" s="88">
        <f>INDEX(Data!$B$71:$F$154,(MATCH($B$3,Data!$B$69:$C$69, 0)-1)*42+22,2)</f>
        <v>14</v>
      </c>
      <c r="D27" s="89">
        <f>INDEX(Data!$B$71:$F$154,(MATCH($B$3,Data!$B$69:$C$69, 0)-1)*42+22,3)</f>
        <v>242.48</v>
      </c>
      <c r="E27" s="117">
        <f>INDEX(Data!$B$71:$F$154,(MATCH($B$3,Data!$B$69:$C$69, 0)-1)*42+22,4)</f>
        <v>166.31</v>
      </c>
      <c r="F27" s="90">
        <f>INDEX(Data!$B$71:$F$154,(MATCH($B$3,Data!$B$69:$C$69, 0)-1)*42+22,5)</f>
        <v>35887</v>
      </c>
      <c r="G27" s="91"/>
      <c r="H27" s="92"/>
    </row>
    <row r="28" spans="1:8" s="93" customFormat="1" ht="15" customHeight="1">
      <c r="A28" s="94" t="s">
        <v>52</v>
      </c>
      <c r="B28" s="87" t="str">
        <f>INDEX(Data!$B$71:$F$154,(MATCH($B$3,Data!$B$69:$C$69, 0)-1)*42+23,1)</f>
        <v>Alberta</v>
      </c>
      <c r="C28" s="88">
        <f>INDEX(Data!$B$71:$F$154,(MATCH($B$3,Data!$B$69:$C$69, 0)-1)*42+23,2)</f>
        <v>22</v>
      </c>
      <c r="D28" s="89">
        <f>INDEX(Data!$B$71:$F$154,(MATCH($B$3,Data!$B$69:$C$69, 0)-1)*42+23,3)</f>
        <v>61.14</v>
      </c>
      <c r="E28" s="117">
        <f>INDEX(Data!$B$71:$F$154,(MATCH($B$3,Data!$B$69:$C$69, 0)-1)*42+23,4)</f>
        <v>47.05</v>
      </c>
      <c r="F28" s="90">
        <f>INDEX(Data!$B$71:$F$154,(MATCH($B$3,Data!$B$69:$C$69, 0)-1)*42+23,5)</f>
        <v>224319</v>
      </c>
      <c r="G28" s="91"/>
      <c r="H28" s="92"/>
    </row>
    <row r="29" spans="1:8" s="93" customFormat="1" ht="15" customHeight="1">
      <c r="A29" s="94" t="s">
        <v>52</v>
      </c>
      <c r="B29" s="87" t="str">
        <f>INDEX(Data!$B$71:$F$154,(MATCH($B$3,Data!$B$69:$C$69, 0)-1)*42+24,1)</f>
        <v>British Columbia</v>
      </c>
      <c r="C29" s="88">
        <f>INDEX(Data!$B$71:$F$154,(MATCH($B$3,Data!$B$69:$C$69, 0)-1)*42+24,2)</f>
        <v>86</v>
      </c>
      <c r="D29" s="89">
        <f>INDEX(Data!$B$71:$F$154,(MATCH($B$3,Data!$B$69:$C$69, 0)-1)*42+24,3)</f>
        <v>145.06</v>
      </c>
      <c r="E29" s="117">
        <f>INDEX(Data!$B$71:$F$154,(MATCH($B$3,Data!$B$69:$C$69, 0)-1)*42+24,4)</f>
        <v>137.30000000000001</v>
      </c>
      <c r="F29" s="90">
        <f>INDEX(Data!$B$71:$F$154,(MATCH($B$3,Data!$B$69:$C$69, 0)-1)*42+24,5)</f>
        <v>51353</v>
      </c>
      <c r="G29" s="91"/>
      <c r="H29" s="92"/>
    </row>
    <row r="30" spans="1:8" s="93" customFormat="1" ht="15" customHeight="1">
      <c r="A30" s="94" t="s">
        <v>52</v>
      </c>
      <c r="B30" s="87" t="str">
        <f>INDEX(Data!$B$71:$F$154,(MATCH($B$3,Data!$B$69:$C$69, 0)-1)*42+25,1)</f>
        <v>Yukon</v>
      </c>
      <c r="C30" s="122" t="str">
        <f>INDEX(Data!$B$71:$F$154,(MATCH($B$3,Data!$B$69:$C$69, 0)-1)*42+25,2)</f>
        <v>—</v>
      </c>
      <c r="D30" s="123" t="str">
        <f>INDEX(Data!$B$71:$F$154,(MATCH($B$3,Data!$B$69:$C$69, 0)-1)*42+25,3)</f>
        <v>—</v>
      </c>
      <c r="E30" s="125" t="str">
        <f>INDEX(Data!$B$71:$F$154,(MATCH($B$3,Data!$B$69:$C$69, 0)-1)*42+25,4)</f>
        <v>—</v>
      </c>
      <c r="F30" s="124" t="str">
        <f>INDEX(Data!$B$71:$F$154,(MATCH($B$3,Data!$B$69:$C$69, 0)-1)*42+25,5)</f>
        <v>—</v>
      </c>
      <c r="G30" s="91"/>
      <c r="H30" s="92"/>
    </row>
    <row r="31" spans="1:8" s="93" customFormat="1" ht="15" customHeight="1">
      <c r="A31" s="94" t="s">
        <v>52</v>
      </c>
      <c r="B31" s="87" t="str">
        <f>INDEX(Data!$B$71:$F$154,(MATCH($B$3,Data!$B$69:$C$69, 0)-1)*42+26,1)</f>
        <v>Northwest Territories</v>
      </c>
      <c r="C31" s="122" t="str">
        <f>INDEX(Data!$B$71:$F$154,(MATCH($B$3,Data!$B$69:$C$69, 0)-1)*42+26,2)</f>
        <v>—</v>
      </c>
      <c r="D31" s="123" t="str">
        <f>INDEX(Data!$B$71:$F$154,(MATCH($B$3,Data!$B$69:$C$69, 0)-1)*42+26,3)</f>
        <v>—</v>
      </c>
      <c r="E31" s="125" t="str">
        <f>INDEX(Data!$B$71:$F$154,(MATCH($B$3,Data!$B$69:$C$69, 0)-1)*42+26,4)</f>
        <v>—</v>
      </c>
      <c r="F31" s="124" t="str">
        <f>INDEX(Data!$B$71:$F$154,(MATCH($B$3,Data!$B$69:$C$69, 0)-1)*42+26,5)</f>
        <v>—</v>
      </c>
      <c r="G31" s="91"/>
      <c r="H31" s="92"/>
    </row>
    <row r="32" spans="1:8" s="93" customFormat="1" ht="15" customHeight="1">
      <c r="A32" s="94" t="s">
        <v>52</v>
      </c>
      <c r="B32" s="87" t="str">
        <f>INDEX(Data!$B$71:$F$154,(MATCH($B$3,Data!$B$69:$C$69, 0)-1)*42+27,1)</f>
        <v>Nunavut</v>
      </c>
      <c r="C32" s="122" t="str">
        <f>INDEX(Data!$B$71:$F$154,(MATCH($B$3,Data!$B$69:$C$69, 0)-1)*42+27,2)</f>
        <v>—</v>
      </c>
      <c r="D32" s="123" t="str">
        <f>INDEX(Data!$B$71:$F$154,(MATCH($B$3,Data!$B$69:$C$69, 0)-1)*42+27,3)</f>
        <v>—</v>
      </c>
      <c r="E32" s="125" t="str">
        <f>INDEX(Data!$B$71:$F$154,(MATCH($B$3,Data!$B$69:$C$69, 0)-1)*42+27,4)</f>
        <v>—</v>
      </c>
      <c r="F32" s="124" t="str">
        <f>INDEX(Data!$B$71:$F$154,(MATCH($B$3,Data!$B$69:$C$69, 0)-1)*42+27,5)</f>
        <v>—</v>
      </c>
      <c r="G32" s="91"/>
      <c r="H32" s="92"/>
    </row>
    <row r="33" spans="1:9" s="93" customFormat="1" ht="15" customHeight="1">
      <c r="A33" s="101" t="s">
        <v>52</v>
      </c>
      <c r="B33" s="87" t="str">
        <f>INDEX(Data!$B$71:$F$154,(MATCH($B$3,Data!$B$69:$C$69, 0)-1)*42+28,1)</f>
        <v>Canada</v>
      </c>
      <c r="C33" s="98">
        <f>INDEX(Data!$B$71:$F$154,(MATCH($B$3,Data!$B$69:$C$69, 0)-1)*42+28,2)</f>
        <v>18</v>
      </c>
      <c r="D33" s="99">
        <f>INDEX(Data!$B$71:$F$154,(MATCH($B$3,Data!$B$69:$C$69, 0)-1)*42+28,3)</f>
        <v>59.43</v>
      </c>
      <c r="E33" s="119">
        <f>INDEX(Data!$B$71:$F$154,(MATCH($B$3,Data!$B$69:$C$69, 0)-1)*42+28,4)</f>
        <v>45.11</v>
      </c>
      <c r="F33" s="100">
        <f>INDEX(Data!$B$71:$F$154,(MATCH($B$3,Data!$B$69:$C$69, 0)-1)*42+28,5)</f>
        <v>1680302</v>
      </c>
      <c r="G33" s="91"/>
      <c r="H33" s="102"/>
    </row>
    <row r="34" spans="1:9" s="93" customFormat="1" ht="15" customHeight="1">
      <c r="A34" s="86" t="s">
        <v>54</v>
      </c>
      <c r="B34" s="103" t="str">
        <f>INDEX(Data!$B$71:$F$154,(MATCH($B$3,Data!$B$69:$C$69, 0)-1)*42+29,1)</f>
        <v>Newfoundland and Labrador</v>
      </c>
      <c r="C34" s="104">
        <f>INDEX(Data!$B$71:$F$154,(MATCH($B$3,Data!$B$69:$C$69, 0)-1)*42+29,2)</f>
        <v>6</v>
      </c>
      <c r="D34" s="105">
        <f>INDEX(Data!$B$71:$F$154,(MATCH($B$3,Data!$B$69:$C$69, 0)-1)*42+29,3)</f>
        <v>16.55</v>
      </c>
      <c r="E34" s="126">
        <f>INDEX(Data!$B$71:$F$154,(MATCH($B$3,Data!$B$69:$C$69, 0)-1)*42+29,4)</f>
        <v>15</v>
      </c>
      <c r="F34" s="106">
        <f>INDEX(Data!$B$71:$F$154,(MATCH($B$3,Data!$B$69:$C$69, 0)-1)*42+29,5)</f>
        <v>49022</v>
      </c>
      <c r="G34" s="91"/>
      <c r="H34" s="102"/>
    </row>
    <row r="35" spans="1:9" s="93" customFormat="1" ht="15" customHeight="1">
      <c r="A35" s="94" t="s">
        <v>54</v>
      </c>
      <c r="B35" s="87" t="str">
        <f>INDEX(Data!$B$71:$F$154,(MATCH($B$3,Data!$B$69:$C$69, 0)-1)*42+30,1)</f>
        <v>Prince Edward Island</v>
      </c>
      <c r="C35" s="88">
        <f>INDEX(Data!$B$71:$F$154,(MATCH($B$3,Data!$B$69:$C$69, 0)-1)*42+30,2)</f>
        <v>8</v>
      </c>
      <c r="D35" s="89">
        <f>INDEX(Data!$B$71:$F$154,(MATCH($B$3,Data!$B$69:$C$69, 0)-1)*42+30,3)</f>
        <v>15.37</v>
      </c>
      <c r="E35" s="117">
        <f>INDEX(Data!$B$71:$F$154,(MATCH($B$3,Data!$B$69:$C$69, 0)-1)*42+30,4)</f>
        <v>14.41</v>
      </c>
      <c r="F35" s="90">
        <f>INDEX(Data!$B$71:$F$154,(MATCH($B$3,Data!$B$69:$C$69, 0)-1)*42+30,5)</f>
        <v>20733</v>
      </c>
      <c r="G35" s="107"/>
      <c r="H35" s="102"/>
    </row>
    <row r="36" spans="1:9" s="93" customFormat="1" ht="15" customHeight="1">
      <c r="A36" s="94" t="s">
        <v>54</v>
      </c>
      <c r="B36" s="87" t="str">
        <f>INDEX(Data!$B$71:$F$154,(MATCH($B$3,Data!$B$69:$C$69, 0)-1)*42+31,1)</f>
        <v>Nova Scotia</v>
      </c>
      <c r="C36" s="88">
        <f>INDEX(Data!$B$71:$F$154,(MATCH($B$3,Data!$B$69:$C$69, 0)-1)*42+31,2)</f>
        <v>7</v>
      </c>
      <c r="D36" s="89">
        <f>INDEX(Data!$B$71:$F$154,(MATCH($B$3,Data!$B$69:$C$69, 0)-1)*42+31,3)</f>
        <v>21.93</v>
      </c>
      <c r="E36" s="117">
        <f>INDEX(Data!$B$71:$F$154,(MATCH($B$3,Data!$B$69:$C$69, 0)-1)*42+31,4)</f>
        <v>17.52</v>
      </c>
      <c r="F36" s="90">
        <f>INDEX(Data!$B$71:$F$154,(MATCH($B$3,Data!$B$69:$C$69, 0)-1)*42+31,5)</f>
        <v>103281</v>
      </c>
      <c r="G36" s="91"/>
      <c r="H36" s="102"/>
    </row>
    <row r="37" spans="1:9" s="93" customFormat="1" ht="15" customHeight="1">
      <c r="A37" s="94" t="s">
        <v>54</v>
      </c>
      <c r="B37" s="87" t="str">
        <f>INDEX(Data!$B$71:$F$154,(MATCH($B$3,Data!$B$69:$C$69, 0)-1)*42+32,1)</f>
        <v>New Brunswick</v>
      </c>
      <c r="C37" s="88">
        <f>INDEX(Data!$B$71:$F$154,(MATCH($B$3,Data!$B$69:$C$69, 0)-1)*42+32,2)</f>
        <v>7</v>
      </c>
      <c r="D37" s="89">
        <f>INDEX(Data!$B$71:$F$154,(MATCH($B$3,Data!$B$69:$C$69, 0)-1)*42+32,3)</f>
        <v>41.92</v>
      </c>
      <c r="E37" s="117">
        <f>INDEX(Data!$B$71:$F$154,(MATCH($B$3,Data!$B$69:$C$69, 0)-1)*42+32,4)</f>
        <v>16.37</v>
      </c>
      <c r="F37" s="90">
        <f>INDEX(Data!$B$71:$F$154,(MATCH($B$3,Data!$B$69:$C$69, 0)-1)*42+32,5)</f>
        <v>199520</v>
      </c>
      <c r="G37" s="91"/>
      <c r="H37" s="102"/>
    </row>
    <row r="38" spans="1:9" s="93" customFormat="1" ht="15" customHeight="1">
      <c r="A38" s="94" t="s">
        <v>54</v>
      </c>
      <c r="B38" s="87" t="str">
        <f>INDEX(Data!$B$71:$F$154,(MATCH($B$3,Data!$B$69:$C$69, 0)-1)*42+33,1)</f>
        <v>Quebec</v>
      </c>
      <c r="C38" s="88">
        <f>INDEX(Data!$B$71:$F$154,(MATCH($B$3,Data!$B$69:$C$69, 0)-1)*42+33,2)</f>
        <v>7</v>
      </c>
      <c r="D38" s="89">
        <f>INDEX(Data!$B$71:$F$154,(MATCH($B$3,Data!$B$69:$C$69, 0)-1)*42+33,3)</f>
        <v>21.78</v>
      </c>
      <c r="E38" s="117">
        <f>INDEX(Data!$B$71:$F$154,(MATCH($B$3,Data!$B$69:$C$69, 0)-1)*42+33,4)</f>
        <v>18.18</v>
      </c>
      <c r="F38" s="90">
        <f>INDEX(Data!$B$71:$F$154,(MATCH($B$3,Data!$B$69:$C$69, 0)-1)*42+33,5)</f>
        <v>1019448</v>
      </c>
      <c r="G38" s="91"/>
      <c r="H38" s="102"/>
    </row>
    <row r="39" spans="1:9" s="93" customFormat="1" ht="15" customHeight="1">
      <c r="A39" s="94" t="s">
        <v>54</v>
      </c>
      <c r="B39" s="87" t="str">
        <f>INDEX(Data!$B$71:$F$154,(MATCH($B$3,Data!$B$69:$C$69, 0)-1)*42+34,1)</f>
        <v>Ontario</v>
      </c>
      <c r="C39" s="88">
        <f>INDEX(Data!$B$71:$F$154,(MATCH($B$3,Data!$B$69:$C$69, 0)-1)*42+34,2)</f>
        <v>6</v>
      </c>
      <c r="D39" s="89">
        <f>INDEX(Data!$B$71:$F$154,(MATCH($B$3,Data!$B$69:$C$69, 0)-1)*42+34,3)</f>
        <v>18.46</v>
      </c>
      <c r="E39" s="117">
        <f>INDEX(Data!$B$71:$F$154,(MATCH($B$3,Data!$B$69:$C$69, 0)-1)*42+34,4)</f>
        <v>14.41</v>
      </c>
      <c r="F39" s="90">
        <f>INDEX(Data!$B$71:$F$154,(MATCH($B$3,Data!$B$69:$C$69, 0)-1)*42+34,5)</f>
        <v>1517941</v>
      </c>
      <c r="G39" s="91"/>
      <c r="H39" s="102"/>
    </row>
    <row r="40" spans="1:9" s="93" customFormat="1" ht="15" customHeight="1">
      <c r="A40" s="94" t="s">
        <v>54</v>
      </c>
      <c r="B40" s="87" t="str">
        <f>INDEX(Data!$B$71:$F$154,(MATCH($B$3,Data!$B$69:$C$69, 0)-1)*42+35,1)</f>
        <v>Manitoba</v>
      </c>
      <c r="C40" s="88">
        <f>INDEX(Data!$B$71:$F$154,(MATCH($B$3,Data!$B$69:$C$69, 0)-1)*42+35,2)</f>
        <v>8</v>
      </c>
      <c r="D40" s="89">
        <f>INDEX(Data!$B$71:$F$154,(MATCH($B$3,Data!$B$69:$C$69, 0)-1)*42+35,3)</f>
        <v>22.86</v>
      </c>
      <c r="E40" s="117">
        <f>INDEX(Data!$B$71:$F$154,(MATCH($B$3,Data!$B$69:$C$69, 0)-1)*42+35,4)</f>
        <v>18.45</v>
      </c>
      <c r="F40" s="90">
        <f>INDEX(Data!$B$71:$F$154,(MATCH($B$3,Data!$B$69:$C$69, 0)-1)*42+35,5)</f>
        <v>147318</v>
      </c>
      <c r="G40" s="91"/>
      <c r="H40" s="102"/>
    </row>
    <row r="41" spans="1:9" s="93" customFormat="1" ht="15" customHeight="1">
      <c r="A41" s="94" t="s">
        <v>54</v>
      </c>
      <c r="B41" s="87" t="str">
        <f>INDEX(Data!$B$71:$F$154,(MATCH($B$3,Data!$B$69:$C$69, 0)-1)*42+36,1)</f>
        <v>Saskatchewan</v>
      </c>
      <c r="C41" s="88">
        <f>INDEX(Data!$B$71:$F$154,(MATCH($B$3,Data!$B$69:$C$69, 0)-1)*42+36,2)</f>
        <v>6</v>
      </c>
      <c r="D41" s="89">
        <f>INDEX(Data!$B$71:$F$154,(MATCH($B$3,Data!$B$69:$C$69, 0)-1)*42+36,3)</f>
        <v>14.79</v>
      </c>
      <c r="E41" s="117">
        <f>INDEX(Data!$B$71:$F$154,(MATCH($B$3,Data!$B$69:$C$69, 0)-1)*42+36,4)</f>
        <v>10.28</v>
      </c>
      <c r="F41" s="90">
        <f>INDEX(Data!$B$71:$F$154,(MATCH($B$3,Data!$B$69:$C$69, 0)-1)*42+36,5)</f>
        <v>114706</v>
      </c>
      <c r="G41" s="91"/>
      <c r="H41" s="102"/>
    </row>
    <row r="42" spans="1:9" s="93" customFormat="1" ht="15" customHeight="1">
      <c r="A42" s="94" t="s">
        <v>54</v>
      </c>
      <c r="B42" s="87" t="str">
        <f>INDEX(Data!$B$71:$F$154,(MATCH($B$3,Data!$B$69:$C$69, 0)-1)*42+37,1)</f>
        <v>Alberta</v>
      </c>
      <c r="C42" s="88">
        <f>INDEX(Data!$B$71:$F$154,(MATCH($B$3,Data!$B$69:$C$69, 0)-1)*42+37,2)</f>
        <v>6</v>
      </c>
      <c r="D42" s="89">
        <f>INDEX(Data!$B$71:$F$154,(MATCH($B$3,Data!$B$69:$C$69, 0)-1)*42+37,3)</f>
        <v>20.88</v>
      </c>
      <c r="E42" s="117">
        <f>INDEX(Data!$B$71:$F$154,(MATCH($B$3,Data!$B$69:$C$69, 0)-1)*42+37,4)</f>
        <v>16.78</v>
      </c>
      <c r="F42" s="90">
        <f>INDEX(Data!$B$71:$F$154,(MATCH($B$3,Data!$B$69:$C$69, 0)-1)*42+37,5)</f>
        <v>544357</v>
      </c>
      <c r="G42" s="91"/>
      <c r="H42" s="102"/>
    </row>
    <row r="43" spans="1:9" s="93" customFormat="1" ht="15" customHeight="1">
      <c r="A43" s="94" t="s">
        <v>54</v>
      </c>
      <c r="B43" s="87" t="str">
        <f>INDEX(Data!$B$71:$F$154,(MATCH($B$3,Data!$B$69:$C$69, 0)-1)*42+38,1)</f>
        <v>British Columbia</v>
      </c>
      <c r="C43" s="88">
        <f>INDEX(Data!$B$71:$F$154,(MATCH($B$3,Data!$B$69:$C$69, 0)-1)*42+38,2)</f>
        <v>4</v>
      </c>
      <c r="D43" s="89">
        <f>INDEX(Data!$B$71:$F$154,(MATCH($B$3,Data!$B$69:$C$69, 0)-1)*42+38,3)</f>
        <v>12.26</v>
      </c>
      <c r="E43" s="117">
        <f>INDEX(Data!$B$71:$F$154,(MATCH($B$3,Data!$B$69:$C$69, 0)-1)*42+38,4)</f>
        <v>10.87</v>
      </c>
      <c r="F43" s="90">
        <f>INDEX(Data!$B$71:$F$154,(MATCH($B$3,Data!$B$69:$C$69, 0)-1)*42+38,5)</f>
        <v>427824</v>
      </c>
      <c r="G43" s="91"/>
      <c r="H43" s="102"/>
    </row>
    <row r="44" spans="1:9" s="93" customFormat="1" ht="15" customHeight="1">
      <c r="A44" s="94" t="s">
        <v>54</v>
      </c>
      <c r="B44" s="87" t="str">
        <f>INDEX(Data!$B$71:$F$154,(MATCH($B$3,Data!$B$69:$C$69, 0)-1)*42+39,1)</f>
        <v>Yukon</v>
      </c>
      <c r="C44" s="88">
        <f>INDEX(Data!$B$71:$F$154,(MATCH($B$3,Data!$B$69:$C$69, 0)-1)*42+39,2)</f>
        <v>2</v>
      </c>
      <c r="D44" s="89">
        <f>INDEX(Data!$B$71:$F$154,(MATCH($B$3,Data!$B$69:$C$69, 0)-1)*42+39,3)</f>
        <v>4.45</v>
      </c>
      <c r="E44" s="117">
        <f>INDEX(Data!$B$71:$F$154,(MATCH($B$3,Data!$B$69:$C$69, 0)-1)*42+39,4)</f>
        <v>4.13</v>
      </c>
      <c r="F44" s="90">
        <f>INDEX(Data!$B$71:$F$154,(MATCH($B$3,Data!$B$69:$C$69, 0)-1)*42+39,5)</f>
        <v>1616</v>
      </c>
      <c r="G44" s="91"/>
      <c r="H44" s="102"/>
    </row>
    <row r="45" spans="1:9" s="93" customFormat="1" ht="15" customHeight="1">
      <c r="A45" s="94" t="s">
        <v>54</v>
      </c>
      <c r="B45" s="87" t="str">
        <f>INDEX(Data!$B$71:$F$154,(MATCH($B$3,Data!$B$69:$C$69, 0)-1)*42+40,1)</f>
        <v>Northwest Territories</v>
      </c>
      <c r="C45" s="88">
        <f>INDEX(Data!$B$71:$F$154,(MATCH($B$3,Data!$B$69:$C$69, 0)-1)*42+40,2)</f>
        <v>3</v>
      </c>
      <c r="D45" s="89">
        <f>INDEX(Data!$B$71:$F$154,(MATCH($B$3,Data!$B$69:$C$69, 0)-1)*42+40,3)</f>
        <v>5.8</v>
      </c>
      <c r="E45" s="117">
        <f>INDEX(Data!$B$71:$F$154,(MATCH($B$3,Data!$B$69:$C$69, 0)-1)*42+40,4)</f>
        <v>5.43</v>
      </c>
      <c r="F45" s="90">
        <f>INDEX(Data!$B$71:$F$154,(MATCH($B$3,Data!$B$69:$C$69, 0)-1)*42+40,5)</f>
        <v>3900</v>
      </c>
      <c r="G45" s="91"/>
      <c r="H45" s="102"/>
    </row>
    <row r="46" spans="1:9" s="93" customFormat="1" ht="15" customHeight="1">
      <c r="A46" s="94" t="s">
        <v>54</v>
      </c>
      <c r="B46" s="87" t="str">
        <f>INDEX(Data!$B$71:$F$154,(MATCH($B$3,Data!$B$69:$C$69, 0)-1)*42+41,1)</f>
        <v>Nunavut</v>
      </c>
      <c r="C46" s="88">
        <f>INDEX(Data!$B$71:$F$154,(MATCH($B$3,Data!$B$69:$C$69, 0)-1)*42+41,2)</f>
        <v>2</v>
      </c>
      <c r="D46" s="89">
        <f>INDEX(Data!$B$71:$F$154,(MATCH($B$3,Data!$B$69:$C$69, 0)-1)*42+41,3)</f>
        <v>3.22</v>
      </c>
      <c r="E46" s="117">
        <f>INDEX(Data!$B$71:$F$154,(MATCH($B$3,Data!$B$69:$C$69, 0)-1)*42+41,4)</f>
        <v>3.12</v>
      </c>
      <c r="F46" s="90">
        <f>INDEX(Data!$B$71:$F$154,(MATCH($B$3,Data!$B$69:$C$69, 0)-1)*42+41,5)</f>
        <v>666</v>
      </c>
      <c r="G46" s="91"/>
      <c r="H46" s="102"/>
    </row>
    <row r="47" spans="1:9" s="93" customFormat="1" ht="15" customHeight="1">
      <c r="A47" s="108" t="s">
        <v>54</v>
      </c>
      <c r="B47" s="87" t="str">
        <f>INDEX(Data!$B$71:$F$154,(MATCH($B$3,Data!$B$69:$C$69, 0)-1)*42+42,1)</f>
        <v>Canada</v>
      </c>
      <c r="C47" s="98">
        <f>INDEX(Data!$B$71:$F$154,(MATCH($B$3,Data!$B$69:$C$69, 0)-1)*42+42,2)</f>
        <v>6</v>
      </c>
      <c r="D47" s="99">
        <f>INDEX(Data!$B$71:$F$154,(MATCH($B$3,Data!$B$69:$C$69, 0)-1)*42+42,3)</f>
        <v>18.93</v>
      </c>
      <c r="E47" s="119">
        <f>INDEX(Data!$B$71:$F$154,(MATCH($B$3,Data!$B$69:$C$69, 0)-1)*42+42,4)</f>
        <v>14.88</v>
      </c>
      <c r="F47" s="100">
        <f>INDEX(Data!$B$71:$F$154,(MATCH($B$3,Data!$B$69:$C$69, 0)-1)*42+42,5)</f>
        <v>4150332</v>
      </c>
      <c r="G47" s="91"/>
      <c r="H47" s="102"/>
    </row>
    <row r="48" spans="1:9" ht="17.25" customHeight="1">
      <c r="A48" s="204" t="s">
        <v>9</v>
      </c>
      <c r="B48" s="283"/>
      <c r="C48" s="284"/>
      <c r="D48" s="285"/>
      <c r="E48" s="285"/>
      <c r="F48" s="286"/>
      <c r="G48" s="91"/>
      <c r="H48" s="92"/>
      <c r="I48" s="93"/>
    </row>
    <row r="49" spans="1:9" ht="24" customHeight="1">
      <c r="A49" s="328" t="s">
        <v>194</v>
      </c>
      <c r="B49" s="328"/>
      <c r="C49" s="328"/>
      <c r="D49" s="328"/>
      <c r="E49" s="328"/>
      <c r="F49" s="328"/>
      <c r="G49" s="235"/>
      <c r="H49" s="92"/>
      <c r="I49" s="93"/>
    </row>
    <row r="50" spans="1:9" ht="12" customHeight="1">
      <c r="A50" s="282" t="s">
        <v>150</v>
      </c>
      <c r="B50" s="282"/>
      <c r="C50" s="282"/>
      <c r="D50" s="282"/>
      <c r="E50" s="282"/>
      <c r="F50" s="282"/>
      <c r="G50" s="234"/>
      <c r="H50" s="92"/>
      <c r="I50" s="93"/>
    </row>
    <row r="51" spans="1:9" ht="12" customHeight="1">
      <c r="A51" s="207" t="s">
        <v>193</v>
      </c>
      <c r="B51" s="283"/>
      <c r="C51" s="284"/>
      <c r="D51" s="285"/>
      <c r="E51" s="285"/>
      <c r="F51" s="286"/>
      <c r="G51" s="91"/>
      <c r="H51" s="92"/>
      <c r="I51" s="93"/>
    </row>
    <row r="52" spans="1:9" ht="12" customHeight="1">
      <c r="A52" s="209" t="s">
        <v>24</v>
      </c>
      <c r="B52" s="283"/>
      <c r="C52" s="284"/>
      <c r="D52" s="285"/>
      <c r="E52" s="285"/>
      <c r="F52" s="286"/>
      <c r="G52" s="91"/>
      <c r="H52" s="92"/>
      <c r="I52" s="93"/>
    </row>
    <row r="53" spans="1:9" ht="12" customHeight="1">
      <c r="A53" s="324" t="s">
        <v>314</v>
      </c>
      <c r="B53" s="287"/>
      <c r="C53" s="288"/>
      <c r="D53" s="285"/>
      <c r="E53" s="285"/>
      <c r="F53" s="286"/>
    </row>
    <row r="54" spans="1:9">
      <c r="B54" s="109"/>
      <c r="C54" s="110"/>
      <c r="D54" s="111"/>
      <c r="E54" s="111"/>
      <c r="F54" s="112"/>
    </row>
    <row r="55" spans="1:9">
      <c r="B55" s="109"/>
      <c r="C55" s="110"/>
      <c r="D55" s="111"/>
      <c r="E55" s="111"/>
      <c r="F55" s="112"/>
    </row>
    <row r="56" spans="1:9" s="93" customFormat="1">
      <c r="A56" s="82"/>
      <c r="C56" s="92"/>
      <c r="F56" s="92"/>
      <c r="G56" s="114"/>
      <c r="H56" s="115"/>
      <c r="I56" s="82"/>
    </row>
    <row r="57" spans="1:9" s="93" customFormat="1">
      <c r="C57" s="92"/>
      <c r="F57" s="92"/>
      <c r="G57" s="114"/>
      <c r="H57" s="115"/>
      <c r="I57" s="82"/>
    </row>
    <row r="58" spans="1:9" s="93" customFormat="1">
      <c r="C58" s="92"/>
      <c r="F58" s="92"/>
      <c r="G58" s="114"/>
      <c r="H58" s="115"/>
      <c r="I58" s="82"/>
    </row>
    <row r="59" spans="1:9" s="93" customFormat="1" ht="13.8">
      <c r="C59" s="92"/>
      <c r="F59" s="92"/>
      <c r="G59" s="91"/>
      <c r="H59" s="92"/>
    </row>
    <row r="60" spans="1:9">
      <c r="A60" s="93"/>
      <c r="G60" s="91"/>
      <c r="H60" s="92"/>
      <c r="I60" s="93"/>
    </row>
    <row r="61" spans="1:9">
      <c r="G61" s="91"/>
      <c r="H61" s="92"/>
      <c r="I61" s="93"/>
    </row>
    <row r="62" spans="1:9">
      <c r="G62" s="91"/>
      <c r="H62" s="92"/>
      <c r="I62" s="93"/>
    </row>
  </sheetData>
  <mergeCells count="2">
    <mergeCell ref="A4:F4"/>
    <mergeCell ref="A49:F49"/>
  </mergeCells>
  <hyperlinks>
    <hyperlink ref="A2" location="'Table of Contents'!A1" display="Table of Contents"/>
  </hyperlinks>
  <pageMargins left="0.75" right="0.75" top="0.75" bottom="0.75" header="0.3" footer="0.3"/>
  <pageSetup scale="85" orientation="landscape" r:id="rId1"/>
  <headerFooter>
    <oddFooter>&amp;L&amp;9© 2020 CIHI&amp;R&amp;9&amp;P</oddFooter>
  </headerFooter>
  <rowBreaks count="1" manualBreakCount="1">
    <brk id="33" max="4" man="1"/>
  </rowBreaks>
  <colBreaks count="1" manualBreakCount="1">
    <brk id="6"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14:formula1>
            <xm:f>Data!$B$69:$C$69</xm:f>
          </x14:formula1>
          <xm:sqref>B3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XFD31"/>
  <sheetViews>
    <sheetView showGridLines="0" topLeftCell="A2" zoomScaleNormal="100" zoomScaleSheetLayoutView="50" workbookViewId="0"/>
  </sheetViews>
  <sheetFormatPr defaultColWidth="9" defaultRowHeight="13.8"/>
  <cols>
    <col min="1" max="1" width="11.59765625" style="49" customWidth="1"/>
    <col min="2" max="2" width="37.09765625" style="54" customWidth="1"/>
    <col min="3" max="3" width="13.69921875" style="54" customWidth="1"/>
    <col min="4" max="4" width="18" style="49" customWidth="1"/>
    <col min="5" max="5" width="14.19921875" style="49" customWidth="1"/>
    <col min="6" max="6" width="12.5" style="54" customWidth="1"/>
    <col min="7" max="7" width="10.19921875" style="163" bestFit="1" customWidth="1"/>
    <col min="8" max="16384" width="9" style="163"/>
  </cols>
  <sheetData>
    <row r="1" spans="1:10" s="311" customFormat="1" ht="24" hidden="1" customHeight="1">
      <c r="A1" s="309" t="s">
        <v>212</v>
      </c>
      <c r="B1" s="309"/>
      <c r="C1" s="309"/>
      <c r="D1" s="309"/>
      <c r="E1" s="309"/>
      <c r="F1" s="309"/>
      <c r="G1" s="310"/>
      <c r="H1" s="310"/>
    </row>
    <row r="2" spans="1:10" s="13" customFormat="1" ht="24" customHeight="1">
      <c r="A2" s="335" t="s">
        <v>5</v>
      </c>
      <c r="B2" s="335"/>
      <c r="C2" s="16"/>
    </row>
    <row r="3" spans="1:10" s="243" customFormat="1" ht="18" customHeight="1">
      <c r="A3" s="336" t="s">
        <v>198</v>
      </c>
      <c r="B3" s="336"/>
      <c r="C3" s="259" t="s">
        <v>25</v>
      </c>
      <c r="D3" s="80"/>
    </row>
    <row r="4" spans="1:10" s="60" customFormat="1" ht="25.2" customHeight="1">
      <c r="A4" s="321" t="s">
        <v>318</v>
      </c>
      <c r="B4" s="251"/>
      <c r="C4" s="251"/>
      <c r="D4" s="58"/>
      <c r="E4" s="58"/>
      <c r="F4" s="58"/>
      <c r="G4" s="59"/>
    </row>
    <row r="5" spans="1:10" s="85" customFormat="1" ht="41.4">
      <c r="A5" s="275" t="s">
        <v>30</v>
      </c>
      <c r="B5" s="275" t="s">
        <v>196</v>
      </c>
      <c r="C5" s="276" t="s">
        <v>197</v>
      </c>
      <c r="D5" s="276" t="s">
        <v>189</v>
      </c>
      <c r="E5" s="276" t="s">
        <v>181</v>
      </c>
      <c r="F5" s="278" t="s">
        <v>187</v>
      </c>
      <c r="G5" s="83"/>
    </row>
    <row r="6" spans="1:10" ht="15" customHeight="1">
      <c r="A6" s="73" t="s">
        <v>31</v>
      </c>
      <c r="B6" s="67" t="s">
        <v>162</v>
      </c>
      <c r="C6" s="72">
        <f>INDEX(Data!$B$157:$F$192,(MATCH($C$3,Data!$B$155:$C$155, 0)-1)*18+1,2)</f>
        <v>16.36</v>
      </c>
      <c r="D6" s="72">
        <f>INDEX(Data!$B$157:$F$192,(MATCH($C$3,Data!$B$155:$C$155, 0)-1)*18+1,3)</f>
        <v>110.29</v>
      </c>
      <c r="E6" s="72">
        <f>INDEX(Data!$B$157:$F$192,(MATCH($C$3,Data!$B$155:$C$155, 0)-1)*18+1,4)</f>
        <v>32.880000000000003</v>
      </c>
      <c r="F6" s="70">
        <f>INDEX(Data!$B$157:$F$192,(MATCH($C$3,Data!$B$155:$C$155, 0)-1)*18+1,5)</f>
        <v>676450</v>
      </c>
      <c r="G6" s="116"/>
      <c r="H6" s="92"/>
      <c r="I6" s="92"/>
      <c r="J6" s="92"/>
    </row>
    <row r="7" spans="1:10" ht="15" customHeight="1">
      <c r="A7" s="69" t="s">
        <v>31</v>
      </c>
      <c r="B7" s="67" t="s">
        <v>163</v>
      </c>
      <c r="C7" s="72">
        <f>INDEX(Data!$B$157:$F$192,(MATCH($C$3,Data!$B$155:$C$155, 0)-1)*18+2,2)</f>
        <v>13.55</v>
      </c>
      <c r="D7" s="72">
        <f>INDEX(Data!$B$157:$F$192,(MATCH($C$3,Data!$B$155:$C$155, 0)-1)*18+2,3)</f>
        <v>91.39</v>
      </c>
      <c r="E7" s="72">
        <f>INDEX(Data!$B$157:$F$192,(MATCH($C$3,Data!$B$155:$C$155, 0)-1)*18+2,4)</f>
        <v>8.09</v>
      </c>
      <c r="F7" s="79">
        <f>INDEX(Data!$B$157:$F$192,(MATCH($C$3,Data!$B$155:$C$155, 0)-1)*18+2,5)</f>
        <v>137903</v>
      </c>
      <c r="G7" s="116"/>
      <c r="H7" s="92"/>
      <c r="I7" s="92"/>
      <c r="J7" s="92"/>
    </row>
    <row r="8" spans="1:10" ht="15" customHeight="1">
      <c r="A8" s="69" t="s">
        <v>31</v>
      </c>
      <c r="B8" s="67" t="s">
        <v>18</v>
      </c>
      <c r="C8" s="72">
        <f>INDEX(Data!$B$157:$F$192,(MATCH($C$3,Data!$B$155:$C$155, 0)-1)*18+3,2)</f>
        <v>14.86</v>
      </c>
      <c r="D8" s="72">
        <f>INDEX(Data!$B$157:$F$192,(MATCH($C$3,Data!$B$155:$C$155, 0)-1)*18+3,3)</f>
        <v>100.18</v>
      </c>
      <c r="E8" s="72">
        <f>INDEX(Data!$B$157:$F$192,(MATCH($C$3,Data!$B$155:$C$155, 0)-1)*18+3,4)</f>
        <v>35.19</v>
      </c>
      <c r="F8" s="79">
        <f>INDEX(Data!$B$157:$F$192,(MATCH($C$3,Data!$B$155:$C$155, 0)-1)*18+3,5)</f>
        <v>657577</v>
      </c>
      <c r="G8" s="116"/>
      <c r="H8" s="92"/>
      <c r="I8" s="92"/>
      <c r="J8" s="92"/>
    </row>
    <row r="9" spans="1:10" ht="15" customHeight="1">
      <c r="A9" s="69" t="s">
        <v>31</v>
      </c>
      <c r="B9" s="67" t="s">
        <v>19</v>
      </c>
      <c r="C9" s="72">
        <f>INDEX(Data!$B$157:$F$192,(MATCH($C$3,Data!$B$155:$C$155, 0)-1)*18+4,2)</f>
        <v>26.86</v>
      </c>
      <c r="D9" s="72">
        <f>INDEX(Data!$B$157:$F$192,(MATCH($C$3,Data!$B$155:$C$155, 0)-1)*18+4,3)</f>
        <v>181.09</v>
      </c>
      <c r="E9" s="72">
        <f>INDEX(Data!$B$157:$F$192,(MATCH($C$3,Data!$B$155:$C$155, 0)-1)*18+4,4)</f>
        <v>17.52</v>
      </c>
      <c r="F9" s="79">
        <f>INDEX(Data!$B$157:$F$192,(MATCH($C$3,Data!$B$155:$C$155, 0)-1)*18+4,5)</f>
        <v>591853</v>
      </c>
      <c r="G9" s="116"/>
      <c r="H9" s="92"/>
      <c r="I9" s="92"/>
      <c r="J9" s="92"/>
    </row>
    <row r="10" spans="1:10" ht="15" customHeight="1">
      <c r="A10" s="69" t="s">
        <v>31</v>
      </c>
      <c r="B10" s="67" t="s">
        <v>20</v>
      </c>
      <c r="C10" s="72">
        <f>INDEX(Data!$B$157:$F$192,(MATCH($C$3,Data!$B$155:$C$155, 0)-1)*18+5,2)</f>
        <v>4.4800000000000004</v>
      </c>
      <c r="D10" s="72">
        <f>INDEX(Data!$B$157:$F$192,(MATCH($C$3,Data!$B$155:$C$155, 0)-1)*18+5,3)</f>
        <v>30.24</v>
      </c>
      <c r="E10" s="72">
        <f>INDEX(Data!$B$157:$F$192,(MATCH($C$3,Data!$B$155:$C$155, 0)-1)*18+5,4)</f>
        <v>10.93</v>
      </c>
      <c r="F10" s="79">
        <f>INDEX(Data!$B$157:$F$192,(MATCH($C$3,Data!$B$155:$C$155, 0)-1)*18+5,5)</f>
        <v>61664</v>
      </c>
      <c r="G10" s="116"/>
      <c r="H10" s="92"/>
      <c r="I10" s="92"/>
      <c r="J10" s="92"/>
    </row>
    <row r="11" spans="1:10" ht="15" customHeight="1">
      <c r="A11" s="69" t="s">
        <v>31</v>
      </c>
      <c r="B11" s="67" t="s">
        <v>21</v>
      </c>
      <c r="C11" s="72">
        <f>INDEX(Data!$B$157:$F$192,(MATCH($C$3,Data!$B$155:$C$155, 0)-1)*18+6,2)</f>
        <v>7.62</v>
      </c>
      <c r="D11" s="72">
        <f>INDEX(Data!$B$157:$F$192,(MATCH($C$3,Data!$B$155:$C$155, 0)-1)*18+6,3)</f>
        <v>51.36</v>
      </c>
      <c r="E11" s="72">
        <f>INDEX(Data!$B$157:$F$192,(MATCH($C$3,Data!$B$155:$C$155, 0)-1)*18+6,4)</f>
        <v>10.06</v>
      </c>
      <c r="F11" s="79">
        <f>INDEX(Data!$B$157:$F$192,(MATCH($C$3,Data!$B$155:$C$155, 0)-1)*18+6,5)</f>
        <v>96422</v>
      </c>
      <c r="G11" s="116"/>
      <c r="H11" s="92"/>
      <c r="I11" s="92"/>
      <c r="J11" s="92"/>
    </row>
    <row r="12" spans="1:10" ht="15" customHeight="1">
      <c r="A12" s="69" t="s">
        <v>31</v>
      </c>
      <c r="B12" s="67" t="s">
        <v>22</v>
      </c>
      <c r="C12" s="72">
        <f>INDEX(Data!$B$157:$F$192,(MATCH($C$3,Data!$B$155:$C$155, 0)-1)*18+7,2)</f>
        <v>16.27</v>
      </c>
      <c r="D12" s="72">
        <f>INDEX(Data!$B$157:$F$192,(MATCH($C$3,Data!$B$155:$C$155, 0)-1)*18+7,3)</f>
        <v>109.68</v>
      </c>
      <c r="E12" s="72">
        <f>INDEX(Data!$B$157:$F$192,(MATCH($C$3,Data!$B$155:$C$155, 0)-1)*18+7,4)</f>
        <v>13.11</v>
      </c>
      <c r="F12" s="79">
        <f>INDEX(Data!$B$157:$F$192,(MATCH($C$3,Data!$B$155:$C$155, 0)-1)*18+7,5)</f>
        <v>268291</v>
      </c>
      <c r="G12" s="116"/>
      <c r="H12" s="92"/>
      <c r="I12" s="92"/>
      <c r="J12" s="92"/>
    </row>
    <row r="13" spans="1:10" s="186" customFormat="1" ht="15" customHeight="1">
      <c r="A13" s="76" t="s">
        <v>31</v>
      </c>
      <c r="B13" s="67" t="s">
        <v>29</v>
      </c>
      <c r="C13" s="72" t="str">
        <f>INDEX(Data!$B$157:$F$192,(MATCH($C$3,Data!$B$155:$C$155, 0)-1)*18+8,2)</f>
        <v>—</v>
      </c>
      <c r="D13" s="72" t="str">
        <f>INDEX(Data!$B$157:$F$192,(MATCH($C$3,Data!$B$155:$C$155, 0)-1)*18+8,3)</f>
        <v>—</v>
      </c>
      <c r="E13" s="72" t="str">
        <f>INDEX(Data!$B$157:$F$192,(MATCH($C$3,Data!$B$155:$C$155, 0)-1)*18+8,4)</f>
        <v>—</v>
      </c>
      <c r="F13" s="70" t="str">
        <f>INDEX(Data!$B$157:$F$192,(MATCH($C$3,Data!$B$155:$C$155, 0)-1)*18+8,5)</f>
        <v>—</v>
      </c>
      <c r="G13" s="78"/>
      <c r="H13" s="77"/>
      <c r="I13" s="77"/>
      <c r="J13" s="77"/>
    </row>
    <row r="14" spans="1:10" s="62" customFormat="1" ht="15" customHeight="1">
      <c r="A14" s="75" t="s">
        <v>31</v>
      </c>
      <c r="B14" s="67" t="str">
        <f>INDEX(Data!$B$157:$F$192,(MATCH($C$3,Data!$B$155:$C$155, 0)-1)*18+9,1)</f>
        <v>Total (Organic disorders included)</v>
      </c>
      <c r="C14" s="66">
        <f>INDEX(Data!$B$157:$F$192,(MATCH($C$3,Data!$B$155:$C$155, 0)-1)*18+9,2)</f>
        <v>100</v>
      </c>
      <c r="D14" s="66">
        <f>INDEX(Data!$B$157:$F$192,(MATCH($C$3,Data!$B$155:$C$155, 0)-1)*18+9,3)</f>
        <v>674.23</v>
      </c>
      <c r="E14" s="66">
        <f>INDEX(Data!$B$157:$F$192,(MATCH($C$3,Data!$B$155:$C$155, 0)-1)*18+9,4)</f>
        <v>19.809999999999999</v>
      </c>
      <c r="F14" s="74">
        <f>INDEX(Data!$B$157:$F$192,(MATCH($C$3,Data!$B$155:$C$155, 0)-1)*18+9,5)</f>
        <v>2492301</v>
      </c>
      <c r="G14" s="121"/>
      <c r="H14" s="63"/>
      <c r="I14" s="63"/>
      <c r="J14" s="63"/>
    </row>
    <row r="15" spans="1:10" ht="15" customHeight="1">
      <c r="A15" s="73" t="s">
        <v>32</v>
      </c>
      <c r="B15" s="67" t="s">
        <v>162</v>
      </c>
      <c r="C15" s="72">
        <f>INDEX(Data!$B$157:$F$192,(MATCH($C$3,Data!$B$155:$C$155, 0)-1)*18+10,2)</f>
        <v>13.49</v>
      </c>
      <c r="D15" s="72">
        <f>INDEX(Data!$B$157:$F$192,(MATCH($C$3,Data!$B$155:$C$155, 0)-1)*18+10,3)</f>
        <v>96.4</v>
      </c>
      <c r="E15" s="72">
        <f>INDEX(Data!$B$157:$F$192,(MATCH($C$3,Data!$B$155:$C$155, 0)-1)*18+10,4)</f>
        <v>42.68</v>
      </c>
      <c r="F15" s="70">
        <f>INDEX(Data!$B$157:$F$192,(MATCH($C$3,Data!$B$155:$C$155, 0)-1)*18+10,5)</f>
        <v>757136</v>
      </c>
      <c r="G15" s="116"/>
      <c r="H15" s="92"/>
      <c r="I15" s="92"/>
      <c r="J15" s="92"/>
    </row>
    <row r="16" spans="1:10" ht="15" customHeight="1">
      <c r="A16" s="69" t="s">
        <v>32</v>
      </c>
      <c r="B16" s="67" t="s">
        <v>163</v>
      </c>
      <c r="C16" s="72">
        <f>INDEX(Data!$B$157:$F$192,(MATCH($C$3,Data!$B$155:$C$155, 0)-1)*18+11,2)</f>
        <v>27.24</v>
      </c>
      <c r="D16" s="71">
        <f>INDEX(Data!$B$157:$F$192,(MATCH($C$3,Data!$B$155:$C$155, 0)-1)*18+11,3)</f>
        <v>194.67</v>
      </c>
      <c r="E16" s="71">
        <f>INDEX(Data!$B$157:$F$192,(MATCH($C$3,Data!$B$155:$C$155, 0)-1)*18+11,4)</f>
        <v>8.19</v>
      </c>
      <c r="F16" s="70">
        <f>INDEX(Data!$B$157:$F$192,(MATCH($C$3,Data!$B$155:$C$155, 0)-1)*18+11,5)</f>
        <v>293464</v>
      </c>
      <c r="G16" s="116"/>
      <c r="H16" s="92"/>
      <c r="I16" s="92"/>
      <c r="J16" s="92"/>
    </row>
    <row r="17" spans="1:16384" ht="15" customHeight="1">
      <c r="A17" s="69" t="s">
        <v>32</v>
      </c>
      <c r="B17" s="67" t="s">
        <v>18</v>
      </c>
      <c r="C17" s="72">
        <f>INDEX(Data!$B$157:$F$192,(MATCH($C$3,Data!$B$155:$C$155, 0)-1)*18+12,2)</f>
        <v>24.02</v>
      </c>
      <c r="D17" s="71">
        <f>INDEX(Data!$B$157:$F$192,(MATCH($C$3,Data!$B$155:$C$155, 0)-1)*18+12,3)</f>
        <v>171.69</v>
      </c>
      <c r="E17" s="71">
        <f>INDEX(Data!$B$157:$F$192,(MATCH($C$3,Data!$B$155:$C$155, 0)-1)*18+12,4)</f>
        <v>39.909999999999997</v>
      </c>
      <c r="F17" s="70">
        <f>INDEX(Data!$B$157:$F$192,(MATCH($C$3,Data!$B$155:$C$155, 0)-1)*18+12,5)</f>
        <v>1261083</v>
      </c>
      <c r="G17" s="116"/>
      <c r="H17" s="92"/>
      <c r="I17" s="92"/>
      <c r="J17" s="92"/>
    </row>
    <row r="18" spans="1:16384" ht="15" customHeight="1">
      <c r="A18" s="69" t="s">
        <v>32</v>
      </c>
      <c r="B18" s="67" t="s">
        <v>19</v>
      </c>
      <c r="C18" s="72">
        <f>INDEX(Data!$B$157:$F$192,(MATCH($C$3,Data!$B$155:$C$155, 0)-1)*18+13,2)</f>
        <v>18.59</v>
      </c>
      <c r="D18" s="71">
        <f>INDEX(Data!$B$157:$F$192,(MATCH($C$3,Data!$B$155:$C$155, 0)-1)*18+13,3)</f>
        <v>132.88</v>
      </c>
      <c r="E18" s="71">
        <f>INDEX(Data!$B$157:$F$192,(MATCH($C$3,Data!$B$155:$C$155, 0)-1)*18+13,4)</f>
        <v>17.95</v>
      </c>
      <c r="F18" s="70">
        <f>INDEX(Data!$B$157:$F$192,(MATCH($C$3,Data!$B$155:$C$155, 0)-1)*18+13,5)</f>
        <v>438853</v>
      </c>
      <c r="G18" s="116"/>
      <c r="H18" s="92"/>
      <c r="I18" s="92"/>
      <c r="J18" s="92"/>
    </row>
    <row r="19" spans="1:16384" ht="15" customHeight="1">
      <c r="A19" s="69" t="s">
        <v>32</v>
      </c>
      <c r="B19" s="67" t="s">
        <v>20</v>
      </c>
      <c r="C19" s="72">
        <f>INDEX(Data!$B$157:$F$192,(MATCH($C$3,Data!$B$155:$C$155, 0)-1)*18+14,2)</f>
        <v>2.44</v>
      </c>
      <c r="D19" s="71">
        <f>INDEX(Data!$B$157:$F$192,(MATCH($C$3,Data!$B$155:$C$155, 0)-1)*18+14,3)</f>
        <v>17.399999999999999</v>
      </c>
      <c r="E19" s="71">
        <f>INDEX(Data!$B$157:$F$192,(MATCH($C$3,Data!$B$155:$C$155, 0)-1)*18+14,4)</f>
        <v>10.63</v>
      </c>
      <c r="F19" s="70">
        <f>INDEX(Data!$B$157:$F$192,(MATCH($C$3,Data!$B$155:$C$155, 0)-1)*18+14,5)</f>
        <v>34032</v>
      </c>
      <c r="G19" s="116"/>
      <c r="H19" s="92"/>
      <c r="I19" s="92"/>
      <c r="J19" s="92"/>
    </row>
    <row r="20" spans="1:16384" ht="15" customHeight="1">
      <c r="A20" s="69" t="s">
        <v>32</v>
      </c>
      <c r="B20" s="67" t="s">
        <v>21</v>
      </c>
      <c r="C20" s="72">
        <f>INDEX(Data!$B$157:$F$192,(MATCH($C$3,Data!$B$155:$C$155, 0)-1)*18+15,2)</f>
        <v>2.98</v>
      </c>
      <c r="D20" s="71">
        <f>INDEX(Data!$B$157:$F$192,(MATCH($C$3,Data!$B$155:$C$155, 0)-1)*18+15,3)</f>
        <v>21.27</v>
      </c>
      <c r="E20" s="71">
        <f>INDEX(Data!$B$157:$F$192,(MATCH($C$3,Data!$B$155:$C$155, 0)-1)*18+15,4)</f>
        <v>15.03</v>
      </c>
      <c r="F20" s="70">
        <f>INDEX(Data!$B$157:$F$192,(MATCH($C$3,Data!$B$155:$C$155, 0)-1)*18+15,5)</f>
        <v>58824</v>
      </c>
      <c r="G20" s="116"/>
      <c r="H20" s="92"/>
      <c r="I20" s="92"/>
      <c r="J20" s="92"/>
    </row>
    <row r="21" spans="1:16384" ht="15" customHeight="1">
      <c r="A21" s="69" t="s">
        <v>32</v>
      </c>
      <c r="B21" s="67" t="s">
        <v>22</v>
      </c>
      <c r="C21" s="72">
        <f>INDEX(Data!$B$157:$F$192,(MATCH($C$3,Data!$B$155:$C$155, 0)-1)*18+16,2)</f>
        <v>11.25</v>
      </c>
      <c r="D21" s="71">
        <f>INDEX(Data!$B$157:$F$192,(MATCH($C$3,Data!$B$155:$C$155, 0)-1)*18+16,3)</f>
        <v>80.400000000000006</v>
      </c>
      <c r="E21" s="71">
        <f>INDEX(Data!$B$157:$F$192,(MATCH($C$3,Data!$B$155:$C$155, 0)-1)*18+16,4)</f>
        <v>16.46</v>
      </c>
      <c r="F21" s="70">
        <f>INDEX(Data!$B$157:$F$192,(MATCH($C$3,Data!$B$155:$C$155, 0)-1)*18+16,5)</f>
        <v>243531</v>
      </c>
      <c r="G21" s="116"/>
      <c r="H21" s="92"/>
      <c r="I21" s="92"/>
      <c r="J21" s="92"/>
    </row>
    <row r="22" spans="1:16384" ht="15" customHeight="1">
      <c r="A22" s="69" t="s">
        <v>32</v>
      </c>
      <c r="B22" s="67" t="s">
        <v>29</v>
      </c>
      <c r="C22" s="72">
        <f>INDEX(Data!$B$157:$F$192,(MATCH($C$3,Data!$B$155:$C$155, 0)-1)*18+17,2)</f>
        <v>0.01</v>
      </c>
      <c r="D22" s="71">
        <f>INDEX(Data!$B$157:$F$192,(MATCH($C$3,Data!$B$155:$C$155, 0)-1)*18+17,3)</f>
        <v>0.04</v>
      </c>
      <c r="E22" s="71">
        <f>INDEX(Data!$B$157:$F$192,(MATCH($C$3,Data!$B$155:$C$155, 0)-1)*18+17,4)</f>
        <v>99.43</v>
      </c>
      <c r="F22" s="70">
        <f>INDEX(Data!$B$157:$F$192,(MATCH($C$3,Data!$B$155:$C$155, 0)-1)*18+17,5)</f>
        <v>696</v>
      </c>
      <c r="G22" s="116"/>
      <c r="H22" s="92"/>
      <c r="I22" s="92"/>
      <c r="J22" s="92"/>
    </row>
    <row r="23" spans="1:16384" ht="15" customHeight="1">
      <c r="A23" s="68" t="s">
        <v>32</v>
      </c>
      <c r="B23" s="67" t="str">
        <f>INDEX(Data!$B$157:$F$192,(MATCH($C$3,Data!$B$155:$C$155, 0)-1)*18+18,1)</f>
        <v>Total (Organic disorders included)</v>
      </c>
      <c r="C23" s="66">
        <f>INDEX(Data!$B$157:$F$192,(MATCH($C$3,Data!$B$155:$C$155, 0)-1)*18+18,2)</f>
        <v>100</v>
      </c>
      <c r="D23" s="65">
        <f>INDEX(Data!$B$157:$F$192,(MATCH($C$3,Data!$B$155:$C$155, 0)-1)*18+18,3)</f>
        <v>714.75</v>
      </c>
      <c r="E23" s="65">
        <f>INDEX(Data!$B$157:$F$192,(MATCH($C$3,Data!$B$155:$C$155, 0)-1)*18+18,4)</f>
        <v>23.47</v>
      </c>
      <c r="F23" s="64">
        <f>INDEX(Data!$B$157:$F$192,(MATCH($C$3,Data!$B$155:$C$155, 0)-1)*18+18,5)</f>
        <v>3087619</v>
      </c>
      <c r="G23" s="116"/>
      <c r="H23" s="92"/>
      <c r="I23" s="92"/>
      <c r="J23" s="92"/>
    </row>
    <row r="24" spans="1:16384" ht="17.25" customHeight="1">
      <c r="A24" s="204" t="s">
        <v>9</v>
      </c>
      <c r="B24" s="223"/>
      <c r="C24" s="223"/>
      <c r="D24" s="215"/>
      <c r="E24" s="215"/>
      <c r="F24" s="223"/>
      <c r="G24" s="215"/>
    </row>
    <row r="25" spans="1:16384" ht="24" customHeight="1">
      <c r="A25" s="328" t="s">
        <v>192</v>
      </c>
      <c r="B25" s="328"/>
      <c r="C25" s="328"/>
      <c r="D25" s="328"/>
      <c r="E25" s="328"/>
      <c r="F25" s="328"/>
      <c r="G25" s="281"/>
    </row>
    <row r="26" spans="1:16384" s="240" customFormat="1" ht="36" customHeight="1">
      <c r="A26" s="330" t="s">
        <v>200</v>
      </c>
      <c r="B26" s="330"/>
      <c r="C26" s="330"/>
      <c r="D26" s="330"/>
      <c r="E26" s="330"/>
      <c r="F26" s="330"/>
      <c r="G26" s="303"/>
      <c r="H26" s="235"/>
      <c r="I26" s="235"/>
      <c r="J26" s="235"/>
      <c r="K26" s="235"/>
      <c r="L26" s="235"/>
      <c r="M26" s="235"/>
      <c r="N26" s="235"/>
      <c r="O26" s="235"/>
      <c r="P26" s="235"/>
      <c r="Q26" s="235"/>
      <c r="R26" s="235"/>
      <c r="S26" s="235"/>
      <c r="T26" s="235"/>
      <c r="U26" s="235"/>
      <c r="V26" s="235"/>
      <c r="W26" s="235"/>
      <c r="X26" s="235"/>
      <c r="Y26" s="235"/>
      <c r="Z26" s="235"/>
      <c r="AA26" s="235"/>
      <c r="AB26" s="235"/>
      <c r="AC26" s="235"/>
      <c r="AD26" s="235"/>
      <c r="AE26" s="235"/>
      <c r="AF26" s="235"/>
      <c r="AG26" s="235"/>
      <c r="AH26" s="235"/>
      <c r="AI26" s="235"/>
      <c r="AJ26" s="235"/>
      <c r="AK26" s="235"/>
      <c r="AL26" s="235"/>
      <c r="AM26" s="235"/>
      <c r="AN26" s="235"/>
      <c r="AO26" s="235"/>
      <c r="AP26" s="235"/>
      <c r="AQ26" s="235"/>
      <c r="AR26" s="235"/>
      <c r="AS26" s="235"/>
      <c r="AT26" s="235"/>
      <c r="AU26" s="235"/>
      <c r="AV26" s="235"/>
      <c r="AW26" s="235"/>
      <c r="AX26" s="235"/>
      <c r="AY26" s="235"/>
      <c r="AZ26" s="235"/>
      <c r="BA26" s="235"/>
      <c r="BB26" s="235"/>
      <c r="BC26" s="235"/>
      <c r="BD26" s="235"/>
      <c r="BE26" s="235"/>
      <c r="BF26" s="235"/>
      <c r="BG26" s="235"/>
      <c r="BH26" s="235"/>
      <c r="BI26" s="235"/>
      <c r="BJ26" s="235"/>
      <c r="BK26" s="235"/>
      <c r="BL26" s="235"/>
      <c r="BM26" s="235"/>
      <c r="BN26" s="235"/>
      <c r="BO26" s="235"/>
      <c r="BP26" s="235"/>
      <c r="BQ26" s="235"/>
      <c r="BR26" s="235"/>
      <c r="BS26" s="235"/>
      <c r="BT26" s="235"/>
      <c r="BU26" s="235"/>
      <c r="BV26" s="235"/>
      <c r="BW26" s="235"/>
      <c r="BX26" s="235"/>
      <c r="BY26" s="235"/>
      <c r="BZ26" s="235"/>
      <c r="CA26" s="235"/>
      <c r="CB26" s="235"/>
      <c r="CC26" s="235"/>
      <c r="CD26" s="235"/>
      <c r="CE26" s="235"/>
      <c r="CF26" s="235"/>
      <c r="CG26" s="235"/>
      <c r="CH26" s="235"/>
      <c r="CI26" s="235"/>
      <c r="CJ26" s="235"/>
      <c r="CK26" s="235"/>
      <c r="CL26" s="235"/>
      <c r="CM26" s="235"/>
      <c r="CN26" s="235"/>
      <c r="CO26" s="235"/>
      <c r="CP26" s="235"/>
      <c r="CQ26" s="235"/>
      <c r="CR26" s="235"/>
      <c r="CS26" s="235"/>
      <c r="CT26" s="235"/>
      <c r="CU26" s="235"/>
      <c r="CV26" s="235"/>
      <c r="CW26" s="235"/>
      <c r="CX26" s="235"/>
      <c r="CY26" s="235"/>
      <c r="CZ26" s="235"/>
      <c r="DA26" s="235"/>
      <c r="DB26" s="235"/>
      <c r="DC26" s="235"/>
      <c r="DD26" s="235"/>
      <c r="DE26" s="235"/>
      <c r="DF26" s="235"/>
      <c r="DG26" s="235"/>
      <c r="DH26" s="235"/>
      <c r="DI26" s="235"/>
      <c r="DJ26" s="235"/>
      <c r="DK26" s="235"/>
      <c r="DL26" s="235"/>
      <c r="DM26" s="235"/>
      <c r="DN26" s="235"/>
      <c r="DO26" s="235"/>
      <c r="DP26" s="235"/>
      <c r="DQ26" s="235"/>
      <c r="DR26" s="235"/>
      <c r="DS26" s="235"/>
      <c r="DT26" s="235"/>
      <c r="DU26" s="235"/>
      <c r="DV26" s="235"/>
      <c r="DW26" s="235"/>
      <c r="DX26" s="235"/>
      <c r="DY26" s="235"/>
      <c r="DZ26" s="235"/>
      <c r="EA26" s="235"/>
      <c r="EB26" s="235"/>
      <c r="EC26" s="235"/>
      <c r="ED26" s="235"/>
      <c r="EE26" s="235"/>
      <c r="EF26" s="235"/>
      <c r="EG26" s="235"/>
      <c r="EH26" s="235"/>
      <c r="EI26" s="235"/>
      <c r="EJ26" s="235"/>
      <c r="EK26" s="235"/>
      <c r="EL26" s="235"/>
      <c r="EM26" s="235"/>
      <c r="EN26" s="235"/>
      <c r="EO26" s="235"/>
      <c r="EP26" s="235"/>
      <c r="EQ26" s="235"/>
      <c r="ER26" s="235"/>
      <c r="ES26" s="235"/>
      <c r="ET26" s="235"/>
      <c r="EU26" s="235"/>
      <c r="EV26" s="235"/>
      <c r="EW26" s="235"/>
      <c r="EX26" s="235"/>
      <c r="EY26" s="235"/>
      <c r="EZ26" s="235"/>
      <c r="FA26" s="235"/>
      <c r="FB26" s="235"/>
      <c r="FC26" s="235"/>
      <c r="FD26" s="235"/>
      <c r="FE26" s="235"/>
      <c r="FF26" s="235"/>
      <c r="FG26" s="235"/>
      <c r="FH26" s="235"/>
      <c r="FI26" s="235"/>
      <c r="FJ26" s="235"/>
      <c r="FK26" s="235"/>
      <c r="FL26" s="235"/>
      <c r="FM26" s="235"/>
      <c r="FN26" s="235"/>
      <c r="FO26" s="235"/>
      <c r="FP26" s="235"/>
      <c r="FQ26" s="235"/>
      <c r="FR26" s="235"/>
      <c r="FS26" s="235"/>
      <c r="FT26" s="235"/>
      <c r="FU26" s="235"/>
      <c r="FV26" s="235"/>
      <c r="FW26" s="235"/>
      <c r="FX26" s="235"/>
      <c r="FY26" s="235"/>
      <c r="FZ26" s="235"/>
      <c r="GA26" s="235"/>
      <c r="GB26" s="235"/>
      <c r="GC26" s="235"/>
      <c r="GD26" s="235"/>
      <c r="GE26" s="235"/>
      <c r="GF26" s="235"/>
      <c r="GG26" s="235"/>
      <c r="GH26" s="235"/>
      <c r="GI26" s="235"/>
      <c r="GJ26" s="235"/>
      <c r="GK26" s="235"/>
      <c r="GL26" s="235"/>
      <c r="GM26" s="235"/>
      <c r="GN26" s="235"/>
      <c r="GO26" s="235"/>
      <c r="GP26" s="235"/>
      <c r="GQ26" s="235"/>
      <c r="GR26" s="235"/>
      <c r="GS26" s="235"/>
      <c r="GT26" s="235"/>
      <c r="GU26" s="235"/>
      <c r="GV26" s="235"/>
      <c r="GW26" s="235"/>
      <c r="GX26" s="235"/>
      <c r="GY26" s="235"/>
      <c r="GZ26" s="235"/>
      <c r="HA26" s="235"/>
      <c r="HB26" s="235"/>
      <c r="HC26" s="235"/>
      <c r="HD26" s="235"/>
      <c r="HE26" s="235"/>
      <c r="HF26" s="235"/>
      <c r="HG26" s="235"/>
      <c r="HH26" s="235"/>
      <c r="HI26" s="235"/>
      <c r="HJ26" s="235"/>
      <c r="HK26" s="235"/>
      <c r="HL26" s="235"/>
      <c r="HM26" s="235"/>
      <c r="HN26" s="235"/>
      <c r="HO26" s="235"/>
      <c r="HP26" s="235"/>
      <c r="HQ26" s="235"/>
      <c r="HR26" s="235"/>
      <c r="HS26" s="235"/>
      <c r="HT26" s="235"/>
      <c r="HU26" s="235"/>
      <c r="HV26" s="235"/>
      <c r="HW26" s="235"/>
      <c r="HX26" s="235"/>
      <c r="HY26" s="235"/>
      <c r="HZ26" s="235"/>
      <c r="IA26" s="235"/>
      <c r="IB26" s="235"/>
      <c r="IC26" s="235"/>
      <c r="ID26" s="235"/>
      <c r="IE26" s="235"/>
      <c r="IF26" s="235"/>
      <c r="IG26" s="235"/>
      <c r="IH26" s="235"/>
      <c r="II26" s="235"/>
      <c r="IJ26" s="235"/>
      <c r="IK26" s="235"/>
      <c r="IL26" s="235"/>
      <c r="IM26" s="235"/>
      <c r="IN26" s="235"/>
      <c r="IO26" s="235"/>
      <c r="IP26" s="235"/>
      <c r="IQ26" s="235"/>
      <c r="IR26" s="235"/>
      <c r="IS26" s="235"/>
      <c r="IT26" s="235"/>
      <c r="IU26" s="235"/>
      <c r="IV26" s="235"/>
      <c r="IW26" s="235"/>
      <c r="IX26" s="235"/>
      <c r="IY26" s="235"/>
      <c r="IZ26" s="235"/>
      <c r="JA26" s="235"/>
      <c r="JB26" s="235"/>
      <c r="JC26" s="235"/>
      <c r="JD26" s="235"/>
      <c r="JE26" s="235"/>
      <c r="JF26" s="235"/>
      <c r="JG26" s="235"/>
      <c r="JH26" s="235"/>
      <c r="JI26" s="235"/>
      <c r="JJ26" s="235"/>
      <c r="JK26" s="235"/>
      <c r="JL26" s="235"/>
      <c r="JM26" s="235"/>
      <c r="JN26" s="235"/>
      <c r="JO26" s="235"/>
      <c r="JP26" s="235"/>
      <c r="JQ26" s="235"/>
      <c r="JR26" s="235"/>
      <c r="JS26" s="235"/>
      <c r="JT26" s="235"/>
      <c r="JU26" s="235"/>
      <c r="JV26" s="235"/>
      <c r="JW26" s="235"/>
      <c r="JX26" s="235"/>
      <c r="JY26" s="235"/>
      <c r="JZ26" s="235"/>
      <c r="KA26" s="235"/>
      <c r="KB26" s="235"/>
      <c r="KC26" s="235"/>
      <c r="KD26" s="235"/>
      <c r="KE26" s="235"/>
      <c r="KF26" s="235"/>
      <c r="KG26" s="235"/>
      <c r="KH26" s="235"/>
      <c r="KI26" s="235"/>
      <c r="KJ26" s="235"/>
      <c r="KK26" s="235"/>
      <c r="KL26" s="235"/>
      <c r="KM26" s="235"/>
      <c r="KN26" s="235"/>
      <c r="KO26" s="235"/>
      <c r="KP26" s="235"/>
      <c r="KQ26" s="235"/>
      <c r="KR26" s="235"/>
      <c r="KS26" s="235"/>
      <c r="KT26" s="235"/>
      <c r="KU26" s="235"/>
      <c r="KV26" s="235"/>
      <c r="KW26" s="235"/>
      <c r="KX26" s="235"/>
      <c r="KY26" s="235"/>
      <c r="KZ26" s="235"/>
      <c r="LA26" s="235"/>
      <c r="LB26" s="235"/>
      <c r="LC26" s="235"/>
      <c r="LD26" s="235"/>
      <c r="LE26" s="235"/>
      <c r="LF26" s="235"/>
      <c r="LG26" s="235"/>
      <c r="LH26" s="235"/>
      <c r="LI26" s="235"/>
      <c r="LJ26" s="235"/>
      <c r="LK26" s="235"/>
      <c r="LL26" s="235"/>
      <c r="LM26" s="235"/>
      <c r="LN26" s="235"/>
      <c r="LO26" s="235"/>
      <c r="LP26" s="235"/>
      <c r="LQ26" s="235"/>
      <c r="LR26" s="235"/>
      <c r="LS26" s="235"/>
      <c r="LT26" s="235"/>
      <c r="LU26" s="235"/>
      <c r="LV26" s="235"/>
      <c r="LW26" s="235"/>
      <c r="LX26" s="235"/>
      <c r="LY26" s="235"/>
      <c r="LZ26" s="235"/>
      <c r="MA26" s="235"/>
      <c r="MB26" s="235"/>
      <c r="MC26" s="235"/>
      <c r="MD26" s="235"/>
      <c r="ME26" s="235"/>
      <c r="MF26" s="235"/>
      <c r="MG26" s="235"/>
      <c r="MH26" s="235"/>
      <c r="MI26" s="235"/>
      <c r="MJ26" s="235"/>
      <c r="MK26" s="235"/>
      <c r="ML26" s="235"/>
      <c r="MM26" s="235"/>
      <c r="MN26" s="235"/>
      <c r="MO26" s="235"/>
      <c r="MP26" s="235"/>
      <c r="MQ26" s="235"/>
      <c r="MR26" s="235"/>
      <c r="MS26" s="235"/>
      <c r="MT26" s="235"/>
      <c r="MU26" s="235"/>
      <c r="MV26" s="235"/>
      <c r="MW26" s="235"/>
      <c r="MX26" s="235"/>
      <c r="MY26" s="235"/>
      <c r="MZ26" s="235"/>
      <c r="NA26" s="235"/>
      <c r="NB26" s="235"/>
      <c r="NC26" s="235"/>
      <c r="ND26" s="235"/>
      <c r="NE26" s="235"/>
      <c r="NF26" s="235"/>
      <c r="NG26" s="235"/>
      <c r="NH26" s="235"/>
      <c r="NI26" s="235"/>
      <c r="NJ26" s="235"/>
      <c r="NK26" s="235"/>
      <c r="NL26" s="235"/>
      <c r="NM26" s="235"/>
      <c r="NN26" s="235"/>
      <c r="NO26" s="235"/>
      <c r="NP26" s="235"/>
      <c r="NQ26" s="235"/>
      <c r="NR26" s="235"/>
      <c r="NS26" s="235"/>
      <c r="NT26" s="235"/>
      <c r="NU26" s="235"/>
      <c r="NV26" s="235"/>
      <c r="NW26" s="235"/>
      <c r="NX26" s="235"/>
      <c r="NY26" s="235"/>
      <c r="NZ26" s="235"/>
      <c r="OA26" s="235"/>
      <c r="OB26" s="235"/>
      <c r="OC26" s="235"/>
      <c r="OD26" s="235"/>
      <c r="OE26" s="235"/>
      <c r="OF26" s="235"/>
      <c r="OG26" s="235"/>
      <c r="OH26" s="235"/>
      <c r="OI26" s="235"/>
      <c r="OJ26" s="235"/>
      <c r="OK26" s="235"/>
      <c r="OL26" s="235"/>
      <c r="OM26" s="235"/>
      <c r="ON26" s="235"/>
      <c r="OO26" s="235"/>
      <c r="OP26" s="235"/>
      <c r="OQ26" s="235"/>
      <c r="OR26" s="235"/>
      <c r="OS26" s="235"/>
      <c r="OT26" s="235"/>
      <c r="OU26" s="235"/>
      <c r="OV26" s="235"/>
      <c r="OW26" s="235"/>
      <c r="OX26" s="235"/>
      <c r="OY26" s="235"/>
      <c r="OZ26" s="235"/>
      <c r="PA26" s="235"/>
      <c r="PB26" s="235"/>
      <c r="PC26" s="235"/>
      <c r="PD26" s="235"/>
      <c r="PE26" s="235"/>
      <c r="PF26" s="235"/>
      <c r="PG26" s="235"/>
      <c r="PH26" s="235"/>
      <c r="PI26" s="235"/>
      <c r="PJ26" s="235"/>
      <c r="PK26" s="235"/>
      <c r="PL26" s="235"/>
      <c r="PM26" s="235"/>
      <c r="PN26" s="235"/>
      <c r="PO26" s="235"/>
      <c r="PP26" s="235"/>
      <c r="PQ26" s="235"/>
      <c r="PR26" s="235"/>
      <c r="PS26" s="235"/>
      <c r="PT26" s="235"/>
      <c r="PU26" s="235"/>
      <c r="PV26" s="235"/>
      <c r="PW26" s="235"/>
      <c r="PX26" s="235"/>
      <c r="PY26" s="235"/>
      <c r="PZ26" s="235"/>
      <c r="QA26" s="235"/>
      <c r="QB26" s="235"/>
      <c r="QC26" s="235"/>
      <c r="QD26" s="235"/>
      <c r="QE26" s="235"/>
      <c r="QF26" s="235"/>
      <c r="QG26" s="235"/>
      <c r="QH26" s="235"/>
      <c r="QI26" s="235"/>
      <c r="QJ26" s="235"/>
      <c r="QK26" s="235"/>
      <c r="QL26" s="235"/>
      <c r="QM26" s="235"/>
      <c r="QN26" s="235"/>
      <c r="QO26" s="235"/>
      <c r="QP26" s="235"/>
      <c r="QQ26" s="235"/>
      <c r="QR26" s="235"/>
      <c r="QS26" s="235"/>
      <c r="QT26" s="235"/>
      <c r="QU26" s="235"/>
      <c r="QV26" s="235"/>
      <c r="QW26" s="235"/>
      <c r="QX26" s="235"/>
      <c r="QY26" s="235"/>
      <c r="QZ26" s="235"/>
      <c r="RA26" s="235"/>
      <c r="RB26" s="235"/>
      <c r="RC26" s="235"/>
      <c r="RD26" s="235"/>
      <c r="RE26" s="235"/>
      <c r="RF26" s="235"/>
      <c r="RG26" s="235"/>
      <c r="RH26" s="235"/>
      <c r="RI26" s="235"/>
      <c r="RJ26" s="235"/>
      <c r="RK26" s="235"/>
      <c r="RL26" s="235"/>
      <c r="RM26" s="235"/>
      <c r="RN26" s="235"/>
      <c r="RO26" s="235"/>
      <c r="RP26" s="235"/>
      <c r="RQ26" s="235"/>
      <c r="RR26" s="235"/>
      <c r="RS26" s="235"/>
      <c r="RT26" s="235"/>
      <c r="RU26" s="235"/>
      <c r="RV26" s="235"/>
      <c r="RW26" s="235"/>
      <c r="RX26" s="235"/>
      <c r="RY26" s="235"/>
      <c r="RZ26" s="235"/>
      <c r="SA26" s="235"/>
      <c r="SB26" s="235"/>
      <c r="SC26" s="235"/>
      <c r="SD26" s="235"/>
      <c r="SE26" s="235"/>
      <c r="SF26" s="235"/>
      <c r="SG26" s="235"/>
      <c r="SH26" s="235"/>
      <c r="SI26" s="235"/>
      <c r="SJ26" s="235"/>
      <c r="SK26" s="235"/>
      <c r="SL26" s="235"/>
      <c r="SM26" s="235"/>
      <c r="SN26" s="235"/>
      <c r="SO26" s="235"/>
      <c r="SP26" s="235"/>
      <c r="SQ26" s="235"/>
      <c r="SR26" s="235"/>
      <c r="SS26" s="235"/>
      <c r="ST26" s="235"/>
      <c r="SU26" s="235"/>
      <c r="SV26" s="235"/>
      <c r="SW26" s="235"/>
      <c r="SX26" s="235"/>
      <c r="SY26" s="235"/>
      <c r="SZ26" s="235"/>
      <c r="TA26" s="235"/>
      <c r="TB26" s="235"/>
      <c r="TC26" s="235"/>
      <c r="TD26" s="235"/>
      <c r="TE26" s="235"/>
      <c r="TF26" s="235"/>
      <c r="TG26" s="235"/>
      <c r="TH26" s="235"/>
      <c r="TI26" s="235"/>
      <c r="TJ26" s="235"/>
      <c r="TK26" s="235"/>
      <c r="TL26" s="235"/>
      <c r="TM26" s="235"/>
      <c r="TN26" s="235"/>
      <c r="TO26" s="235"/>
      <c r="TP26" s="235"/>
      <c r="TQ26" s="235"/>
      <c r="TR26" s="235"/>
      <c r="TS26" s="235"/>
      <c r="TT26" s="235"/>
      <c r="TU26" s="235"/>
      <c r="TV26" s="235"/>
      <c r="TW26" s="235"/>
      <c r="TX26" s="235"/>
      <c r="TY26" s="235"/>
      <c r="TZ26" s="235"/>
      <c r="UA26" s="235"/>
      <c r="UB26" s="235"/>
      <c r="UC26" s="235"/>
      <c r="UD26" s="235"/>
      <c r="UE26" s="235"/>
      <c r="UF26" s="235"/>
      <c r="UG26" s="235"/>
      <c r="UH26" s="235"/>
      <c r="UI26" s="235"/>
      <c r="UJ26" s="235"/>
      <c r="UK26" s="235"/>
      <c r="UL26" s="235"/>
      <c r="UM26" s="235"/>
      <c r="UN26" s="235"/>
      <c r="UO26" s="235"/>
      <c r="UP26" s="235"/>
      <c r="UQ26" s="235"/>
      <c r="UR26" s="235"/>
      <c r="US26" s="235"/>
      <c r="UT26" s="235"/>
      <c r="UU26" s="235"/>
      <c r="UV26" s="235"/>
      <c r="UW26" s="235"/>
      <c r="UX26" s="235"/>
      <c r="UY26" s="235"/>
      <c r="UZ26" s="235"/>
      <c r="VA26" s="235"/>
      <c r="VB26" s="235"/>
      <c r="VC26" s="235"/>
      <c r="VD26" s="235"/>
      <c r="VE26" s="235"/>
      <c r="VF26" s="235"/>
      <c r="VG26" s="235"/>
      <c r="VH26" s="235"/>
      <c r="VI26" s="235"/>
      <c r="VJ26" s="235"/>
      <c r="VK26" s="235"/>
      <c r="VL26" s="235"/>
      <c r="VM26" s="235"/>
      <c r="VN26" s="235"/>
      <c r="VO26" s="235"/>
      <c r="VP26" s="235"/>
      <c r="VQ26" s="235"/>
      <c r="VR26" s="235"/>
      <c r="VS26" s="235"/>
      <c r="VT26" s="235"/>
      <c r="VU26" s="235"/>
      <c r="VV26" s="235"/>
      <c r="VW26" s="235"/>
      <c r="VX26" s="235"/>
      <c r="VY26" s="235"/>
      <c r="VZ26" s="235"/>
      <c r="WA26" s="235"/>
      <c r="WB26" s="235"/>
      <c r="WC26" s="235"/>
      <c r="WD26" s="235"/>
      <c r="WE26" s="235"/>
      <c r="WF26" s="235"/>
      <c r="WG26" s="235"/>
      <c r="WH26" s="235"/>
      <c r="WI26" s="235"/>
      <c r="WJ26" s="235"/>
      <c r="WK26" s="235"/>
      <c r="WL26" s="235"/>
      <c r="WM26" s="235"/>
      <c r="WN26" s="235"/>
      <c r="WO26" s="235"/>
      <c r="WP26" s="235"/>
      <c r="WQ26" s="235"/>
      <c r="WR26" s="235"/>
      <c r="WS26" s="235"/>
      <c r="WT26" s="235"/>
      <c r="WU26" s="235"/>
      <c r="WV26" s="235"/>
      <c r="WW26" s="235"/>
      <c r="WX26" s="235"/>
      <c r="WY26" s="235"/>
      <c r="WZ26" s="235"/>
      <c r="XA26" s="235"/>
      <c r="XB26" s="235"/>
      <c r="XC26" s="235"/>
      <c r="XD26" s="235"/>
      <c r="XE26" s="235"/>
      <c r="XF26" s="235"/>
      <c r="XG26" s="235"/>
      <c r="XH26" s="235"/>
      <c r="XI26" s="235"/>
      <c r="XJ26" s="235"/>
      <c r="XK26" s="235"/>
      <c r="XL26" s="235"/>
      <c r="XM26" s="235"/>
      <c r="XN26" s="235"/>
      <c r="XO26" s="235"/>
      <c r="XP26" s="235"/>
      <c r="XQ26" s="235"/>
      <c r="XR26" s="235"/>
      <c r="XS26" s="235"/>
      <c r="XT26" s="235"/>
      <c r="XU26" s="235"/>
      <c r="XV26" s="235"/>
      <c r="XW26" s="235"/>
      <c r="XX26" s="235"/>
      <c r="XY26" s="235"/>
      <c r="XZ26" s="235"/>
      <c r="YA26" s="235"/>
      <c r="YB26" s="235"/>
      <c r="YC26" s="235"/>
      <c r="YD26" s="235"/>
      <c r="YE26" s="235"/>
      <c r="YF26" s="235"/>
      <c r="YG26" s="235"/>
      <c r="YH26" s="235"/>
      <c r="YI26" s="235"/>
      <c r="YJ26" s="235"/>
      <c r="YK26" s="235"/>
      <c r="YL26" s="235"/>
      <c r="YM26" s="235"/>
      <c r="YN26" s="235"/>
      <c r="YO26" s="235"/>
      <c r="YP26" s="235"/>
      <c r="YQ26" s="235"/>
      <c r="YR26" s="235"/>
      <c r="YS26" s="235"/>
      <c r="YT26" s="235"/>
      <c r="YU26" s="235"/>
      <c r="YV26" s="235"/>
      <c r="YW26" s="235"/>
      <c r="YX26" s="235"/>
      <c r="YY26" s="235"/>
      <c r="YZ26" s="235"/>
      <c r="ZA26" s="235"/>
      <c r="ZB26" s="235"/>
      <c r="ZC26" s="235"/>
      <c r="ZD26" s="235"/>
      <c r="ZE26" s="235"/>
      <c r="ZF26" s="235"/>
      <c r="ZG26" s="235"/>
      <c r="ZH26" s="235"/>
      <c r="ZI26" s="235"/>
      <c r="ZJ26" s="235"/>
      <c r="ZK26" s="235"/>
      <c r="ZL26" s="235"/>
      <c r="ZM26" s="235"/>
      <c r="ZN26" s="235"/>
      <c r="ZO26" s="235"/>
      <c r="ZP26" s="235"/>
      <c r="ZQ26" s="235"/>
      <c r="ZR26" s="235"/>
      <c r="ZS26" s="235"/>
      <c r="ZT26" s="235"/>
      <c r="ZU26" s="235"/>
      <c r="ZV26" s="235"/>
      <c r="ZW26" s="235"/>
      <c r="ZX26" s="235"/>
      <c r="ZY26" s="235"/>
      <c r="ZZ26" s="235"/>
      <c r="AAA26" s="235"/>
      <c r="AAB26" s="235"/>
      <c r="AAC26" s="235"/>
      <c r="AAD26" s="235"/>
      <c r="AAE26" s="235"/>
      <c r="AAF26" s="235"/>
      <c r="AAG26" s="235"/>
      <c r="AAH26" s="235"/>
      <c r="AAI26" s="235"/>
      <c r="AAJ26" s="235"/>
      <c r="AAK26" s="235"/>
      <c r="AAL26" s="235"/>
      <c r="AAM26" s="235"/>
      <c r="AAN26" s="235"/>
      <c r="AAO26" s="235"/>
      <c r="AAP26" s="235"/>
      <c r="AAQ26" s="235"/>
      <c r="AAR26" s="235"/>
      <c r="AAS26" s="235"/>
      <c r="AAT26" s="235"/>
      <c r="AAU26" s="235"/>
      <c r="AAV26" s="235"/>
      <c r="AAW26" s="235"/>
      <c r="AAX26" s="235"/>
      <c r="AAY26" s="235"/>
      <c r="AAZ26" s="235"/>
      <c r="ABA26" s="235"/>
      <c r="ABB26" s="235"/>
      <c r="ABC26" s="235"/>
      <c r="ABD26" s="235"/>
      <c r="ABE26" s="235"/>
      <c r="ABF26" s="235"/>
      <c r="ABG26" s="235"/>
      <c r="ABH26" s="235"/>
      <c r="ABI26" s="235"/>
      <c r="ABJ26" s="235"/>
      <c r="ABK26" s="235"/>
      <c r="ABL26" s="235"/>
      <c r="ABM26" s="235"/>
      <c r="ABN26" s="235"/>
      <c r="ABO26" s="235"/>
      <c r="ABP26" s="235"/>
      <c r="ABQ26" s="235"/>
      <c r="ABR26" s="235"/>
      <c r="ABS26" s="235"/>
      <c r="ABT26" s="235"/>
      <c r="ABU26" s="235"/>
      <c r="ABV26" s="235"/>
      <c r="ABW26" s="235"/>
      <c r="ABX26" s="235"/>
      <c r="ABY26" s="235"/>
      <c r="ABZ26" s="235"/>
      <c r="ACA26" s="235"/>
      <c r="ACB26" s="235"/>
      <c r="ACC26" s="235"/>
      <c r="ACD26" s="235"/>
      <c r="ACE26" s="235"/>
      <c r="ACF26" s="235"/>
      <c r="ACG26" s="235"/>
      <c r="ACH26" s="235"/>
      <c r="ACI26" s="235"/>
      <c r="ACJ26" s="235"/>
      <c r="ACK26" s="235"/>
      <c r="ACL26" s="235"/>
      <c r="ACM26" s="235"/>
      <c r="ACN26" s="235"/>
      <c r="ACO26" s="235"/>
      <c r="ACP26" s="235"/>
      <c r="ACQ26" s="235"/>
      <c r="ACR26" s="235"/>
      <c r="ACS26" s="235"/>
      <c r="ACT26" s="235"/>
      <c r="ACU26" s="235"/>
      <c r="ACV26" s="235"/>
      <c r="ACW26" s="235"/>
      <c r="ACX26" s="235"/>
      <c r="ACY26" s="235"/>
      <c r="ACZ26" s="235"/>
      <c r="ADA26" s="235"/>
      <c r="ADB26" s="235"/>
      <c r="ADC26" s="235"/>
      <c r="ADD26" s="235"/>
      <c r="ADE26" s="235"/>
      <c r="ADF26" s="235"/>
      <c r="ADG26" s="235"/>
      <c r="ADH26" s="235"/>
      <c r="ADI26" s="235"/>
      <c r="ADJ26" s="235"/>
      <c r="ADK26" s="235"/>
      <c r="ADL26" s="235"/>
      <c r="ADM26" s="235"/>
      <c r="ADN26" s="235"/>
      <c r="ADO26" s="235"/>
      <c r="ADP26" s="235"/>
      <c r="ADQ26" s="235"/>
      <c r="ADR26" s="235"/>
      <c r="ADS26" s="235"/>
      <c r="ADT26" s="235"/>
      <c r="ADU26" s="235"/>
      <c r="ADV26" s="235"/>
      <c r="ADW26" s="235"/>
      <c r="ADX26" s="235"/>
      <c r="ADY26" s="235"/>
      <c r="ADZ26" s="235"/>
      <c r="AEA26" s="235"/>
      <c r="AEB26" s="235"/>
      <c r="AEC26" s="235"/>
      <c r="AED26" s="235"/>
      <c r="AEE26" s="235"/>
      <c r="AEF26" s="235"/>
      <c r="AEG26" s="235"/>
      <c r="AEH26" s="235"/>
      <c r="AEI26" s="235"/>
      <c r="AEJ26" s="235"/>
      <c r="AEK26" s="235"/>
      <c r="AEL26" s="235"/>
      <c r="AEM26" s="235"/>
      <c r="AEN26" s="235"/>
      <c r="AEO26" s="235"/>
      <c r="AEP26" s="235"/>
      <c r="AEQ26" s="235"/>
      <c r="AER26" s="235"/>
      <c r="AES26" s="235"/>
      <c r="AET26" s="235"/>
      <c r="AEU26" s="235"/>
      <c r="AEV26" s="235"/>
      <c r="AEW26" s="235"/>
      <c r="AEX26" s="235"/>
      <c r="AEY26" s="235"/>
      <c r="AEZ26" s="235"/>
      <c r="AFA26" s="235"/>
      <c r="AFB26" s="235"/>
      <c r="AFC26" s="235"/>
      <c r="AFD26" s="235"/>
      <c r="AFE26" s="235"/>
      <c r="AFF26" s="235"/>
      <c r="AFG26" s="235"/>
      <c r="AFH26" s="235"/>
      <c r="AFI26" s="235"/>
      <c r="AFJ26" s="235"/>
      <c r="AFK26" s="235"/>
      <c r="AFL26" s="235"/>
      <c r="AFM26" s="235"/>
      <c r="AFN26" s="235"/>
      <c r="AFO26" s="235"/>
      <c r="AFP26" s="235"/>
      <c r="AFQ26" s="235"/>
      <c r="AFR26" s="235"/>
      <c r="AFS26" s="235"/>
      <c r="AFT26" s="235"/>
      <c r="AFU26" s="235"/>
      <c r="AFV26" s="235"/>
      <c r="AFW26" s="235"/>
      <c r="AFX26" s="235"/>
      <c r="AFY26" s="235"/>
      <c r="AFZ26" s="235"/>
      <c r="AGA26" s="235"/>
      <c r="AGB26" s="235"/>
      <c r="AGC26" s="235"/>
      <c r="AGD26" s="235"/>
      <c r="AGE26" s="235"/>
      <c r="AGF26" s="235"/>
      <c r="AGG26" s="235"/>
      <c r="AGH26" s="235"/>
      <c r="AGI26" s="235"/>
      <c r="AGJ26" s="235"/>
      <c r="AGK26" s="235"/>
      <c r="AGL26" s="235"/>
      <c r="AGM26" s="235"/>
      <c r="AGN26" s="235"/>
      <c r="AGO26" s="235"/>
      <c r="AGP26" s="235"/>
      <c r="AGQ26" s="235"/>
      <c r="AGR26" s="235"/>
      <c r="AGS26" s="235"/>
      <c r="AGT26" s="235"/>
      <c r="AGU26" s="235"/>
      <c r="AGV26" s="235"/>
      <c r="AGW26" s="235"/>
      <c r="AGX26" s="235"/>
      <c r="AGY26" s="235"/>
      <c r="AGZ26" s="235"/>
      <c r="AHA26" s="235"/>
      <c r="AHB26" s="235"/>
      <c r="AHC26" s="235"/>
      <c r="AHD26" s="235"/>
      <c r="AHE26" s="235"/>
      <c r="AHF26" s="235"/>
      <c r="AHG26" s="235"/>
      <c r="AHH26" s="235"/>
      <c r="AHI26" s="235"/>
      <c r="AHJ26" s="235"/>
      <c r="AHK26" s="235"/>
      <c r="AHL26" s="235"/>
      <c r="AHM26" s="235"/>
      <c r="AHN26" s="235"/>
      <c r="AHO26" s="235"/>
      <c r="AHP26" s="235"/>
      <c r="AHQ26" s="235"/>
      <c r="AHR26" s="235"/>
      <c r="AHS26" s="235"/>
      <c r="AHT26" s="235"/>
      <c r="AHU26" s="235"/>
      <c r="AHV26" s="235"/>
      <c r="AHW26" s="235"/>
      <c r="AHX26" s="235"/>
      <c r="AHY26" s="235"/>
      <c r="AHZ26" s="235"/>
      <c r="AIA26" s="235"/>
      <c r="AIB26" s="235"/>
      <c r="AIC26" s="235"/>
      <c r="AID26" s="235"/>
      <c r="AIE26" s="235"/>
      <c r="AIF26" s="235"/>
      <c r="AIG26" s="235"/>
      <c r="AIH26" s="235"/>
      <c r="AII26" s="235"/>
      <c r="AIJ26" s="235"/>
      <c r="AIK26" s="235"/>
      <c r="AIL26" s="235"/>
      <c r="AIM26" s="235"/>
      <c r="AIN26" s="235"/>
      <c r="AIO26" s="235"/>
      <c r="AIP26" s="235"/>
      <c r="AIQ26" s="235"/>
      <c r="AIR26" s="235"/>
      <c r="AIS26" s="235"/>
      <c r="AIT26" s="235"/>
      <c r="AIU26" s="235"/>
      <c r="AIV26" s="235"/>
      <c r="AIW26" s="235"/>
      <c r="AIX26" s="235"/>
      <c r="AIY26" s="235"/>
      <c r="AIZ26" s="235"/>
      <c r="AJA26" s="235"/>
      <c r="AJB26" s="235"/>
      <c r="AJC26" s="235"/>
      <c r="AJD26" s="235"/>
      <c r="AJE26" s="235"/>
      <c r="AJF26" s="235"/>
      <c r="AJG26" s="235"/>
      <c r="AJH26" s="235"/>
      <c r="AJI26" s="235"/>
      <c r="AJJ26" s="235"/>
      <c r="AJK26" s="235"/>
      <c r="AJL26" s="235"/>
      <c r="AJM26" s="235"/>
      <c r="AJN26" s="235"/>
      <c r="AJO26" s="235"/>
      <c r="AJP26" s="235"/>
      <c r="AJQ26" s="235"/>
      <c r="AJR26" s="235"/>
      <c r="AJS26" s="235"/>
      <c r="AJT26" s="235"/>
      <c r="AJU26" s="235"/>
      <c r="AJV26" s="235"/>
      <c r="AJW26" s="235"/>
      <c r="AJX26" s="235"/>
      <c r="AJY26" s="235"/>
      <c r="AJZ26" s="235"/>
      <c r="AKA26" s="235"/>
      <c r="AKB26" s="235"/>
      <c r="AKC26" s="235"/>
      <c r="AKD26" s="235"/>
      <c r="AKE26" s="235"/>
      <c r="AKF26" s="235"/>
      <c r="AKG26" s="235"/>
      <c r="AKH26" s="235"/>
      <c r="AKI26" s="235"/>
      <c r="AKJ26" s="235"/>
      <c r="AKK26" s="235"/>
      <c r="AKL26" s="235"/>
      <c r="AKM26" s="235"/>
      <c r="AKN26" s="235"/>
      <c r="AKO26" s="235"/>
      <c r="AKP26" s="235"/>
      <c r="AKQ26" s="235"/>
      <c r="AKR26" s="235"/>
      <c r="AKS26" s="235"/>
      <c r="AKT26" s="235"/>
      <c r="AKU26" s="235"/>
      <c r="AKV26" s="235"/>
      <c r="AKW26" s="235"/>
      <c r="AKX26" s="235"/>
      <c r="AKY26" s="235"/>
      <c r="AKZ26" s="235"/>
      <c r="ALA26" s="235"/>
      <c r="ALB26" s="235"/>
      <c r="ALC26" s="235"/>
      <c r="ALD26" s="235"/>
      <c r="ALE26" s="235"/>
      <c r="ALF26" s="235"/>
      <c r="ALG26" s="235"/>
      <c r="ALH26" s="235"/>
      <c r="ALI26" s="235"/>
      <c r="ALJ26" s="235"/>
      <c r="ALK26" s="235"/>
      <c r="ALL26" s="235"/>
      <c r="ALM26" s="235"/>
      <c r="ALN26" s="235"/>
      <c r="ALO26" s="235"/>
      <c r="ALP26" s="235"/>
      <c r="ALQ26" s="235"/>
      <c r="ALR26" s="235"/>
      <c r="ALS26" s="235"/>
      <c r="ALT26" s="235"/>
      <c r="ALU26" s="235"/>
      <c r="ALV26" s="235"/>
      <c r="ALW26" s="235"/>
      <c r="ALX26" s="235"/>
      <c r="ALY26" s="235"/>
      <c r="ALZ26" s="235"/>
      <c r="AMA26" s="235"/>
      <c r="AMB26" s="235"/>
      <c r="AMC26" s="235"/>
      <c r="AMD26" s="235"/>
      <c r="AME26" s="235"/>
      <c r="AMF26" s="235"/>
      <c r="AMG26" s="235"/>
      <c r="AMH26" s="235"/>
      <c r="AMI26" s="235"/>
      <c r="AMJ26" s="235"/>
      <c r="AMK26" s="235"/>
      <c r="AML26" s="235"/>
      <c r="AMM26" s="235"/>
      <c r="AMN26" s="235"/>
      <c r="AMO26" s="235"/>
      <c r="AMP26" s="235"/>
      <c r="AMQ26" s="235"/>
      <c r="AMR26" s="235"/>
      <c r="AMS26" s="235"/>
      <c r="AMT26" s="235"/>
      <c r="AMU26" s="235"/>
      <c r="AMV26" s="235"/>
      <c r="AMW26" s="235"/>
      <c r="AMX26" s="235"/>
      <c r="AMY26" s="235"/>
      <c r="AMZ26" s="235"/>
      <c r="ANA26" s="235"/>
      <c r="ANB26" s="235"/>
      <c r="ANC26" s="235"/>
      <c r="AND26" s="235"/>
      <c r="ANE26" s="235"/>
      <c r="ANF26" s="235"/>
      <c r="ANG26" s="235"/>
      <c r="ANH26" s="235"/>
      <c r="ANI26" s="235"/>
      <c r="ANJ26" s="235"/>
      <c r="ANK26" s="235"/>
      <c r="ANL26" s="235"/>
      <c r="ANM26" s="235"/>
      <c r="ANN26" s="235"/>
      <c r="ANO26" s="235"/>
      <c r="ANP26" s="235"/>
      <c r="ANQ26" s="235"/>
      <c r="ANR26" s="235"/>
      <c r="ANS26" s="235"/>
      <c r="ANT26" s="235"/>
      <c r="ANU26" s="235"/>
      <c r="ANV26" s="235"/>
      <c r="ANW26" s="235"/>
      <c r="ANX26" s="235"/>
      <c r="ANY26" s="235"/>
      <c r="ANZ26" s="235"/>
      <c r="AOA26" s="235"/>
      <c r="AOB26" s="235"/>
      <c r="AOC26" s="235"/>
      <c r="AOD26" s="235"/>
      <c r="AOE26" s="235"/>
      <c r="AOF26" s="235"/>
      <c r="AOG26" s="235"/>
      <c r="AOH26" s="235"/>
      <c r="AOI26" s="235"/>
      <c r="AOJ26" s="235"/>
      <c r="AOK26" s="235"/>
      <c r="AOL26" s="235"/>
      <c r="AOM26" s="235"/>
      <c r="AON26" s="235"/>
      <c r="AOO26" s="235"/>
      <c r="AOP26" s="235"/>
      <c r="AOQ26" s="235"/>
      <c r="AOR26" s="235"/>
      <c r="AOS26" s="235"/>
      <c r="AOT26" s="235"/>
      <c r="AOU26" s="235"/>
      <c r="AOV26" s="235"/>
      <c r="AOW26" s="235"/>
      <c r="AOX26" s="235"/>
      <c r="AOY26" s="235"/>
      <c r="AOZ26" s="235"/>
      <c r="APA26" s="235"/>
      <c r="APB26" s="235"/>
      <c r="APC26" s="235"/>
      <c r="APD26" s="235"/>
      <c r="APE26" s="235"/>
      <c r="APF26" s="235"/>
      <c r="APG26" s="235"/>
      <c r="APH26" s="235"/>
      <c r="API26" s="235"/>
      <c r="APJ26" s="235"/>
      <c r="APK26" s="235"/>
      <c r="APL26" s="235"/>
      <c r="APM26" s="235"/>
      <c r="APN26" s="235"/>
      <c r="APO26" s="235"/>
      <c r="APP26" s="235"/>
      <c r="APQ26" s="235"/>
      <c r="APR26" s="235"/>
      <c r="APS26" s="235"/>
      <c r="APT26" s="235"/>
      <c r="APU26" s="235"/>
      <c r="APV26" s="235"/>
      <c r="APW26" s="235"/>
      <c r="APX26" s="235"/>
      <c r="APY26" s="235"/>
      <c r="APZ26" s="235"/>
      <c r="AQA26" s="235"/>
      <c r="AQB26" s="235"/>
      <c r="AQC26" s="235"/>
      <c r="AQD26" s="235"/>
      <c r="AQE26" s="235"/>
      <c r="AQF26" s="235"/>
      <c r="AQG26" s="235"/>
      <c r="AQH26" s="235"/>
      <c r="AQI26" s="235"/>
      <c r="AQJ26" s="235"/>
      <c r="AQK26" s="235"/>
      <c r="AQL26" s="235"/>
      <c r="AQM26" s="235"/>
      <c r="AQN26" s="235"/>
      <c r="AQO26" s="235"/>
      <c r="AQP26" s="235"/>
      <c r="AQQ26" s="235"/>
      <c r="AQR26" s="235"/>
      <c r="AQS26" s="235"/>
      <c r="AQT26" s="235"/>
      <c r="AQU26" s="235"/>
      <c r="AQV26" s="235"/>
      <c r="AQW26" s="235"/>
      <c r="AQX26" s="235"/>
      <c r="AQY26" s="235"/>
      <c r="AQZ26" s="235"/>
      <c r="ARA26" s="235"/>
      <c r="ARB26" s="235"/>
      <c r="ARC26" s="235"/>
      <c r="ARD26" s="235"/>
      <c r="ARE26" s="235"/>
      <c r="ARF26" s="235"/>
      <c r="ARG26" s="235"/>
      <c r="ARH26" s="235"/>
      <c r="ARI26" s="235"/>
      <c r="ARJ26" s="235"/>
      <c r="ARK26" s="235"/>
      <c r="ARL26" s="235"/>
      <c r="ARM26" s="235"/>
      <c r="ARN26" s="235"/>
      <c r="ARO26" s="235"/>
      <c r="ARP26" s="235"/>
      <c r="ARQ26" s="235"/>
      <c r="ARR26" s="235"/>
      <c r="ARS26" s="235"/>
      <c r="ART26" s="235"/>
      <c r="ARU26" s="235"/>
      <c r="ARV26" s="235"/>
      <c r="ARW26" s="235"/>
      <c r="ARX26" s="235"/>
      <c r="ARY26" s="235"/>
      <c r="ARZ26" s="235"/>
      <c r="ASA26" s="235"/>
      <c r="ASB26" s="235"/>
      <c r="ASC26" s="235"/>
      <c r="ASD26" s="235"/>
      <c r="ASE26" s="235"/>
      <c r="ASF26" s="235"/>
      <c r="ASG26" s="235"/>
      <c r="ASH26" s="235"/>
      <c r="ASI26" s="235"/>
      <c r="ASJ26" s="235"/>
      <c r="ASK26" s="235"/>
      <c r="ASL26" s="235"/>
      <c r="ASM26" s="235"/>
      <c r="ASN26" s="235"/>
      <c r="ASO26" s="235"/>
      <c r="ASP26" s="235"/>
      <c r="ASQ26" s="235"/>
      <c r="ASR26" s="235"/>
      <c r="ASS26" s="235"/>
      <c r="AST26" s="235"/>
      <c r="ASU26" s="235"/>
      <c r="ASV26" s="235"/>
      <c r="ASW26" s="235"/>
      <c r="ASX26" s="235"/>
      <c r="ASY26" s="235"/>
      <c r="ASZ26" s="235"/>
      <c r="ATA26" s="235"/>
      <c r="ATB26" s="235"/>
      <c r="ATC26" s="235"/>
      <c r="ATD26" s="235"/>
      <c r="ATE26" s="235"/>
      <c r="ATF26" s="235"/>
      <c r="ATG26" s="235"/>
      <c r="ATH26" s="235"/>
      <c r="ATI26" s="235"/>
      <c r="ATJ26" s="235"/>
      <c r="ATK26" s="235"/>
      <c r="ATL26" s="235"/>
      <c r="ATM26" s="235"/>
      <c r="ATN26" s="235"/>
      <c r="ATO26" s="235"/>
      <c r="ATP26" s="235"/>
      <c r="ATQ26" s="235"/>
      <c r="ATR26" s="235"/>
      <c r="ATS26" s="235"/>
      <c r="ATT26" s="235"/>
      <c r="ATU26" s="235"/>
      <c r="ATV26" s="235"/>
      <c r="ATW26" s="235"/>
      <c r="ATX26" s="235"/>
      <c r="ATY26" s="235"/>
      <c r="ATZ26" s="235"/>
      <c r="AUA26" s="235"/>
      <c r="AUB26" s="235"/>
      <c r="AUC26" s="235"/>
      <c r="AUD26" s="235"/>
      <c r="AUE26" s="235"/>
      <c r="AUF26" s="235"/>
      <c r="AUG26" s="235"/>
      <c r="AUH26" s="235"/>
      <c r="AUI26" s="235"/>
      <c r="AUJ26" s="235"/>
      <c r="AUK26" s="235"/>
      <c r="AUL26" s="235"/>
      <c r="AUM26" s="235"/>
      <c r="AUN26" s="235"/>
      <c r="AUO26" s="235"/>
      <c r="AUP26" s="235"/>
      <c r="AUQ26" s="235"/>
      <c r="AUR26" s="235"/>
      <c r="AUS26" s="235"/>
      <c r="AUT26" s="235"/>
      <c r="AUU26" s="235"/>
      <c r="AUV26" s="235"/>
      <c r="AUW26" s="235"/>
      <c r="AUX26" s="235"/>
      <c r="AUY26" s="235"/>
      <c r="AUZ26" s="235"/>
      <c r="AVA26" s="235"/>
      <c r="AVB26" s="235"/>
      <c r="AVC26" s="235"/>
      <c r="AVD26" s="235"/>
      <c r="AVE26" s="235"/>
      <c r="AVF26" s="235"/>
      <c r="AVG26" s="235"/>
      <c r="AVH26" s="235"/>
      <c r="AVI26" s="235"/>
      <c r="AVJ26" s="235"/>
      <c r="AVK26" s="235"/>
      <c r="AVL26" s="235"/>
      <c r="AVM26" s="235"/>
      <c r="AVN26" s="235"/>
      <c r="AVO26" s="235"/>
      <c r="AVP26" s="235"/>
      <c r="AVQ26" s="235"/>
      <c r="AVR26" s="235"/>
      <c r="AVS26" s="235"/>
      <c r="AVT26" s="235"/>
      <c r="AVU26" s="235"/>
      <c r="AVV26" s="235"/>
      <c r="AVW26" s="235"/>
      <c r="AVX26" s="235"/>
      <c r="AVY26" s="235"/>
      <c r="AVZ26" s="235"/>
      <c r="AWA26" s="235"/>
      <c r="AWB26" s="235"/>
      <c r="AWC26" s="235"/>
      <c r="AWD26" s="235"/>
      <c r="AWE26" s="235"/>
      <c r="AWF26" s="235"/>
      <c r="AWG26" s="235"/>
      <c r="AWH26" s="235"/>
      <c r="AWI26" s="235"/>
      <c r="AWJ26" s="235"/>
      <c r="AWK26" s="235"/>
      <c r="AWL26" s="235"/>
      <c r="AWM26" s="235"/>
      <c r="AWN26" s="235"/>
      <c r="AWO26" s="235"/>
      <c r="AWP26" s="235"/>
      <c r="AWQ26" s="235"/>
      <c r="AWR26" s="235"/>
      <c r="AWS26" s="235"/>
      <c r="AWT26" s="235"/>
      <c r="AWU26" s="235"/>
      <c r="AWV26" s="235"/>
      <c r="AWW26" s="235"/>
      <c r="AWX26" s="235"/>
      <c r="AWY26" s="235"/>
      <c r="AWZ26" s="235"/>
      <c r="AXA26" s="235"/>
      <c r="AXB26" s="235"/>
      <c r="AXC26" s="235"/>
      <c r="AXD26" s="235"/>
      <c r="AXE26" s="235"/>
      <c r="AXF26" s="235"/>
      <c r="AXG26" s="235"/>
      <c r="AXH26" s="235"/>
      <c r="AXI26" s="235"/>
      <c r="AXJ26" s="235"/>
      <c r="AXK26" s="235"/>
      <c r="AXL26" s="235"/>
      <c r="AXM26" s="235"/>
      <c r="AXN26" s="235"/>
      <c r="AXO26" s="235"/>
      <c r="AXP26" s="235"/>
      <c r="AXQ26" s="235"/>
      <c r="AXR26" s="235"/>
      <c r="AXS26" s="235"/>
      <c r="AXT26" s="235"/>
      <c r="AXU26" s="235"/>
      <c r="AXV26" s="235"/>
      <c r="AXW26" s="235"/>
      <c r="AXX26" s="235"/>
      <c r="AXY26" s="235"/>
      <c r="AXZ26" s="235"/>
      <c r="AYA26" s="235"/>
      <c r="AYB26" s="235"/>
      <c r="AYC26" s="235"/>
      <c r="AYD26" s="235"/>
      <c r="AYE26" s="235"/>
      <c r="AYF26" s="235"/>
      <c r="AYG26" s="235"/>
      <c r="AYH26" s="235"/>
      <c r="AYI26" s="235"/>
      <c r="AYJ26" s="235"/>
      <c r="AYK26" s="235"/>
      <c r="AYL26" s="235"/>
      <c r="AYM26" s="235"/>
      <c r="AYN26" s="235"/>
      <c r="AYO26" s="235"/>
      <c r="AYP26" s="235"/>
      <c r="AYQ26" s="235"/>
      <c r="AYR26" s="235"/>
      <c r="AYS26" s="235"/>
      <c r="AYT26" s="235"/>
      <c r="AYU26" s="235"/>
      <c r="AYV26" s="235"/>
      <c r="AYW26" s="235"/>
      <c r="AYX26" s="235"/>
      <c r="AYY26" s="235"/>
      <c r="AYZ26" s="235"/>
      <c r="AZA26" s="235"/>
      <c r="AZB26" s="235"/>
      <c r="AZC26" s="235"/>
      <c r="AZD26" s="235"/>
      <c r="AZE26" s="235"/>
      <c r="AZF26" s="235"/>
      <c r="AZG26" s="235"/>
      <c r="AZH26" s="235"/>
      <c r="AZI26" s="235"/>
      <c r="AZJ26" s="235"/>
      <c r="AZK26" s="235"/>
      <c r="AZL26" s="235"/>
      <c r="AZM26" s="235"/>
      <c r="AZN26" s="235"/>
      <c r="AZO26" s="235"/>
      <c r="AZP26" s="235"/>
      <c r="AZQ26" s="235"/>
      <c r="AZR26" s="235"/>
      <c r="AZS26" s="235"/>
      <c r="AZT26" s="235"/>
      <c r="AZU26" s="235"/>
      <c r="AZV26" s="235"/>
      <c r="AZW26" s="235"/>
      <c r="AZX26" s="235"/>
      <c r="AZY26" s="235"/>
      <c r="AZZ26" s="235"/>
      <c r="BAA26" s="235"/>
      <c r="BAB26" s="235"/>
      <c r="BAC26" s="235"/>
      <c r="BAD26" s="235"/>
      <c r="BAE26" s="235"/>
      <c r="BAF26" s="235"/>
      <c r="BAG26" s="235"/>
      <c r="BAH26" s="235"/>
      <c r="BAI26" s="235"/>
      <c r="BAJ26" s="235"/>
      <c r="BAK26" s="235"/>
      <c r="BAL26" s="235"/>
      <c r="BAM26" s="235"/>
      <c r="BAN26" s="235"/>
      <c r="BAO26" s="235"/>
      <c r="BAP26" s="235"/>
      <c r="BAQ26" s="235"/>
      <c r="BAR26" s="235"/>
      <c r="BAS26" s="235"/>
      <c r="BAT26" s="235"/>
      <c r="BAU26" s="235"/>
      <c r="BAV26" s="235"/>
      <c r="BAW26" s="235"/>
      <c r="BAX26" s="235"/>
      <c r="BAY26" s="235"/>
      <c r="BAZ26" s="235"/>
      <c r="BBA26" s="235"/>
      <c r="BBB26" s="235"/>
      <c r="BBC26" s="235"/>
      <c r="BBD26" s="235"/>
      <c r="BBE26" s="235"/>
      <c r="BBF26" s="235"/>
      <c r="BBG26" s="235"/>
      <c r="BBH26" s="235"/>
      <c r="BBI26" s="235"/>
      <c r="BBJ26" s="235"/>
      <c r="BBK26" s="235"/>
      <c r="BBL26" s="235"/>
      <c r="BBM26" s="235"/>
      <c r="BBN26" s="235"/>
      <c r="BBO26" s="235"/>
      <c r="BBP26" s="235"/>
      <c r="BBQ26" s="235"/>
      <c r="BBR26" s="235"/>
      <c r="BBS26" s="235"/>
      <c r="BBT26" s="235"/>
      <c r="BBU26" s="235"/>
      <c r="BBV26" s="235"/>
      <c r="BBW26" s="235"/>
      <c r="BBX26" s="235"/>
      <c r="BBY26" s="235"/>
      <c r="BBZ26" s="235"/>
      <c r="BCA26" s="235"/>
      <c r="BCB26" s="235"/>
      <c r="BCC26" s="235"/>
      <c r="BCD26" s="235"/>
      <c r="BCE26" s="235"/>
      <c r="BCF26" s="235"/>
      <c r="BCG26" s="235"/>
      <c r="BCH26" s="235"/>
      <c r="BCI26" s="235"/>
      <c r="BCJ26" s="235"/>
      <c r="BCK26" s="235"/>
      <c r="BCL26" s="235"/>
      <c r="BCM26" s="235"/>
      <c r="BCN26" s="235"/>
      <c r="BCO26" s="235"/>
      <c r="BCP26" s="235"/>
      <c r="BCQ26" s="235"/>
      <c r="BCR26" s="235"/>
      <c r="BCS26" s="235"/>
      <c r="BCT26" s="235"/>
      <c r="BCU26" s="235"/>
      <c r="BCV26" s="235"/>
      <c r="BCW26" s="235"/>
      <c r="BCX26" s="235"/>
      <c r="BCY26" s="235"/>
      <c r="BCZ26" s="235"/>
      <c r="BDA26" s="235"/>
      <c r="BDB26" s="235"/>
      <c r="BDC26" s="235"/>
      <c r="BDD26" s="235"/>
      <c r="BDE26" s="235"/>
      <c r="BDF26" s="235"/>
      <c r="BDG26" s="235"/>
      <c r="BDH26" s="235"/>
      <c r="BDI26" s="235"/>
      <c r="BDJ26" s="235"/>
      <c r="BDK26" s="235"/>
      <c r="BDL26" s="235"/>
      <c r="BDM26" s="235"/>
      <c r="BDN26" s="235"/>
      <c r="BDO26" s="235"/>
      <c r="BDP26" s="235"/>
      <c r="BDQ26" s="235"/>
      <c r="BDR26" s="235"/>
      <c r="BDS26" s="235"/>
      <c r="BDT26" s="235"/>
      <c r="BDU26" s="235"/>
      <c r="BDV26" s="235"/>
      <c r="BDW26" s="235"/>
      <c r="BDX26" s="235"/>
      <c r="BDY26" s="235"/>
      <c r="BDZ26" s="235"/>
      <c r="BEA26" s="235"/>
      <c r="BEB26" s="235"/>
      <c r="BEC26" s="235"/>
      <c r="BED26" s="235"/>
      <c r="BEE26" s="235"/>
      <c r="BEF26" s="235"/>
      <c r="BEG26" s="235"/>
      <c r="BEH26" s="235"/>
      <c r="BEI26" s="235"/>
      <c r="BEJ26" s="235"/>
      <c r="BEK26" s="235"/>
      <c r="BEL26" s="235"/>
      <c r="BEM26" s="235"/>
      <c r="BEN26" s="235"/>
      <c r="BEO26" s="235"/>
      <c r="BEP26" s="235"/>
      <c r="BEQ26" s="235"/>
      <c r="BER26" s="235"/>
      <c r="BES26" s="235"/>
      <c r="BET26" s="235"/>
      <c r="BEU26" s="235"/>
      <c r="BEV26" s="235"/>
      <c r="BEW26" s="235"/>
      <c r="BEX26" s="235"/>
      <c r="BEY26" s="235"/>
      <c r="BEZ26" s="235"/>
      <c r="BFA26" s="235"/>
      <c r="BFB26" s="235"/>
      <c r="BFC26" s="235"/>
      <c r="BFD26" s="235"/>
      <c r="BFE26" s="235"/>
      <c r="BFF26" s="235"/>
      <c r="BFG26" s="235"/>
      <c r="BFH26" s="235"/>
      <c r="BFI26" s="235"/>
      <c r="BFJ26" s="235"/>
      <c r="BFK26" s="235"/>
      <c r="BFL26" s="235"/>
      <c r="BFM26" s="235"/>
      <c r="BFN26" s="235"/>
      <c r="BFO26" s="235"/>
      <c r="BFP26" s="235"/>
      <c r="BFQ26" s="235"/>
      <c r="BFR26" s="235"/>
      <c r="BFS26" s="235"/>
      <c r="BFT26" s="235"/>
      <c r="BFU26" s="235"/>
      <c r="BFV26" s="235"/>
      <c r="BFW26" s="235"/>
      <c r="BFX26" s="235"/>
      <c r="BFY26" s="235"/>
      <c r="BFZ26" s="235"/>
      <c r="BGA26" s="235"/>
      <c r="BGB26" s="235"/>
      <c r="BGC26" s="235"/>
      <c r="BGD26" s="235"/>
      <c r="BGE26" s="235"/>
      <c r="BGF26" s="235"/>
      <c r="BGG26" s="235"/>
      <c r="BGH26" s="235"/>
      <c r="BGI26" s="235"/>
      <c r="BGJ26" s="235"/>
      <c r="BGK26" s="235"/>
      <c r="BGL26" s="235"/>
      <c r="BGM26" s="235"/>
      <c r="BGN26" s="235"/>
      <c r="BGO26" s="235"/>
      <c r="BGP26" s="235"/>
      <c r="BGQ26" s="235"/>
      <c r="BGR26" s="235"/>
      <c r="BGS26" s="235"/>
      <c r="BGT26" s="235"/>
      <c r="BGU26" s="235"/>
      <c r="BGV26" s="235"/>
      <c r="BGW26" s="235"/>
      <c r="BGX26" s="235"/>
      <c r="BGY26" s="235"/>
      <c r="BGZ26" s="235"/>
      <c r="BHA26" s="235"/>
      <c r="BHB26" s="235"/>
      <c r="BHC26" s="235"/>
      <c r="BHD26" s="235"/>
      <c r="BHE26" s="235"/>
      <c r="BHF26" s="235"/>
      <c r="BHG26" s="235"/>
      <c r="BHH26" s="235"/>
      <c r="BHI26" s="235"/>
      <c r="BHJ26" s="235"/>
      <c r="BHK26" s="235"/>
      <c r="BHL26" s="235"/>
      <c r="BHM26" s="235"/>
      <c r="BHN26" s="235"/>
      <c r="BHO26" s="235"/>
      <c r="BHP26" s="235"/>
      <c r="BHQ26" s="235"/>
      <c r="BHR26" s="235"/>
      <c r="BHS26" s="235"/>
      <c r="BHT26" s="235"/>
      <c r="BHU26" s="235"/>
      <c r="BHV26" s="235"/>
      <c r="BHW26" s="235"/>
      <c r="BHX26" s="235"/>
      <c r="BHY26" s="235"/>
      <c r="BHZ26" s="235"/>
      <c r="BIA26" s="235"/>
      <c r="BIB26" s="235"/>
      <c r="BIC26" s="235"/>
      <c r="BID26" s="235"/>
      <c r="BIE26" s="235"/>
      <c r="BIF26" s="235"/>
      <c r="BIG26" s="235"/>
      <c r="BIH26" s="235"/>
      <c r="BII26" s="235"/>
      <c r="BIJ26" s="235"/>
      <c r="BIK26" s="235"/>
      <c r="BIL26" s="235"/>
      <c r="BIM26" s="235"/>
      <c r="BIN26" s="235"/>
      <c r="BIO26" s="235"/>
      <c r="BIP26" s="235"/>
      <c r="BIQ26" s="235"/>
      <c r="BIR26" s="235"/>
      <c r="BIS26" s="235"/>
      <c r="BIT26" s="235"/>
      <c r="BIU26" s="235"/>
      <c r="BIV26" s="235"/>
      <c r="BIW26" s="235"/>
      <c r="BIX26" s="235"/>
      <c r="BIY26" s="235"/>
      <c r="BIZ26" s="235"/>
      <c r="BJA26" s="235"/>
      <c r="BJB26" s="235"/>
      <c r="BJC26" s="235"/>
      <c r="BJD26" s="235"/>
      <c r="BJE26" s="235"/>
      <c r="BJF26" s="235"/>
      <c r="BJG26" s="235"/>
      <c r="BJH26" s="235"/>
      <c r="BJI26" s="235"/>
      <c r="BJJ26" s="235"/>
      <c r="BJK26" s="235"/>
      <c r="BJL26" s="235"/>
      <c r="BJM26" s="235"/>
      <c r="BJN26" s="235"/>
      <c r="BJO26" s="235"/>
      <c r="BJP26" s="235"/>
      <c r="BJQ26" s="235"/>
      <c r="BJR26" s="235"/>
      <c r="BJS26" s="235"/>
      <c r="BJT26" s="235"/>
      <c r="BJU26" s="235"/>
      <c r="BJV26" s="235"/>
      <c r="BJW26" s="235"/>
      <c r="BJX26" s="235"/>
      <c r="BJY26" s="235"/>
      <c r="BJZ26" s="235"/>
      <c r="BKA26" s="235"/>
      <c r="BKB26" s="235"/>
      <c r="BKC26" s="235"/>
      <c r="BKD26" s="235"/>
      <c r="BKE26" s="235"/>
      <c r="BKF26" s="235"/>
      <c r="BKG26" s="235"/>
      <c r="BKH26" s="235"/>
      <c r="BKI26" s="235"/>
      <c r="BKJ26" s="235"/>
      <c r="BKK26" s="235"/>
      <c r="BKL26" s="235"/>
      <c r="BKM26" s="235"/>
      <c r="BKN26" s="235"/>
      <c r="BKO26" s="235"/>
      <c r="BKP26" s="235"/>
      <c r="BKQ26" s="235"/>
      <c r="BKR26" s="235"/>
      <c r="BKS26" s="235"/>
      <c r="BKT26" s="235"/>
      <c r="BKU26" s="235"/>
      <c r="BKV26" s="235"/>
      <c r="BKW26" s="235"/>
      <c r="BKX26" s="235"/>
      <c r="BKY26" s="235"/>
      <c r="BKZ26" s="235"/>
      <c r="BLA26" s="235"/>
      <c r="BLB26" s="235"/>
      <c r="BLC26" s="235"/>
      <c r="BLD26" s="235"/>
      <c r="BLE26" s="235"/>
      <c r="BLF26" s="235"/>
      <c r="BLG26" s="235"/>
      <c r="BLH26" s="235"/>
      <c r="BLI26" s="235"/>
      <c r="BLJ26" s="235"/>
      <c r="BLK26" s="235"/>
      <c r="BLL26" s="235"/>
      <c r="BLM26" s="235"/>
      <c r="BLN26" s="235"/>
      <c r="BLO26" s="235"/>
      <c r="BLP26" s="235"/>
      <c r="BLQ26" s="235"/>
      <c r="BLR26" s="235"/>
      <c r="BLS26" s="235"/>
      <c r="BLT26" s="235"/>
      <c r="BLU26" s="235"/>
      <c r="BLV26" s="235"/>
      <c r="BLW26" s="235"/>
      <c r="BLX26" s="235"/>
      <c r="BLY26" s="235"/>
      <c r="BLZ26" s="235"/>
      <c r="BMA26" s="235"/>
      <c r="BMB26" s="235"/>
      <c r="BMC26" s="235"/>
      <c r="BMD26" s="235"/>
      <c r="BME26" s="235"/>
      <c r="BMF26" s="235"/>
      <c r="BMG26" s="235"/>
      <c r="BMH26" s="235"/>
      <c r="BMI26" s="235"/>
      <c r="BMJ26" s="235"/>
      <c r="BMK26" s="235"/>
      <c r="BML26" s="235"/>
      <c r="BMM26" s="235"/>
      <c r="BMN26" s="235"/>
      <c r="BMO26" s="235"/>
      <c r="BMP26" s="235"/>
      <c r="BMQ26" s="235"/>
      <c r="BMR26" s="235"/>
      <c r="BMS26" s="235"/>
      <c r="BMT26" s="235"/>
      <c r="BMU26" s="235"/>
      <c r="BMV26" s="235"/>
      <c r="BMW26" s="235"/>
      <c r="BMX26" s="235"/>
      <c r="BMY26" s="235"/>
      <c r="BMZ26" s="235"/>
      <c r="BNA26" s="235"/>
      <c r="BNB26" s="235"/>
      <c r="BNC26" s="235"/>
      <c r="BND26" s="235"/>
      <c r="BNE26" s="235"/>
      <c r="BNF26" s="235"/>
      <c r="BNG26" s="235"/>
      <c r="BNH26" s="235"/>
      <c r="BNI26" s="235"/>
      <c r="BNJ26" s="235"/>
      <c r="BNK26" s="235"/>
      <c r="BNL26" s="235"/>
      <c r="BNM26" s="235"/>
      <c r="BNN26" s="235"/>
      <c r="BNO26" s="235"/>
      <c r="BNP26" s="235"/>
      <c r="BNQ26" s="235"/>
      <c r="BNR26" s="235"/>
      <c r="BNS26" s="235"/>
      <c r="BNT26" s="235"/>
      <c r="BNU26" s="235"/>
      <c r="BNV26" s="235"/>
      <c r="BNW26" s="235"/>
      <c r="BNX26" s="235"/>
      <c r="BNY26" s="235"/>
      <c r="BNZ26" s="235"/>
      <c r="BOA26" s="235"/>
      <c r="BOB26" s="235"/>
      <c r="BOC26" s="235"/>
      <c r="BOD26" s="235"/>
      <c r="BOE26" s="235"/>
      <c r="BOF26" s="235"/>
      <c r="BOG26" s="235"/>
      <c r="BOH26" s="235"/>
      <c r="BOI26" s="235"/>
      <c r="BOJ26" s="235"/>
      <c r="BOK26" s="235"/>
      <c r="BOL26" s="235"/>
      <c r="BOM26" s="235"/>
      <c r="BON26" s="235"/>
      <c r="BOO26" s="235"/>
      <c r="BOP26" s="235"/>
      <c r="BOQ26" s="235"/>
      <c r="BOR26" s="235"/>
      <c r="BOS26" s="235"/>
      <c r="BOT26" s="235"/>
      <c r="BOU26" s="235"/>
      <c r="BOV26" s="235"/>
      <c r="BOW26" s="235"/>
      <c r="BOX26" s="235"/>
      <c r="BOY26" s="235"/>
      <c r="BOZ26" s="235"/>
      <c r="BPA26" s="235"/>
      <c r="BPB26" s="235"/>
      <c r="BPC26" s="235"/>
      <c r="BPD26" s="235"/>
      <c r="BPE26" s="235"/>
      <c r="BPF26" s="235"/>
      <c r="BPG26" s="235"/>
      <c r="BPH26" s="235"/>
      <c r="BPI26" s="235"/>
      <c r="BPJ26" s="235"/>
      <c r="BPK26" s="235"/>
      <c r="BPL26" s="235"/>
      <c r="BPM26" s="235"/>
      <c r="BPN26" s="235"/>
      <c r="BPO26" s="235"/>
      <c r="BPP26" s="235"/>
      <c r="BPQ26" s="235"/>
      <c r="BPR26" s="235"/>
      <c r="BPS26" s="235"/>
      <c r="BPT26" s="235"/>
      <c r="BPU26" s="235"/>
      <c r="BPV26" s="235"/>
      <c r="BPW26" s="235"/>
      <c r="BPX26" s="235"/>
      <c r="BPY26" s="235"/>
      <c r="BPZ26" s="235"/>
      <c r="BQA26" s="235"/>
      <c r="BQB26" s="235"/>
      <c r="BQC26" s="235"/>
      <c r="BQD26" s="235"/>
      <c r="BQE26" s="235"/>
      <c r="BQF26" s="235"/>
      <c r="BQG26" s="235"/>
      <c r="BQH26" s="235"/>
      <c r="BQI26" s="235"/>
      <c r="BQJ26" s="235"/>
      <c r="BQK26" s="235"/>
      <c r="BQL26" s="235"/>
      <c r="BQM26" s="235"/>
      <c r="BQN26" s="235"/>
      <c r="BQO26" s="235"/>
      <c r="BQP26" s="235"/>
      <c r="BQQ26" s="235"/>
      <c r="BQR26" s="235"/>
      <c r="BQS26" s="235"/>
      <c r="BQT26" s="235"/>
      <c r="BQU26" s="235"/>
      <c r="BQV26" s="235"/>
      <c r="BQW26" s="235"/>
      <c r="BQX26" s="235"/>
      <c r="BQY26" s="235"/>
      <c r="BQZ26" s="235"/>
      <c r="BRA26" s="235"/>
      <c r="BRB26" s="235"/>
      <c r="BRC26" s="235"/>
      <c r="BRD26" s="235"/>
      <c r="BRE26" s="235"/>
      <c r="BRF26" s="235"/>
      <c r="BRG26" s="235"/>
      <c r="BRH26" s="235"/>
      <c r="BRI26" s="235"/>
      <c r="BRJ26" s="235"/>
      <c r="BRK26" s="235"/>
      <c r="BRL26" s="235"/>
      <c r="BRM26" s="235"/>
      <c r="BRN26" s="235"/>
      <c r="BRO26" s="235"/>
      <c r="BRP26" s="235"/>
      <c r="BRQ26" s="235"/>
      <c r="BRR26" s="235"/>
      <c r="BRS26" s="235"/>
      <c r="BRT26" s="235"/>
      <c r="BRU26" s="235"/>
      <c r="BRV26" s="235"/>
      <c r="BRW26" s="235"/>
      <c r="BRX26" s="235"/>
      <c r="BRY26" s="235"/>
      <c r="BRZ26" s="235"/>
      <c r="BSA26" s="235"/>
      <c r="BSB26" s="235"/>
      <c r="BSC26" s="235"/>
      <c r="BSD26" s="235"/>
      <c r="BSE26" s="235"/>
      <c r="BSF26" s="235"/>
      <c r="BSG26" s="235"/>
      <c r="BSH26" s="235"/>
      <c r="BSI26" s="235"/>
      <c r="BSJ26" s="235"/>
      <c r="BSK26" s="235"/>
      <c r="BSL26" s="235"/>
      <c r="BSM26" s="235"/>
      <c r="BSN26" s="235"/>
      <c r="BSO26" s="235"/>
      <c r="BSP26" s="235"/>
      <c r="BSQ26" s="235"/>
      <c r="BSR26" s="235"/>
      <c r="BSS26" s="235"/>
      <c r="BST26" s="235"/>
      <c r="BSU26" s="235"/>
      <c r="BSV26" s="235"/>
      <c r="BSW26" s="235"/>
      <c r="BSX26" s="235"/>
      <c r="BSY26" s="235"/>
      <c r="BSZ26" s="235"/>
      <c r="BTA26" s="235"/>
      <c r="BTB26" s="235"/>
      <c r="BTC26" s="235"/>
      <c r="BTD26" s="235"/>
      <c r="BTE26" s="235"/>
      <c r="BTF26" s="235"/>
      <c r="BTG26" s="235"/>
      <c r="BTH26" s="235"/>
      <c r="BTI26" s="235"/>
      <c r="BTJ26" s="235"/>
      <c r="BTK26" s="235"/>
      <c r="BTL26" s="235"/>
      <c r="BTM26" s="235"/>
      <c r="BTN26" s="235"/>
      <c r="BTO26" s="235"/>
      <c r="BTP26" s="235"/>
      <c r="BTQ26" s="235"/>
      <c r="BTR26" s="235"/>
      <c r="BTS26" s="235"/>
      <c r="BTT26" s="235"/>
      <c r="BTU26" s="235"/>
      <c r="BTV26" s="235"/>
      <c r="BTW26" s="235"/>
      <c r="BTX26" s="235"/>
      <c r="BTY26" s="235"/>
      <c r="BTZ26" s="235"/>
      <c r="BUA26" s="235"/>
      <c r="BUB26" s="235"/>
      <c r="BUC26" s="235"/>
      <c r="BUD26" s="235"/>
      <c r="BUE26" s="235"/>
      <c r="BUF26" s="235"/>
      <c r="BUG26" s="235"/>
      <c r="BUH26" s="235"/>
      <c r="BUI26" s="235"/>
      <c r="BUJ26" s="235"/>
      <c r="BUK26" s="235"/>
      <c r="BUL26" s="235"/>
      <c r="BUM26" s="235"/>
      <c r="BUN26" s="235"/>
      <c r="BUO26" s="235"/>
      <c r="BUP26" s="235"/>
      <c r="BUQ26" s="235"/>
      <c r="BUR26" s="235"/>
      <c r="BUS26" s="235"/>
      <c r="BUT26" s="235"/>
      <c r="BUU26" s="235"/>
      <c r="BUV26" s="235"/>
      <c r="BUW26" s="235"/>
      <c r="BUX26" s="235"/>
      <c r="BUY26" s="235"/>
      <c r="BUZ26" s="235"/>
      <c r="BVA26" s="235"/>
      <c r="BVB26" s="235"/>
      <c r="BVC26" s="235"/>
      <c r="BVD26" s="235"/>
      <c r="BVE26" s="235"/>
      <c r="BVF26" s="235"/>
      <c r="BVG26" s="235"/>
      <c r="BVH26" s="235"/>
      <c r="BVI26" s="235"/>
      <c r="BVJ26" s="235"/>
      <c r="BVK26" s="235"/>
      <c r="BVL26" s="235"/>
      <c r="BVM26" s="235"/>
      <c r="BVN26" s="235"/>
      <c r="BVO26" s="235"/>
      <c r="BVP26" s="235"/>
      <c r="BVQ26" s="235"/>
      <c r="BVR26" s="235"/>
      <c r="BVS26" s="235"/>
      <c r="BVT26" s="235"/>
      <c r="BVU26" s="235"/>
      <c r="BVV26" s="235"/>
      <c r="BVW26" s="235"/>
      <c r="BVX26" s="235"/>
      <c r="BVY26" s="235"/>
      <c r="BVZ26" s="235"/>
      <c r="BWA26" s="235"/>
      <c r="BWB26" s="235"/>
      <c r="BWC26" s="235"/>
      <c r="BWD26" s="235"/>
      <c r="BWE26" s="235"/>
      <c r="BWF26" s="235"/>
      <c r="BWG26" s="235"/>
      <c r="BWH26" s="235"/>
      <c r="BWI26" s="235"/>
      <c r="BWJ26" s="235"/>
      <c r="BWK26" s="235"/>
      <c r="BWL26" s="235"/>
      <c r="BWM26" s="235"/>
      <c r="BWN26" s="235"/>
      <c r="BWO26" s="235"/>
      <c r="BWP26" s="235"/>
      <c r="BWQ26" s="235"/>
      <c r="BWR26" s="235"/>
      <c r="BWS26" s="235"/>
      <c r="BWT26" s="235"/>
      <c r="BWU26" s="235"/>
      <c r="BWV26" s="235"/>
      <c r="BWW26" s="235"/>
      <c r="BWX26" s="235"/>
      <c r="BWY26" s="235"/>
      <c r="BWZ26" s="235"/>
      <c r="BXA26" s="235"/>
      <c r="BXB26" s="235"/>
      <c r="BXC26" s="235"/>
      <c r="BXD26" s="235"/>
      <c r="BXE26" s="235"/>
      <c r="BXF26" s="235"/>
      <c r="BXG26" s="235"/>
      <c r="BXH26" s="235"/>
      <c r="BXI26" s="235"/>
      <c r="BXJ26" s="235"/>
      <c r="BXK26" s="235"/>
      <c r="BXL26" s="235"/>
      <c r="BXM26" s="235"/>
      <c r="BXN26" s="235"/>
      <c r="BXO26" s="235"/>
      <c r="BXP26" s="235"/>
      <c r="BXQ26" s="235"/>
      <c r="BXR26" s="235"/>
      <c r="BXS26" s="235"/>
      <c r="BXT26" s="235"/>
      <c r="BXU26" s="235"/>
      <c r="BXV26" s="235"/>
      <c r="BXW26" s="235"/>
      <c r="BXX26" s="235"/>
      <c r="BXY26" s="235"/>
      <c r="BXZ26" s="235"/>
      <c r="BYA26" s="235"/>
      <c r="BYB26" s="235"/>
      <c r="BYC26" s="235"/>
      <c r="BYD26" s="235"/>
      <c r="BYE26" s="235"/>
      <c r="BYF26" s="235"/>
      <c r="BYG26" s="235"/>
      <c r="BYH26" s="235"/>
      <c r="BYI26" s="235"/>
      <c r="BYJ26" s="235"/>
      <c r="BYK26" s="235"/>
      <c r="BYL26" s="235"/>
      <c r="BYM26" s="235"/>
      <c r="BYN26" s="235"/>
      <c r="BYO26" s="235"/>
      <c r="BYP26" s="235"/>
      <c r="BYQ26" s="235"/>
      <c r="BYR26" s="235"/>
      <c r="BYS26" s="235"/>
      <c r="BYT26" s="235"/>
      <c r="BYU26" s="235"/>
      <c r="BYV26" s="235"/>
      <c r="BYW26" s="235"/>
      <c r="BYX26" s="235"/>
      <c r="BYY26" s="235"/>
      <c r="BYZ26" s="235"/>
      <c r="BZA26" s="235"/>
      <c r="BZB26" s="235"/>
      <c r="BZC26" s="235"/>
      <c r="BZD26" s="235"/>
      <c r="BZE26" s="235"/>
      <c r="BZF26" s="235"/>
      <c r="BZG26" s="235"/>
      <c r="BZH26" s="235"/>
      <c r="BZI26" s="235"/>
      <c r="BZJ26" s="235"/>
      <c r="BZK26" s="235"/>
      <c r="BZL26" s="235"/>
      <c r="BZM26" s="235"/>
      <c r="BZN26" s="235"/>
      <c r="BZO26" s="235"/>
      <c r="BZP26" s="235"/>
      <c r="BZQ26" s="235"/>
      <c r="BZR26" s="235"/>
      <c r="BZS26" s="235"/>
      <c r="BZT26" s="235"/>
      <c r="BZU26" s="235"/>
      <c r="BZV26" s="235"/>
      <c r="BZW26" s="235"/>
      <c r="BZX26" s="235"/>
      <c r="BZY26" s="235"/>
      <c r="BZZ26" s="235"/>
      <c r="CAA26" s="235"/>
      <c r="CAB26" s="235"/>
      <c r="CAC26" s="235"/>
      <c r="CAD26" s="235"/>
      <c r="CAE26" s="235"/>
      <c r="CAF26" s="235"/>
      <c r="CAG26" s="235"/>
      <c r="CAH26" s="235"/>
      <c r="CAI26" s="235"/>
      <c r="CAJ26" s="235"/>
      <c r="CAK26" s="235"/>
      <c r="CAL26" s="235"/>
      <c r="CAM26" s="235"/>
      <c r="CAN26" s="235"/>
      <c r="CAO26" s="235"/>
      <c r="CAP26" s="235"/>
      <c r="CAQ26" s="235"/>
      <c r="CAR26" s="235"/>
      <c r="CAS26" s="235"/>
      <c r="CAT26" s="235"/>
      <c r="CAU26" s="235"/>
      <c r="CAV26" s="235"/>
      <c r="CAW26" s="235"/>
      <c r="CAX26" s="235"/>
      <c r="CAY26" s="235"/>
      <c r="CAZ26" s="235"/>
      <c r="CBA26" s="235"/>
      <c r="CBB26" s="235"/>
      <c r="CBC26" s="235"/>
      <c r="CBD26" s="235"/>
      <c r="CBE26" s="235"/>
      <c r="CBF26" s="235"/>
      <c r="CBG26" s="235"/>
      <c r="CBH26" s="235"/>
      <c r="CBI26" s="235"/>
      <c r="CBJ26" s="235"/>
      <c r="CBK26" s="235"/>
      <c r="CBL26" s="235"/>
      <c r="CBM26" s="235"/>
      <c r="CBN26" s="235"/>
      <c r="CBO26" s="235"/>
      <c r="CBP26" s="235"/>
      <c r="CBQ26" s="235"/>
      <c r="CBR26" s="235"/>
      <c r="CBS26" s="235"/>
      <c r="CBT26" s="235"/>
      <c r="CBU26" s="235"/>
      <c r="CBV26" s="235"/>
      <c r="CBW26" s="235"/>
      <c r="CBX26" s="235"/>
      <c r="CBY26" s="235"/>
      <c r="CBZ26" s="235"/>
      <c r="CCA26" s="235"/>
      <c r="CCB26" s="235"/>
      <c r="CCC26" s="235"/>
      <c r="CCD26" s="235"/>
      <c r="CCE26" s="235"/>
      <c r="CCF26" s="235"/>
      <c r="CCG26" s="235"/>
      <c r="CCH26" s="235"/>
      <c r="CCI26" s="235"/>
      <c r="CCJ26" s="235"/>
      <c r="CCK26" s="235"/>
      <c r="CCL26" s="235"/>
      <c r="CCM26" s="235"/>
      <c r="CCN26" s="235"/>
      <c r="CCO26" s="235"/>
      <c r="CCP26" s="235"/>
      <c r="CCQ26" s="235"/>
      <c r="CCR26" s="235"/>
      <c r="CCS26" s="235"/>
      <c r="CCT26" s="235"/>
      <c r="CCU26" s="235"/>
      <c r="CCV26" s="235"/>
      <c r="CCW26" s="235"/>
      <c r="CCX26" s="235"/>
      <c r="CCY26" s="235"/>
      <c r="CCZ26" s="235"/>
      <c r="CDA26" s="235"/>
      <c r="CDB26" s="235"/>
      <c r="CDC26" s="235"/>
      <c r="CDD26" s="235"/>
      <c r="CDE26" s="235"/>
      <c r="CDF26" s="235"/>
      <c r="CDG26" s="235"/>
      <c r="CDH26" s="235"/>
      <c r="CDI26" s="235"/>
      <c r="CDJ26" s="235"/>
      <c r="CDK26" s="235"/>
      <c r="CDL26" s="235"/>
      <c r="CDM26" s="235"/>
      <c r="CDN26" s="235"/>
      <c r="CDO26" s="235"/>
      <c r="CDP26" s="235"/>
      <c r="CDQ26" s="235"/>
      <c r="CDR26" s="235"/>
      <c r="CDS26" s="235"/>
      <c r="CDT26" s="235"/>
      <c r="CDU26" s="235"/>
      <c r="CDV26" s="235"/>
      <c r="CDW26" s="235"/>
      <c r="CDX26" s="235"/>
      <c r="CDY26" s="235"/>
      <c r="CDZ26" s="235"/>
      <c r="CEA26" s="235"/>
      <c r="CEB26" s="235"/>
      <c r="CEC26" s="235"/>
      <c r="CED26" s="235"/>
      <c r="CEE26" s="235"/>
      <c r="CEF26" s="235"/>
      <c r="CEG26" s="235"/>
      <c r="CEH26" s="235"/>
      <c r="CEI26" s="235"/>
      <c r="CEJ26" s="235"/>
      <c r="CEK26" s="235"/>
      <c r="CEL26" s="235"/>
      <c r="CEM26" s="235"/>
      <c r="CEN26" s="235"/>
      <c r="CEO26" s="235"/>
      <c r="CEP26" s="235"/>
      <c r="CEQ26" s="235"/>
      <c r="CER26" s="235"/>
      <c r="CES26" s="235"/>
      <c r="CET26" s="235"/>
      <c r="CEU26" s="235"/>
      <c r="CEV26" s="235"/>
      <c r="CEW26" s="235"/>
      <c r="CEX26" s="235"/>
      <c r="CEY26" s="235"/>
      <c r="CEZ26" s="235"/>
      <c r="CFA26" s="235"/>
      <c r="CFB26" s="235"/>
      <c r="CFC26" s="235"/>
      <c r="CFD26" s="235"/>
      <c r="CFE26" s="235"/>
      <c r="CFF26" s="235"/>
      <c r="CFG26" s="235"/>
      <c r="CFH26" s="235"/>
      <c r="CFI26" s="235"/>
      <c r="CFJ26" s="235"/>
      <c r="CFK26" s="235"/>
      <c r="CFL26" s="235"/>
      <c r="CFM26" s="235"/>
      <c r="CFN26" s="235"/>
      <c r="CFO26" s="235"/>
      <c r="CFP26" s="235"/>
      <c r="CFQ26" s="235"/>
      <c r="CFR26" s="235"/>
      <c r="CFS26" s="235"/>
      <c r="CFT26" s="235"/>
      <c r="CFU26" s="235"/>
      <c r="CFV26" s="235"/>
      <c r="CFW26" s="235"/>
      <c r="CFX26" s="235"/>
      <c r="CFY26" s="235"/>
      <c r="CFZ26" s="235"/>
      <c r="CGA26" s="235"/>
      <c r="CGB26" s="235"/>
      <c r="CGC26" s="235"/>
      <c r="CGD26" s="235"/>
      <c r="CGE26" s="235"/>
      <c r="CGF26" s="235"/>
      <c r="CGG26" s="235"/>
      <c r="CGH26" s="235"/>
      <c r="CGI26" s="235"/>
      <c r="CGJ26" s="235"/>
      <c r="CGK26" s="235"/>
      <c r="CGL26" s="235"/>
      <c r="CGM26" s="235"/>
      <c r="CGN26" s="235"/>
      <c r="CGO26" s="235"/>
      <c r="CGP26" s="235"/>
      <c r="CGQ26" s="235"/>
      <c r="CGR26" s="235"/>
      <c r="CGS26" s="235"/>
      <c r="CGT26" s="235"/>
      <c r="CGU26" s="235"/>
      <c r="CGV26" s="235"/>
      <c r="CGW26" s="235"/>
      <c r="CGX26" s="235"/>
      <c r="CGY26" s="235"/>
      <c r="CGZ26" s="235"/>
      <c r="CHA26" s="235"/>
      <c r="CHB26" s="235"/>
      <c r="CHC26" s="235"/>
      <c r="CHD26" s="235"/>
      <c r="CHE26" s="235"/>
      <c r="CHF26" s="235"/>
      <c r="CHG26" s="235"/>
      <c r="CHH26" s="235"/>
      <c r="CHI26" s="235"/>
      <c r="CHJ26" s="235"/>
      <c r="CHK26" s="235"/>
      <c r="CHL26" s="235"/>
      <c r="CHM26" s="235"/>
      <c r="CHN26" s="235"/>
      <c r="CHO26" s="235"/>
      <c r="CHP26" s="235"/>
      <c r="CHQ26" s="235"/>
      <c r="CHR26" s="235"/>
      <c r="CHS26" s="235"/>
      <c r="CHT26" s="235"/>
      <c r="CHU26" s="235"/>
      <c r="CHV26" s="235"/>
      <c r="CHW26" s="235"/>
      <c r="CHX26" s="235"/>
      <c r="CHY26" s="235"/>
      <c r="CHZ26" s="235"/>
      <c r="CIA26" s="235"/>
      <c r="CIB26" s="235"/>
      <c r="CIC26" s="235"/>
      <c r="CID26" s="235"/>
      <c r="CIE26" s="235"/>
      <c r="CIF26" s="235"/>
      <c r="CIG26" s="235"/>
      <c r="CIH26" s="235"/>
      <c r="CII26" s="235"/>
      <c r="CIJ26" s="235"/>
      <c r="CIK26" s="235"/>
      <c r="CIL26" s="235"/>
      <c r="CIM26" s="235"/>
      <c r="CIN26" s="235"/>
      <c r="CIO26" s="235"/>
      <c r="CIP26" s="235"/>
      <c r="CIQ26" s="235"/>
      <c r="CIR26" s="235"/>
      <c r="CIS26" s="235"/>
      <c r="CIT26" s="235"/>
      <c r="CIU26" s="235"/>
      <c r="CIV26" s="235"/>
      <c r="CIW26" s="235"/>
      <c r="CIX26" s="235"/>
      <c r="CIY26" s="235"/>
      <c r="CIZ26" s="235"/>
      <c r="CJA26" s="235"/>
      <c r="CJB26" s="235"/>
      <c r="CJC26" s="235"/>
      <c r="CJD26" s="235"/>
      <c r="CJE26" s="235"/>
      <c r="CJF26" s="235"/>
      <c r="CJG26" s="235"/>
      <c r="CJH26" s="235"/>
      <c r="CJI26" s="235"/>
      <c r="CJJ26" s="235"/>
      <c r="CJK26" s="235"/>
      <c r="CJL26" s="235"/>
      <c r="CJM26" s="235"/>
      <c r="CJN26" s="235"/>
      <c r="CJO26" s="235"/>
      <c r="CJP26" s="235"/>
      <c r="CJQ26" s="235"/>
      <c r="CJR26" s="235"/>
      <c r="CJS26" s="235"/>
      <c r="CJT26" s="235"/>
      <c r="CJU26" s="235"/>
      <c r="CJV26" s="235"/>
      <c r="CJW26" s="235"/>
      <c r="CJX26" s="235"/>
      <c r="CJY26" s="235"/>
      <c r="CJZ26" s="235"/>
      <c r="CKA26" s="235"/>
      <c r="CKB26" s="235"/>
      <c r="CKC26" s="235"/>
      <c r="CKD26" s="235"/>
      <c r="CKE26" s="235"/>
      <c r="CKF26" s="235"/>
      <c r="CKG26" s="235"/>
      <c r="CKH26" s="235"/>
      <c r="CKI26" s="235"/>
      <c r="CKJ26" s="235"/>
      <c r="CKK26" s="235"/>
      <c r="CKL26" s="235"/>
      <c r="CKM26" s="235"/>
      <c r="CKN26" s="235"/>
      <c r="CKO26" s="235"/>
      <c r="CKP26" s="235"/>
      <c r="CKQ26" s="235"/>
      <c r="CKR26" s="235"/>
      <c r="CKS26" s="235"/>
      <c r="CKT26" s="235"/>
      <c r="CKU26" s="235"/>
      <c r="CKV26" s="235"/>
      <c r="CKW26" s="235"/>
      <c r="CKX26" s="235"/>
      <c r="CKY26" s="235"/>
      <c r="CKZ26" s="235"/>
      <c r="CLA26" s="235"/>
      <c r="CLB26" s="235"/>
      <c r="CLC26" s="235"/>
      <c r="CLD26" s="235"/>
      <c r="CLE26" s="235"/>
      <c r="CLF26" s="235"/>
      <c r="CLG26" s="235"/>
      <c r="CLH26" s="235"/>
      <c r="CLI26" s="235"/>
      <c r="CLJ26" s="235"/>
      <c r="CLK26" s="235"/>
      <c r="CLL26" s="235"/>
      <c r="CLM26" s="235"/>
      <c r="CLN26" s="235"/>
      <c r="CLO26" s="235"/>
      <c r="CLP26" s="235"/>
      <c r="CLQ26" s="235"/>
      <c r="CLR26" s="235"/>
      <c r="CLS26" s="235"/>
      <c r="CLT26" s="235"/>
      <c r="CLU26" s="235"/>
      <c r="CLV26" s="235"/>
      <c r="CLW26" s="235"/>
      <c r="CLX26" s="235"/>
      <c r="CLY26" s="235"/>
      <c r="CLZ26" s="235"/>
      <c r="CMA26" s="235"/>
      <c r="CMB26" s="235"/>
      <c r="CMC26" s="235"/>
      <c r="CMD26" s="235"/>
      <c r="CME26" s="235"/>
      <c r="CMF26" s="235"/>
      <c r="CMG26" s="235"/>
      <c r="CMH26" s="235"/>
      <c r="CMI26" s="235"/>
      <c r="CMJ26" s="235"/>
      <c r="CMK26" s="235"/>
      <c r="CML26" s="235"/>
      <c r="CMM26" s="235"/>
      <c r="CMN26" s="235"/>
      <c r="CMO26" s="235"/>
      <c r="CMP26" s="235"/>
      <c r="CMQ26" s="235"/>
      <c r="CMR26" s="235"/>
      <c r="CMS26" s="235"/>
      <c r="CMT26" s="235"/>
      <c r="CMU26" s="235"/>
      <c r="CMV26" s="235"/>
      <c r="CMW26" s="235"/>
      <c r="CMX26" s="235"/>
      <c r="CMY26" s="235"/>
      <c r="CMZ26" s="235"/>
      <c r="CNA26" s="235"/>
      <c r="CNB26" s="235"/>
      <c r="CNC26" s="235"/>
      <c r="CND26" s="235"/>
      <c r="CNE26" s="235"/>
      <c r="CNF26" s="235"/>
      <c r="CNG26" s="235"/>
      <c r="CNH26" s="235"/>
      <c r="CNI26" s="235"/>
      <c r="CNJ26" s="235"/>
      <c r="CNK26" s="235"/>
      <c r="CNL26" s="235"/>
      <c r="CNM26" s="235"/>
      <c r="CNN26" s="235"/>
      <c r="CNO26" s="235"/>
      <c r="CNP26" s="235"/>
      <c r="CNQ26" s="235"/>
      <c r="CNR26" s="235"/>
      <c r="CNS26" s="235"/>
      <c r="CNT26" s="235"/>
      <c r="CNU26" s="235"/>
      <c r="CNV26" s="235"/>
      <c r="CNW26" s="235"/>
      <c r="CNX26" s="235"/>
      <c r="CNY26" s="235"/>
      <c r="CNZ26" s="235"/>
      <c r="COA26" s="235"/>
      <c r="COB26" s="235"/>
      <c r="COC26" s="235"/>
      <c r="COD26" s="235"/>
      <c r="COE26" s="235"/>
      <c r="COF26" s="235"/>
      <c r="COG26" s="235"/>
      <c r="COH26" s="235"/>
      <c r="COI26" s="235"/>
      <c r="COJ26" s="235"/>
      <c r="COK26" s="235"/>
      <c r="COL26" s="235"/>
      <c r="COM26" s="235"/>
      <c r="CON26" s="235"/>
      <c r="COO26" s="235"/>
      <c r="COP26" s="235"/>
      <c r="COQ26" s="235"/>
      <c r="COR26" s="235"/>
      <c r="COS26" s="235"/>
      <c r="COT26" s="235"/>
      <c r="COU26" s="235"/>
      <c r="COV26" s="235"/>
      <c r="COW26" s="235"/>
      <c r="COX26" s="235"/>
      <c r="COY26" s="235"/>
      <c r="COZ26" s="235"/>
      <c r="CPA26" s="235"/>
      <c r="CPB26" s="235"/>
      <c r="CPC26" s="235"/>
      <c r="CPD26" s="235"/>
      <c r="CPE26" s="235"/>
      <c r="CPF26" s="235"/>
      <c r="CPG26" s="235"/>
      <c r="CPH26" s="235"/>
      <c r="CPI26" s="235"/>
      <c r="CPJ26" s="235"/>
      <c r="CPK26" s="235"/>
      <c r="CPL26" s="235"/>
      <c r="CPM26" s="235"/>
      <c r="CPN26" s="235"/>
      <c r="CPO26" s="235"/>
      <c r="CPP26" s="235"/>
      <c r="CPQ26" s="235"/>
      <c r="CPR26" s="235"/>
      <c r="CPS26" s="235"/>
      <c r="CPT26" s="235"/>
      <c r="CPU26" s="235"/>
      <c r="CPV26" s="235"/>
      <c r="CPW26" s="235"/>
      <c r="CPX26" s="235"/>
      <c r="CPY26" s="235"/>
      <c r="CPZ26" s="235"/>
      <c r="CQA26" s="235"/>
      <c r="CQB26" s="235"/>
      <c r="CQC26" s="235"/>
      <c r="CQD26" s="235"/>
      <c r="CQE26" s="235"/>
      <c r="CQF26" s="235"/>
      <c r="CQG26" s="235"/>
      <c r="CQH26" s="235"/>
      <c r="CQI26" s="235"/>
      <c r="CQJ26" s="235"/>
      <c r="CQK26" s="235"/>
      <c r="CQL26" s="235"/>
      <c r="CQM26" s="235"/>
      <c r="CQN26" s="235"/>
      <c r="CQO26" s="235"/>
      <c r="CQP26" s="235"/>
      <c r="CQQ26" s="235"/>
      <c r="CQR26" s="235"/>
      <c r="CQS26" s="235"/>
      <c r="CQT26" s="235"/>
      <c r="CQU26" s="235"/>
      <c r="CQV26" s="235"/>
      <c r="CQW26" s="235"/>
      <c r="CQX26" s="235"/>
      <c r="CQY26" s="235"/>
      <c r="CQZ26" s="235"/>
      <c r="CRA26" s="235"/>
      <c r="CRB26" s="235"/>
      <c r="CRC26" s="235"/>
      <c r="CRD26" s="235"/>
      <c r="CRE26" s="235"/>
      <c r="CRF26" s="235"/>
      <c r="CRG26" s="235"/>
      <c r="CRH26" s="235"/>
      <c r="CRI26" s="235"/>
      <c r="CRJ26" s="235"/>
      <c r="CRK26" s="235"/>
      <c r="CRL26" s="235"/>
      <c r="CRM26" s="235"/>
      <c r="CRN26" s="235"/>
      <c r="CRO26" s="235"/>
      <c r="CRP26" s="235"/>
      <c r="CRQ26" s="235"/>
      <c r="CRR26" s="235"/>
      <c r="CRS26" s="235"/>
      <c r="CRT26" s="235"/>
      <c r="CRU26" s="235"/>
      <c r="CRV26" s="235"/>
      <c r="CRW26" s="235"/>
      <c r="CRX26" s="235"/>
      <c r="CRY26" s="235"/>
      <c r="CRZ26" s="235"/>
      <c r="CSA26" s="235"/>
      <c r="CSB26" s="235"/>
      <c r="CSC26" s="235"/>
      <c r="CSD26" s="235"/>
      <c r="CSE26" s="235"/>
      <c r="CSF26" s="235"/>
      <c r="CSG26" s="235"/>
      <c r="CSH26" s="235"/>
      <c r="CSI26" s="235"/>
      <c r="CSJ26" s="235"/>
      <c r="CSK26" s="235"/>
      <c r="CSL26" s="235"/>
      <c r="CSM26" s="235"/>
      <c r="CSN26" s="235"/>
      <c r="CSO26" s="235"/>
      <c r="CSP26" s="235"/>
      <c r="CSQ26" s="235"/>
      <c r="CSR26" s="235"/>
      <c r="CSS26" s="235"/>
      <c r="CST26" s="235"/>
      <c r="CSU26" s="235"/>
      <c r="CSV26" s="235"/>
      <c r="CSW26" s="235"/>
      <c r="CSX26" s="235"/>
      <c r="CSY26" s="235"/>
      <c r="CSZ26" s="235"/>
      <c r="CTA26" s="235"/>
      <c r="CTB26" s="235"/>
      <c r="CTC26" s="235"/>
      <c r="CTD26" s="235"/>
      <c r="CTE26" s="235"/>
      <c r="CTF26" s="235"/>
      <c r="CTG26" s="235"/>
      <c r="CTH26" s="235"/>
      <c r="CTI26" s="235"/>
      <c r="CTJ26" s="235"/>
      <c r="CTK26" s="235"/>
      <c r="CTL26" s="235"/>
      <c r="CTM26" s="235"/>
      <c r="CTN26" s="235"/>
      <c r="CTO26" s="235"/>
      <c r="CTP26" s="235"/>
      <c r="CTQ26" s="235"/>
      <c r="CTR26" s="235"/>
      <c r="CTS26" s="235"/>
      <c r="CTT26" s="235"/>
      <c r="CTU26" s="235"/>
      <c r="CTV26" s="235"/>
      <c r="CTW26" s="235"/>
      <c r="CTX26" s="235"/>
      <c r="CTY26" s="235"/>
      <c r="CTZ26" s="235"/>
      <c r="CUA26" s="235"/>
      <c r="CUB26" s="235"/>
      <c r="CUC26" s="235"/>
      <c r="CUD26" s="235"/>
      <c r="CUE26" s="235"/>
      <c r="CUF26" s="235"/>
      <c r="CUG26" s="235"/>
      <c r="CUH26" s="235"/>
      <c r="CUI26" s="235"/>
      <c r="CUJ26" s="235"/>
      <c r="CUK26" s="235"/>
      <c r="CUL26" s="235"/>
      <c r="CUM26" s="235"/>
      <c r="CUN26" s="235"/>
      <c r="CUO26" s="235"/>
      <c r="CUP26" s="235"/>
      <c r="CUQ26" s="235"/>
      <c r="CUR26" s="235"/>
      <c r="CUS26" s="235"/>
      <c r="CUT26" s="235"/>
      <c r="CUU26" s="235"/>
      <c r="CUV26" s="235"/>
      <c r="CUW26" s="235"/>
      <c r="CUX26" s="235"/>
      <c r="CUY26" s="235"/>
      <c r="CUZ26" s="235"/>
      <c r="CVA26" s="235"/>
      <c r="CVB26" s="235"/>
      <c r="CVC26" s="235"/>
      <c r="CVD26" s="235"/>
      <c r="CVE26" s="235"/>
      <c r="CVF26" s="235"/>
      <c r="CVG26" s="235"/>
      <c r="CVH26" s="235"/>
      <c r="CVI26" s="235"/>
      <c r="CVJ26" s="235"/>
      <c r="CVK26" s="235"/>
      <c r="CVL26" s="235"/>
      <c r="CVM26" s="235"/>
      <c r="CVN26" s="235"/>
      <c r="CVO26" s="235"/>
      <c r="CVP26" s="235"/>
      <c r="CVQ26" s="235"/>
      <c r="CVR26" s="235"/>
      <c r="CVS26" s="235"/>
      <c r="CVT26" s="235"/>
      <c r="CVU26" s="235"/>
      <c r="CVV26" s="235"/>
      <c r="CVW26" s="235"/>
      <c r="CVX26" s="235"/>
      <c r="CVY26" s="235"/>
      <c r="CVZ26" s="235"/>
      <c r="CWA26" s="235"/>
      <c r="CWB26" s="235"/>
      <c r="CWC26" s="235"/>
      <c r="CWD26" s="235"/>
      <c r="CWE26" s="235"/>
      <c r="CWF26" s="235"/>
      <c r="CWG26" s="235"/>
      <c r="CWH26" s="235"/>
      <c r="CWI26" s="235"/>
      <c r="CWJ26" s="235"/>
      <c r="CWK26" s="235"/>
      <c r="CWL26" s="235"/>
      <c r="CWM26" s="235"/>
      <c r="CWN26" s="235"/>
      <c r="CWO26" s="235"/>
      <c r="CWP26" s="235"/>
      <c r="CWQ26" s="235"/>
      <c r="CWR26" s="235"/>
      <c r="CWS26" s="235"/>
      <c r="CWT26" s="235"/>
      <c r="CWU26" s="235"/>
      <c r="CWV26" s="235"/>
      <c r="CWW26" s="235"/>
      <c r="CWX26" s="235"/>
      <c r="CWY26" s="235"/>
      <c r="CWZ26" s="235"/>
      <c r="CXA26" s="235"/>
      <c r="CXB26" s="235"/>
      <c r="CXC26" s="235"/>
      <c r="CXD26" s="235"/>
      <c r="CXE26" s="235"/>
      <c r="CXF26" s="235"/>
      <c r="CXG26" s="235"/>
      <c r="CXH26" s="235"/>
      <c r="CXI26" s="235"/>
      <c r="CXJ26" s="235"/>
      <c r="CXK26" s="235"/>
      <c r="CXL26" s="235"/>
      <c r="CXM26" s="235"/>
      <c r="CXN26" s="235"/>
      <c r="CXO26" s="235"/>
      <c r="CXP26" s="235"/>
      <c r="CXQ26" s="235"/>
      <c r="CXR26" s="235"/>
      <c r="CXS26" s="235"/>
      <c r="CXT26" s="235"/>
      <c r="CXU26" s="235"/>
      <c r="CXV26" s="235"/>
      <c r="CXW26" s="235"/>
      <c r="CXX26" s="235"/>
      <c r="CXY26" s="235"/>
      <c r="CXZ26" s="235"/>
      <c r="CYA26" s="235"/>
      <c r="CYB26" s="235"/>
      <c r="CYC26" s="235"/>
      <c r="CYD26" s="235"/>
      <c r="CYE26" s="235"/>
      <c r="CYF26" s="235"/>
      <c r="CYG26" s="235"/>
      <c r="CYH26" s="235"/>
      <c r="CYI26" s="235"/>
      <c r="CYJ26" s="235"/>
      <c r="CYK26" s="235"/>
      <c r="CYL26" s="235"/>
      <c r="CYM26" s="235"/>
      <c r="CYN26" s="235"/>
      <c r="CYO26" s="235"/>
      <c r="CYP26" s="235"/>
      <c r="CYQ26" s="235"/>
      <c r="CYR26" s="235"/>
      <c r="CYS26" s="235"/>
      <c r="CYT26" s="235"/>
      <c r="CYU26" s="235"/>
      <c r="CYV26" s="235"/>
      <c r="CYW26" s="235"/>
      <c r="CYX26" s="235"/>
      <c r="CYY26" s="235"/>
      <c r="CYZ26" s="235"/>
      <c r="CZA26" s="235"/>
      <c r="CZB26" s="235"/>
      <c r="CZC26" s="235"/>
      <c r="CZD26" s="235"/>
      <c r="CZE26" s="235"/>
      <c r="CZF26" s="235"/>
      <c r="CZG26" s="235"/>
      <c r="CZH26" s="235"/>
      <c r="CZI26" s="235"/>
      <c r="CZJ26" s="235"/>
      <c r="CZK26" s="235"/>
      <c r="CZL26" s="235"/>
      <c r="CZM26" s="235"/>
      <c r="CZN26" s="235"/>
      <c r="CZO26" s="235"/>
      <c r="CZP26" s="235"/>
      <c r="CZQ26" s="235"/>
      <c r="CZR26" s="235"/>
      <c r="CZS26" s="235"/>
      <c r="CZT26" s="235"/>
      <c r="CZU26" s="235"/>
      <c r="CZV26" s="235"/>
      <c r="CZW26" s="235"/>
      <c r="CZX26" s="235"/>
      <c r="CZY26" s="235"/>
      <c r="CZZ26" s="235"/>
      <c r="DAA26" s="235"/>
      <c r="DAB26" s="235"/>
      <c r="DAC26" s="235"/>
      <c r="DAD26" s="235"/>
      <c r="DAE26" s="235"/>
      <c r="DAF26" s="235"/>
      <c r="DAG26" s="235"/>
      <c r="DAH26" s="235"/>
      <c r="DAI26" s="235"/>
      <c r="DAJ26" s="235"/>
      <c r="DAK26" s="235"/>
      <c r="DAL26" s="235"/>
      <c r="DAM26" s="235"/>
      <c r="DAN26" s="235"/>
      <c r="DAO26" s="235"/>
      <c r="DAP26" s="235"/>
      <c r="DAQ26" s="235"/>
      <c r="DAR26" s="235"/>
      <c r="DAS26" s="235"/>
      <c r="DAT26" s="235"/>
      <c r="DAU26" s="235"/>
      <c r="DAV26" s="235"/>
      <c r="DAW26" s="235"/>
      <c r="DAX26" s="235"/>
      <c r="DAY26" s="235"/>
      <c r="DAZ26" s="235"/>
      <c r="DBA26" s="235"/>
      <c r="DBB26" s="235"/>
      <c r="DBC26" s="235"/>
      <c r="DBD26" s="235"/>
      <c r="DBE26" s="235"/>
      <c r="DBF26" s="235"/>
      <c r="DBG26" s="235"/>
      <c r="DBH26" s="235"/>
      <c r="DBI26" s="235"/>
      <c r="DBJ26" s="235"/>
      <c r="DBK26" s="235"/>
      <c r="DBL26" s="235"/>
      <c r="DBM26" s="235"/>
      <c r="DBN26" s="235"/>
      <c r="DBO26" s="235"/>
      <c r="DBP26" s="235"/>
      <c r="DBQ26" s="235"/>
      <c r="DBR26" s="235"/>
      <c r="DBS26" s="235"/>
      <c r="DBT26" s="235"/>
      <c r="DBU26" s="235"/>
      <c r="DBV26" s="235"/>
      <c r="DBW26" s="235"/>
      <c r="DBX26" s="235"/>
      <c r="DBY26" s="235"/>
      <c r="DBZ26" s="235"/>
      <c r="DCA26" s="235"/>
      <c r="DCB26" s="235"/>
      <c r="DCC26" s="235"/>
      <c r="DCD26" s="235"/>
      <c r="DCE26" s="235"/>
      <c r="DCF26" s="235"/>
      <c r="DCG26" s="235"/>
      <c r="DCH26" s="235"/>
      <c r="DCI26" s="235"/>
      <c r="DCJ26" s="235"/>
      <c r="DCK26" s="235"/>
      <c r="DCL26" s="235"/>
      <c r="DCM26" s="235"/>
      <c r="DCN26" s="235"/>
      <c r="DCO26" s="235"/>
      <c r="DCP26" s="235"/>
      <c r="DCQ26" s="235"/>
      <c r="DCR26" s="235"/>
      <c r="DCS26" s="235"/>
      <c r="DCT26" s="235"/>
      <c r="DCU26" s="235"/>
      <c r="DCV26" s="235"/>
      <c r="DCW26" s="235"/>
      <c r="DCX26" s="235"/>
      <c r="DCY26" s="235"/>
      <c r="DCZ26" s="235"/>
      <c r="DDA26" s="235"/>
      <c r="DDB26" s="235"/>
      <c r="DDC26" s="235"/>
      <c r="DDD26" s="235"/>
      <c r="DDE26" s="235"/>
      <c r="DDF26" s="235"/>
      <c r="DDG26" s="235"/>
      <c r="DDH26" s="235"/>
      <c r="DDI26" s="235"/>
      <c r="DDJ26" s="235"/>
      <c r="DDK26" s="235"/>
      <c r="DDL26" s="235"/>
      <c r="DDM26" s="235"/>
      <c r="DDN26" s="235"/>
      <c r="DDO26" s="235"/>
      <c r="DDP26" s="235"/>
      <c r="DDQ26" s="235"/>
      <c r="DDR26" s="235"/>
      <c r="DDS26" s="235"/>
      <c r="DDT26" s="235"/>
      <c r="DDU26" s="235"/>
      <c r="DDV26" s="235"/>
      <c r="DDW26" s="235"/>
      <c r="DDX26" s="235"/>
      <c r="DDY26" s="235"/>
      <c r="DDZ26" s="235"/>
      <c r="DEA26" s="235"/>
      <c r="DEB26" s="235"/>
      <c r="DEC26" s="235"/>
      <c r="DED26" s="235"/>
      <c r="DEE26" s="235"/>
      <c r="DEF26" s="235"/>
      <c r="DEG26" s="235"/>
      <c r="DEH26" s="235"/>
      <c r="DEI26" s="235"/>
      <c r="DEJ26" s="235"/>
      <c r="DEK26" s="235"/>
      <c r="DEL26" s="235"/>
      <c r="DEM26" s="235"/>
      <c r="DEN26" s="235"/>
      <c r="DEO26" s="235"/>
      <c r="DEP26" s="235"/>
      <c r="DEQ26" s="235"/>
      <c r="DER26" s="235"/>
      <c r="DES26" s="235"/>
      <c r="DET26" s="235"/>
      <c r="DEU26" s="235"/>
      <c r="DEV26" s="235"/>
      <c r="DEW26" s="235"/>
      <c r="DEX26" s="235"/>
      <c r="DEY26" s="235"/>
      <c r="DEZ26" s="235"/>
      <c r="DFA26" s="235"/>
      <c r="DFB26" s="235"/>
      <c r="DFC26" s="235"/>
      <c r="DFD26" s="235"/>
      <c r="DFE26" s="235"/>
      <c r="DFF26" s="235"/>
      <c r="DFG26" s="235"/>
      <c r="DFH26" s="235"/>
      <c r="DFI26" s="235"/>
      <c r="DFJ26" s="235"/>
      <c r="DFK26" s="235"/>
      <c r="DFL26" s="235"/>
      <c r="DFM26" s="235"/>
      <c r="DFN26" s="235"/>
      <c r="DFO26" s="235"/>
      <c r="DFP26" s="235"/>
      <c r="DFQ26" s="235"/>
      <c r="DFR26" s="235"/>
      <c r="DFS26" s="235"/>
      <c r="DFT26" s="235"/>
      <c r="DFU26" s="235"/>
      <c r="DFV26" s="235"/>
      <c r="DFW26" s="235"/>
      <c r="DFX26" s="235"/>
      <c r="DFY26" s="235"/>
      <c r="DFZ26" s="235"/>
      <c r="DGA26" s="235"/>
      <c r="DGB26" s="235"/>
      <c r="DGC26" s="235"/>
      <c r="DGD26" s="235"/>
      <c r="DGE26" s="235"/>
      <c r="DGF26" s="235"/>
      <c r="DGG26" s="235"/>
      <c r="DGH26" s="235"/>
      <c r="DGI26" s="235"/>
      <c r="DGJ26" s="235"/>
      <c r="DGK26" s="235"/>
      <c r="DGL26" s="235"/>
      <c r="DGM26" s="235"/>
      <c r="DGN26" s="235"/>
      <c r="DGO26" s="235"/>
      <c r="DGP26" s="235"/>
      <c r="DGQ26" s="235"/>
      <c r="DGR26" s="235"/>
      <c r="DGS26" s="235"/>
      <c r="DGT26" s="235"/>
      <c r="DGU26" s="235"/>
      <c r="DGV26" s="235"/>
      <c r="DGW26" s="235"/>
      <c r="DGX26" s="235"/>
      <c r="DGY26" s="235"/>
      <c r="DGZ26" s="235"/>
      <c r="DHA26" s="235"/>
      <c r="DHB26" s="235"/>
      <c r="DHC26" s="235"/>
      <c r="DHD26" s="235"/>
      <c r="DHE26" s="235"/>
      <c r="DHF26" s="235"/>
      <c r="DHG26" s="235"/>
      <c r="DHH26" s="235"/>
      <c r="DHI26" s="235"/>
      <c r="DHJ26" s="235"/>
      <c r="DHK26" s="235"/>
      <c r="DHL26" s="235"/>
      <c r="DHM26" s="235"/>
      <c r="DHN26" s="235"/>
      <c r="DHO26" s="235"/>
      <c r="DHP26" s="235"/>
      <c r="DHQ26" s="235"/>
      <c r="DHR26" s="235"/>
      <c r="DHS26" s="235"/>
      <c r="DHT26" s="235"/>
      <c r="DHU26" s="235"/>
      <c r="DHV26" s="235"/>
      <c r="DHW26" s="235"/>
      <c r="DHX26" s="235"/>
      <c r="DHY26" s="235"/>
      <c r="DHZ26" s="235"/>
      <c r="DIA26" s="235"/>
      <c r="DIB26" s="235"/>
      <c r="DIC26" s="235"/>
      <c r="DID26" s="235"/>
      <c r="DIE26" s="235"/>
      <c r="DIF26" s="235"/>
      <c r="DIG26" s="235"/>
      <c r="DIH26" s="235"/>
      <c r="DII26" s="235"/>
      <c r="DIJ26" s="235"/>
      <c r="DIK26" s="235"/>
      <c r="DIL26" s="235"/>
      <c r="DIM26" s="235"/>
      <c r="DIN26" s="235"/>
      <c r="DIO26" s="235"/>
      <c r="DIP26" s="235"/>
      <c r="DIQ26" s="235"/>
      <c r="DIR26" s="235"/>
      <c r="DIS26" s="235"/>
      <c r="DIT26" s="235"/>
      <c r="DIU26" s="235"/>
      <c r="DIV26" s="235"/>
      <c r="DIW26" s="235"/>
      <c r="DIX26" s="235"/>
      <c r="DIY26" s="235"/>
      <c r="DIZ26" s="235"/>
      <c r="DJA26" s="235"/>
      <c r="DJB26" s="235"/>
      <c r="DJC26" s="235"/>
      <c r="DJD26" s="235"/>
      <c r="DJE26" s="235"/>
      <c r="DJF26" s="235"/>
      <c r="DJG26" s="235"/>
      <c r="DJH26" s="235"/>
      <c r="DJI26" s="235"/>
      <c r="DJJ26" s="235"/>
      <c r="DJK26" s="235"/>
      <c r="DJL26" s="235"/>
      <c r="DJM26" s="235"/>
      <c r="DJN26" s="235"/>
      <c r="DJO26" s="235"/>
      <c r="DJP26" s="235"/>
      <c r="DJQ26" s="235"/>
      <c r="DJR26" s="235"/>
      <c r="DJS26" s="235"/>
      <c r="DJT26" s="235"/>
      <c r="DJU26" s="235"/>
      <c r="DJV26" s="235"/>
      <c r="DJW26" s="235"/>
      <c r="DJX26" s="235"/>
      <c r="DJY26" s="235"/>
      <c r="DJZ26" s="235"/>
      <c r="DKA26" s="235"/>
      <c r="DKB26" s="235"/>
      <c r="DKC26" s="235"/>
      <c r="DKD26" s="235"/>
      <c r="DKE26" s="235"/>
      <c r="DKF26" s="235"/>
      <c r="DKG26" s="235"/>
      <c r="DKH26" s="235"/>
      <c r="DKI26" s="235"/>
      <c r="DKJ26" s="235"/>
      <c r="DKK26" s="235"/>
      <c r="DKL26" s="235"/>
      <c r="DKM26" s="235"/>
      <c r="DKN26" s="235"/>
      <c r="DKO26" s="235"/>
      <c r="DKP26" s="235"/>
      <c r="DKQ26" s="235"/>
      <c r="DKR26" s="235"/>
      <c r="DKS26" s="235"/>
      <c r="DKT26" s="235"/>
      <c r="DKU26" s="235"/>
      <c r="DKV26" s="235"/>
      <c r="DKW26" s="235"/>
      <c r="DKX26" s="235"/>
      <c r="DKY26" s="235"/>
      <c r="DKZ26" s="235"/>
      <c r="DLA26" s="235"/>
      <c r="DLB26" s="235"/>
      <c r="DLC26" s="235"/>
      <c r="DLD26" s="235"/>
      <c r="DLE26" s="235"/>
      <c r="DLF26" s="235"/>
      <c r="DLG26" s="235"/>
      <c r="DLH26" s="235"/>
      <c r="DLI26" s="235"/>
      <c r="DLJ26" s="235"/>
      <c r="DLK26" s="235"/>
      <c r="DLL26" s="235"/>
      <c r="DLM26" s="235"/>
      <c r="DLN26" s="235"/>
      <c r="DLO26" s="235"/>
      <c r="DLP26" s="235"/>
      <c r="DLQ26" s="235"/>
      <c r="DLR26" s="235"/>
      <c r="DLS26" s="235"/>
      <c r="DLT26" s="235"/>
      <c r="DLU26" s="235"/>
      <c r="DLV26" s="235"/>
      <c r="DLW26" s="235"/>
      <c r="DLX26" s="235"/>
      <c r="DLY26" s="235"/>
      <c r="DLZ26" s="235"/>
      <c r="DMA26" s="235"/>
      <c r="DMB26" s="235"/>
      <c r="DMC26" s="235"/>
      <c r="DMD26" s="235"/>
      <c r="DME26" s="235"/>
      <c r="DMF26" s="235"/>
      <c r="DMG26" s="235"/>
      <c r="DMH26" s="235"/>
      <c r="DMI26" s="235"/>
      <c r="DMJ26" s="235"/>
      <c r="DMK26" s="235"/>
      <c r="DML26" s="235"/>
      <c r="DMM26" s="235"/>
      <c r="DMN26" s="235"/>
      <c r="DMO26" s="235"/>
      <c r="DMP26" s="235"/>
      <c r="DMQ26" s="235"/>
      <c r="DMR26" s="235"/>
      <c r="DMS26" s="235"/>
      <c r="DMT26" s="235"/>
      <c r="DMU26" s="235"/>
      <c r="DMV26" s="235"/>
      <c r="DMW26" s="235"/>
      <c r="DMX26" s="235"/>
      <c r="DMY26" s="235"/>
      <c r="DMZ26" s="235"/>
      <c r="DNA26" s="235"/>
      <c r="DNB26" s="235"/>
      <c r="DNC26" s="235"/>
      <c r="DND26" s="235"/>
      <c r="DNE26" s="235"/>
      <c r="DNF26" s="235"/>
      <c r="DNG26" s="235"/>
      <c r="DNH26" s="235"/>
      <c r="DNI26" s="235"/>
      <c r="DNJ26" s="235"/>
      <c r="DNK26" s="235"/>
      <c r="DNL26" s="235"/>
      <c r="DNM26" s="235"/>
      <c r="DNN26" s="235"/>
      <c r="DNO26" s="235"/>
      <c r="DNP26" s="235"/>
      <c r="DNQ26" s="235"/>
      <c r="DNR26" s="235"/>
      <c r="DNS26" s="235"/>
      <c r="DNT26" s="235"/>
      <c r="DNU26" s="235"/>
      <c r="DNV26" s="235"/>
      <c r="DNW26" s="235"/>
      <c r="DNX26" s="235"/>
      <c r="DNY26" s="235"/>
      <c r="DNZ26" s="235"/>
      <c r="DOA26" s="235"/>
      <c r="DOB26" s="235"/>
      <c r="DOC26" s="235"/>
      <c r="DOD26" s="235"/>
      <c r="DOE26" s="235"/>
      <c r="DOF26" s="235"/>
      <c r="DOG26" s="235"/>
      <c r="DOH26" s="235"/>
      <c r="DOI26" s="235"/>
      <c r="DOJ26" s="235"/>
      <c r="DOK26" s="235"/>
      <c r="DOL26" s="235"/>
      <c r="DOM26" s="235"/>
      <c r="DON26" s="235"/>
      <c r="DOO26" s="235"/>
      <c r="DOP26" s="235"/>
      <c r="DOQ26" s="235"/>
      <c r="DOR26" s="235"/>
      <c r="DOS26" s="235"/>
      <c r="DOT26" s="235"/>
      <c r="DOU26" s="235"/>
      <c r="DOV26" s="235"/>
      <c r="DOW26" s="235"/>
      <c r="DOX26" s="235"/>
      <c r="DOY26" s="235"/>
      <c r="DOZ26" s="235"/>
      <c r="DPA26" s="235"/>
      <c r="DPB26" s="235"/>
      <c r="DPC26" s="235"/>
      <c r="DPD26" s="235"/>
      <c r="DPE26" s="235"/>
      <c r="DPF26" s="235"/>
      <c r="DPG26" s="235"/>
      <c r="DPH26" s="235"/>
      <c r="DPI26" s="235"/>
      <c r="DPJ26" s="235"/>
      <c r="DPK26" s="235"/>
      <c r="DPL26" s="235"/>
      <c r="DPM26" s="235"/>
      <c r="DPN26" s="235"/>
      <c r="DPO26" s="235"/>
      <c r="DPP26" s="235"/>
      <c r="DPQ26" s="235"/>
      <c r="DPR26" s="235"/>
      <c r="DPS26" s="235"/>
      <c r="DPT26" s="235"/>
      <c r="DPU26" s="235"/>
      <c r="DPV26" s="235"/>
      <c r="DPW26" s="235"/>
      <c r="DPX26" s="235"/>
      <c r="DPY26" s="235"/>
      <c r="DPZ26" s="235"/>
      <c r="DQA26" s="235"/>
      <c r="DQB26" s="235"/>
      <c r="DQC26" s="235"/>
      <c r="DQD26" s="235"/>
      <c r="DQE26" s="235"/>
      <c r="DQF26" s="235"/>
      <c r="DQG26" s="235"/>
      <c r="DQH26" s="235"/>
      <c r="DQI26" s="235"/>
      <c r="DQJ26" s="235"/>
      <c r="DQK26" s="235"/>
      <c r="DQL26" s="235"/>
      <c r="DQM26" s="235"/>
      <c r="DQN26" s="235"/>
      <c r="DQO26" s="235"/>
      <c r="DQP26" s="235"/>
      <c r="DQQ26" s="235"/>
      <c r="DQR26" s="235"/>
      <c r="DQS26" s="235"/>
      <c r="DQT26" s="235"/>
      <c r="DQU26" s="235"/>
      <c r="DQV26" s="235"/>
      <c r="DQW26" s="235"/>
      <c r="DQX26" s="235"/>
      <c r="DQY26" s="235"/>
      <c r="DQZ26" s="235"/>
      <c r="DRA26" s="235"/>
      <c r="DRB26" s="235"/>
      <c r="DRC26" s="235"/>
      <c r="DRD26" s="235"/>
      <c r="DRE26" s="235"/>
      <c r="DRF26" s="235"/>
      <c r="DRG26" s="235"/>
      <c r="DRH26" s="235"/>
      <c r="DRI26" s="235"/>
      <c r="DRJ26" s="235"/>
      <c r="DRK26" s="235"/>
      <c r="DRL26" s="235"/>
      <c r="DRM26" s="235"/>
      <c r="DRN26" s="235"/>
      <c r="DRO26" s="235"/>
      <c r="DRP26" s="235"/>
      <c r="DRQ26" s="235"/>
      <c r="DRR26" s="235"/>
      <c r="DRS26" s="235"/>
      <c r="DRT26" s="235"/>
      <c r="DRU26" s="235"/>
      <c r="DRV26" s="235"/>
      <c r="DRW26" s="235"/>
      <c r="DRX26" s="235"/>
      <c r="DRY26" s="235"/>
      <c r="DRZ26" s="235"/>
      <c r="DSA26" s="235"/>
      <c r="DSB26" s="235"/>
      <c r="DSC26" s="235"/>
      <c r="DSD26" s="235"/>
      <c r="DSE26" s="235"/>
      <c r="DSF26" s="235"/>
      <c r="DSG26" s="235"/>
      <c r="DSH26" s="235"/>
      <c r="DSI26" s="235"/>
      <c r="DSJ26" s="235"/>
      <c r="DSK26" s="235"/>
      <c r="DSL26" s="235"/>
      <c r="DSM26" s="235"/>
      <c r="DSN26" s="235"/>
      <c r="DSO26" s="235"/>
      <c r="DSP26" s="235"/>
      <c r="DSQ26" s="235"/>
      <c r="DSR26" s="235"/>
      <c r="DSS26" s="235"/>
      <c r="DST26" s="235"/>
      <c r="DSU26" s="235"/>
      <c r="DSV26" s="235"/>
      <c r="DSW26" s="235"/>
      <c r="DSX26" s="235"/>
      <c r="DSY26" s="235"/>
      <c r="DSZ26" s="235"/>
      <c r="DTA26" s="235"/>
      <c r="DTB26" s="235"/>
      <c r="DTC26" s="235"/>
      <c r="DTD26" s="235"/>
      <c r="DTE26" s="235"/>
      <c r="DTF26" s="235"/>
      <c r="DTG26" s="235"/>
      <c r="DTH26" s="235"/>
      <c r="DTI26" s="235"/>
      <c r="DTJ26" s="235"/>
      <c r="DTK26" s="235"/>
      <c r="DTL26" s="235"/>
      <c r="DTM26" s="235"/>
      <c r="DTN26" s="235"/>
      <c r="DTO26" s="235"/>
      <c r="DTP26" s="235"/>
      <c r="DTQ26" s="235"/>
      <c r="DTR26" s="235"/>
      <c r="DTS26" s="235"/>
      <c r="DTT26" s="235"/>
      <c r="DTU26" s="235"/>
      <c r="DTV26" s="235"/>
      <c r="DTW26" s="235"/>
      <c r="DTX26" s="235"/>
      <c r="DTY26" s="235"/>
      <c r="DTZ26" s="235"/>
      <c r="DUA26" s="235"/>
      <c r="DUB26" s="235"/>
      <c r="DUC26" s="235"/>
      <c r="DUD26" s="235"/>
      <c r="DUE26" s="235"/>
      <c r="DUF26" s="235"/>
      <c r="DUG26" s="235"/>
      <c r="DUH26" s="235"/>
      <c r="DUI26" s="235"/>
      <c r="DUJ26" s="235"/>
      <c r="DUK26" s="235"/>
      <c r="DUL26" s="235"/>
      <c r="DUM26" s="235"/>
      <c r="DUN26" s="235"/>
      <c r="DUO26" s="235"/>
      <c r="DUP26" s="235"/>
      <c r="DUQ26" s="235"/>
      <c r="DUR26" s="235"/>
      <c r="DUS26" s="235"/>
      <c r="DUT26" s="235"/>
      <c r="DUU26" s="235"/>
      <c r="DUV26" s="235"/>
      <c r="DUW26" s="235"/>
      <c r="DUX26" s="235"/>
      <c r="DUY26" s="235"/>
      <c r="DUZ26" s="235"/>
      <c r="DVA26" s="235"/>
      <c r="DVB26" s="235"/>
      <c r="DVC26" s="235"/>
      <c r="DVD26" s="235"/>
      <c r="DVE26" s="235"/>
      <c r="DVF26" s="235"/>
      <c r="DVG26" s="235"/>
      <c r="DVH26" s="235"/>
      <c r="DVI26" s="235"/>
      <c r="DVJ26" s="235"/>
      <c r="DVK26" s="235"/>
      <c r="DVL26" s="235"/>
      <c r="DVM26" s="235"/>
      <c r="DVN26" s="235"/>
      <c r="DVO26" s="235"/>
      <c r="DVP26" s="235"/>
      <c r="DVQ26" s="235"/>
      <c r="DVR26" s="235"/>
      <c r="DVS26" s="235"/>
      <c r="DVT26" s="235"/>
      <c r="DVU26" s="235"/>
      <c r="DVV26" s="235"/>
      <c r="DVW26" s="235"/>
      <c r="DVX26" s="235"/>
      <c r="DVY26" s="235"/>
      <c r="DVZ26" s="235"/>
      <c r="DWA26" s="235"/>
      <c r="DWB26" s="235"/>
      <c r="DWC26" s="235"/>
      <c r="DWD26" s="235"/>
      <c r="DWE26" s="235"/>
      <c r="DWF26" s="235"/>
      <c r="DWG26" s="235"/>
      <c r="DWH26" s="235"/>
      <c r="DWI26" s="235"/>
      <c r="DWJ26" s="235"/>
      <c r="DWK26" s="235"/>
      <c r="DWL26" s="235"/>
      <c r="DWM26" s="235"/>
      <c r="DWN26" s="235"/>
      <c r="DWO26" s="235"/>
      <c r="DWP26" s="235"/>
      <c r="DWQ26" s="235"/>
      <c r="DWR26" s="235"/>
      <c r="DWS26" s="235"/>
      <c r="DWT26" s="235"/>
      <c r="DWU26" s="235"/>
      <c r="DWV26" s="235"/>
      <c r="DWW26" s="235"/>
      <c r="DWX26" s="235"/>
      <c r="DWY26" s="235"/>
      <c r="DWZ26" s="235"/>
      <c r="DXA26" s="235"/>
      <c r="DXB26" s="235"/>
      <c r="DXC26" s="235"/>
      <c r="DXD26" s="235"/>
      <c r="DXE26" s="235"/>
      <c r="DXF26" s="235"/>
      <c r="DXG26" s="235"/>
      <c r="DXH26" s="235"/>
      <c r="DXI26" s="235"/>
      <c r="DXJ26" s="235"/>
      <c r="DXK26" s="235"/>
      <c r="DXL26" s="235"/>
      <c r="DXM26" s="235"/>
      <c r="DXN26" s="235"/>
      <c r="DXO26" s="235"/>
      <c r="DXP26" s="235"/>
      <c r="DXQ26" s="235"/>
      <c r="DXR26" s="235"/>
      <c r="DXS26" s="235"/>
      <c r="DXT26" s="235"/>
      <c r="DXU26" s="235"/>
      <c r="DXV26" s="235"/>
      <c r="DXW26" s="235"/>
      <c r="DXX26" s="235"/>
      <c r="DXY26" s="235"/>
      <c r="DXZ26" s="235"/>
      <c r="DYA26" s="235"/>
      <c r="DYB26" s="235"/>
      <c r="DYC26" s="235"/>
      <c r="DYD26" s="235"/>
      <c r="DYE26" s="235"/>
      <c r="DYF26" s="235"/>
      <c r="DYG26" s="235"/>
      <c r="DYH26" s="235"/>
      <c r="DYI26" s="235"/>
      <c r="DYJ26" s="235"/>
      <c r="DYK26" s="235"/>
      <c r="DYL26" s="235"/>
      <c r="DYM26" s="235"/>
      <c r="DYN26" s="235"/>
      <c r="DYO26" s="235"/>
      <c r="DYP26" s="235"/>
      <c r="DYQ26" s="235"/>
      <c r="DYR26" s="235"/>
      <c r="DYS26" s="235"/>
      <c r="DYT26" s="235"/>
      <c r="DYU26" s="235"/>
      <c r="DYV26" s="235"/>
      <c r="DYW26" s="235"/>
      <c r="DYX26" s="235"/>
      <c r="DYY26" s="235"/>
      <c r="DYZ26" s="235"/>
      <c r="DZA26" s="235"/>
      <c r="DZB26" s="235"/>
      <c r="DZC26" s="235"/>
      <c r="DZD26" s="235"/>
      <c r="DZE26" s="235"/>
      <c r="DZF26" s="235"/>
      <c r="DZG26" s="235"/>
      <c r="DZH26" s="235"/>
      <c r="DZI26" s="235"/>
      <c r="DZJ26" s="235"/>
      <c r="DZK26" s="235"/>
      <c r="DZL26" s="235"/>
      <c r="DZM26" s="235"/>
      <c r="DZN26" s="235"/>
      <c r="DZO26" s="235"/>
      <c r="DZP26" s="235"/>
      <c r="DZQ26" s="235"/>
      <c r="DZR26" s="235"/>
      <c r="DZS26" s="235"/>
      <c r="DZT26" s="235"/>
      <c r="DZU26" s="235"/>
      <c r="DZV26" s="235"/>
      <c r="DZW26" s="235"/>
      <c r="DZX26" s="235"/>
      <c r="DZY26" s="235"/>
      <c r="DZZ26" s="235"/>
      <c r="EAA26" s="235"/>
      <c r="EAB26" s="235"/>
      <c r="EAC26" s="235"/>
      <c r="EAD26" s="235"/>
      <c r="EAE26" s="235"/>
      <c r="EAF26" s="235"/>
      <c r="EAG26" s="235"/>
      <c r="EAH26" s="235"/>
      <c r="EAI26" s="235"/>
      <c r="EAJ26" s="235"/>
      <c r="EAK26" s="235"/>
      <c r="EAL26" s="235"/>
      <c r="EAM26" s="235"/>
      <c r="EAN26" s="235"/>
      <c r="EAO26" s="235"/>
      <c r="EAP26" s="235"/>
      <c r="EAQ26" s="235"/>
      <c r="EAR26" s="235"/>
      <c r="EAS26" s="235"/>
      <c r="EAT26" s="235"/>
      <c r="EAU26" s="235"/>
      <c r="EAV26" s="235"/>
      <c r="EAW26" s="235"/>
      <c r="EAX26" s="235"/>
      <c r="EAY26" s="235"/>
      <c r="EAZ26" s="235"/>
      <c r="EBA26" s="235"/>
      <c r="EBB26" s="235"/>
      <c r="EBC26" s="235"/>
      <c r="EBD26" s="235"/>
      <c r="EBE26" s="235"/>
      <c r="EBF26" s="235"/>
      <c r="EBG26" s="235"/>
      <c r="EBH26" s="235"/>
      <c r="EBI26" s="235"/>
      <c r="EBJ26" s="235"/>
      <c r="EBK26" s="235"/>
      <c r="EBL26" s="235"/>
      <c r="EBM26" s="235"/>
      <c r="EBN26" s="235"/>
      <c r="EBO26" s="235"/>
      <c r="EBP26" s="235"/>
      <c r="EBQ26" s="235"/>
      <c r="EBR26" s="235"/>
      <c r="EBS26" s="235"/>
      <c r="EBT26" s="235"/>
      <c r="EBU26" s="235"/>
      <c r="EBV26" s="235"/>
      <c r="EBW26" s="235"/>
      <c r="EBX26" s="235"/>
      <c r="EBY26" s="235"/>
      <c r="EBZ26" s="235"/>
      <c r="ECA26" s="235"/>
      <c r="ECB26" s="235"/>
      <c r="ECC26" s="235"/>
      <c r="ECD26" s="235"/>
      <c r="ECE26" s="235"/>
      <c r="ECF26" s="235"/>
      <c r="ECG26" s="235"/>
      <c r="ECH26" s="235"/>
      <c r="ECI26" s="235"/>
      <c r="ECJ26" s="235"/>
      <c r="ECK26" s="235"/>
      <c r="ECL26" s="235"/>
      <c r="ECM26" s="235"/>
      <c r="ECN26" s="235"/>
      <c r="ECO26" s="235"/>
      <c r="ECP26" s="235"/>
      <c r="ECQ26" s="235"/>
      <c r="ECR26" s="235"/>
      <c r="ECS26" s="235"/>
      <c r="ECT26" s="235"/>
      <c r="ECU26" s="235"/>
      <c r="ECV26" s="235"/>
      <c r="ECW26" s="235"/>
      <c r="ECX26" s="235"/>
      <c r="ECY26" s="235"/>
      <c r="ECZ26" s="235"/>
      <c r="EDA26" s="235"/>
      <c r="EDB26" s="235"/>
      <c r="EDC26" s="235"/>
      <c r="EDD26" s="235"/>
      <c r="EDE26" s="235"/>
      <c r="EDF26" s="235"/>
      <c r="EDG26" s="235"/>
      <c r="EDH26" s="235"/>
      <c r="EDI26" s="235"/>
      <c r="EDJ26" s="235"/>
      <c r="EDK26" s="235"/>
      <c r="EDL26" s="235"/>
      <c r="EDM26" s="235"/>
      <c r="EDN26" s="235"/>
      <c r="EDO26" s="235"/>
      <c r="EDP26" s="235"/>
      <c r="EDQ26" s="235"/>
      <c r="EDR26" s="235"/>
      <c r="EDS26" s="235"/>
      <c r="EDT26" s="235"/>
      <c r="EDU26" s="235"/>
      <c r="EDV26" s="235"/>
      <c r="EDW26" s="235"/>
      <c r="EDX26" s="235"/>
      <c r="EDY26" s="235"/>
      <c r="EDZ26" s="235"/>
      <c r="EEA26" s="235"/>
      <c r="EEB26" s="235"/>
      <c r="EEC26" s="235"/>
      <c r="EED26" s="235"/>
      <c r="EEE26" s="235"/>
      <c r="EEF26" s="235"/>
      <c r="EEG26" s="235"/>
      <c r="EEH26" s="235"/>
      <c r="EEI26" s="235"/>
      <c r="EEJ26" s="235"/>
      <c r="EEK26" s="235"/>
      <c r="EEL26" s="235"/>
      <c r="EEM26" s="235"/>
      <c r="EEN26" s="235"/>
      <c r="EEO26" s="235"/>
      <c r="EEP26" s="235"/>
      <c r="EEQ26" s="235"/>
      <c r="EER26" s="235"/>
      <c r="EES26" s="235"/>
      <c r="EET26" s="235"/>
      <c r="EEU26" s="235"/>
      <c r="EEV26" s="235"/>
      <c r="EEW26" s="235"/>
      <c r="EEX26" s="235"/>
      <c r="EEY26" s="235"/>
      <c r="EEZ26" s="235"/>
      <c r="EFA26" s="235"/>
      <c r="EFB26" s="235"/>
      <c r="EFC26" s="235"/>
      <c r="EFD26" s="235"/>
      <c r="EFE26" s="235"/>
      <c r="EFF26" s="235"/>
      <c r="EFG26" s="235"/>
      <c r="EFH26" s="235"/>
      <c r="EFI26" s="235"/>
      <c r="EFJ26" s="235"/>
      <c r="EFK26" s="235"/>
      <c r="EFL26" s="235"/>
      <c r="EFM26" s="235"/>
      <c r="EFN26" s="235"/>
      <c r="EFO26" s="235"/>
      <c r="EFP26" s="235"/>
      <c r="EFQ26" s="235"/>
      <c r="EFR26" s="235"/>
      <c r="EFS26" s="235"/>
      <c r="EFT26" s="235"/>
      <c r="EFU26" s="235"/>
      <c r="EFV26" s="235"/>
      <c r="EFW26" s="235"/>
      <c r="EFX26" s="235"/>
      <c r="EFY26" s="235"/>
      <c r="EFZ26" s="235"/>
      <c r="EGA26" s="235"/>
      <c r="EGB26" s="235"/>
      <c r="EGC26" s="235"/>
      <c r="EGD26" s="235"/>
      <c r="EGE26" s="235"/>
      <c r="EGF26" s="235"/>
      <c r="EGG26" s="235"/>
      <c r="EGH26" s="235"/>
      <c r="EGI26" s="235"/>
      <c r="EGJ26" s="235"/>
      <c r="EGK26" s="235"/>
      <c r="EGL26" s="235"/>
      <c r="EGM26" s="235"/>
      <c r="EGN26" s="235"/>
      <c r="EGO26" s="235"/>
      <c r="EGP26" s="235"/>
      <c r="EGQ26" s="235"/>
      <c r="EGR26" s="235"/>
      <c r="EGS26" s="235"/>
      <c r="EGT26" s="235"/>
      <c r="EGU26" s="235"/>
      <c r="EGV26" s="235"/>
      <c r="EGW26" s="235"/>
      <c r="EGX26" s="235"/>
      <c r="EGY26" s="235"/>
      <c r="EGZ26" s="235"/>
      <c r="EHA26" s="235"/>
      <c r="EHB26" s="235"/>
      <c r="EHC26" s="235"/>
      <c r="EHD26" s="235"/>
      <c r="EHE26" s="235"/>
      <c r="EHF26" s="235"/>
      <c r="EHG26" s="235"/>
      <c r="EHH26" s="235"/>
      <c r="EHI26" s="235"/>
      <c r="EHJ26" s="235"/>
      <c r="EHK26" s="235"/>
      <c r="EHL26" s="235"/>
      <c r="EHM26" s="235"/>
      <c r="EHN26" s="235"/>
      <c r="EHO26" s="235"/>
      <c r="EHP26" s="235"/>
      <c r="EHQ26" s="235"/>
      <c r="EHR26" s="235"/>
      <c r="EHS26" s="235"/>
      <c r="EHT26" s="235"/>
      <c r="EHU26" s="235"/>
      <c r="EHV26" s="235"/>
      <c r="EHW26" s="235"/>
      <c r="EHX26" s="235"/>
      <c r="EHY26" s="235"/>
      <c r="EHZ26" s="235"/>
      <c r="EIA26" s="235"/>
      <c r="EIB26" s="235"/>
      <c r="EIC26" s="235"/>
      <c r="EID26" s="235"/>
      <c r="EIE26" s="235"/>
      <c r="EIF26" s="235"/>
      <c r="EIG26" s="235"/>
      <c r="EIH26" s="235"/>
      <c r="EII26" s="235"/>
      <c r="EIJ26" s="235"/>
      <c r="EIK26" s="235"/>
      <c r="EIL26" s="235"/>
      <c r="EIM26" s="235"/>
      <c r="EIN26" s="235"/>
      <c r="EIO26" s="235"/>
      <c r="EIP26" s="235"/>
      <c r="EIQ26" s="235"/>
      <c r="EIR26" s="235"/>
      <c r="EIS26" s="235"/>
      <c r="EIT26" s="235"/>
      <c r="EIU26" s="235"/>
      <c r="EIV26" s="235"/>
      <c r="EIW26" s="235"/>
      <c r="EIX26" s="235"/>
      <c r="EIY26" s="235"/>
      <c r="EIZ26" s="235"/>
      <c r="EJA26" s="235"/>
      <c r="EJB26" s="235"/>
      <c r="EJC26" s="235"/>
      <c r="EJD26" s="235"/>
      <c r="EJE26" s="235"/>
      <c r="EJF26" s="235"/>
      <c r="EJG26" s="235"/>
      <c r="EJH26" s="235"/>
      <c r="EJI26" s="235"/>
      <c r="EJJ26" s="235"/>
      <c r="EJK26" s="235"/>
      <c r="EJL26" s="235"/>
      <c r="EJM26" s="235"/>
      <c r="EJN26" s="235"/>
      <c r="EJO26" s="235"/>
      <c r="EJP26" s="235"/>
      <c r="EJQ26" s="235"/>
      <c r="EJR26" s="235"/>
      <c r="EJS26" s="235"/>
      <c r="EJT26" s="235"/>
      <c r="EJU26" s="235"/>
      <c r="EJV26" s="235"/>
      <c r="EJW26" s="235"/>
      <c r="EJX26" s="235"/>
      <c r="EJY26" s="235"/>
      <c r="EJZ26" s="235"/>
      <c r="EKA26" s="235"/>
      <c r="EKB26" s="235"/>
      <c r="EKC26" s="235"/>
      <c r="EKD26" s="235"/>
      <c r="EKE26" s="235"/>
      <c r="EKF26" s="235"/>
      <c r="EKG26" s="235"/>
      <c r="EKH26" s="235"/>
      <c r="EKI26" s="235"/>
      <c r="EKJ26" s="235"/>
      <c r="EKK26" s="235"/>
      <c r="EKL26" s="235"/>
      <c r="EKM26" s="235"/>
      <c r="EKN26" s="235"/>
      <c r="EKO26" s="235"/>
      <c r="EKP26" s="235"/>
      <c r="EKQ26" s="235"/>
      <c r="EKR26" s="235"/>
      <c r="EKS26" s="235"/>
      <c r="EKT26" s="235"/>
      <c r="EKU26" s="235"/>
      <c r="EKV26" s="235"/>
      <c r="EKW26" s="235"/>
      <c r="EKX26" s="235"/>
      <c r="EKY26" s="235"/>
      <c r="EKZ26" s="235"/>
      <c r="ELA26" s="235"/>
      <c r="ELB26" s="235"/>
      <c r="ELC26" s="235"/>
      <c r="ELD26" s="235"/>
      <c r="ELE26" s="235"/>
      <c r="ELF26" s="235"/>
      <c r="ELG26" s="235"/>
      <c r="ELH26" s="235"/>
      <c r="ELI26" s="235"/>
      <c r="ELJ26" s="235"/>
      <c r="ELK26" s="235"/>
      <c r="ELL26" s="235"/>
      <c r="ELM26" s="235"/>
      <c r="ELN26" s="235"/>
      <c r="ELO26" s="235"/>
      <c r="ELP26" s="235"/>
      <c r="ELQ26" s="235"/>
      <c r="ELR26" s="235"/>
      <c r="ELS26" s="235"/>
      <c r="ELT26" s="235"/>
      <c r="ELU26" s="235"/>
      <c r="ELV26" s="235"/>
      <c r="ELW26" s="235"/>
      <c r="ELX26" s="235"/>
      <c r="ELY26" s="235"/>
      <c r="ELZ26" s="235"/>
      <c r="EMA26" s="235"/>
      <c r="EMB26" s="235"/>
      <c r="EMC26" s="235"/>
      <c r="EMD26" s="235"/>
      <c r="EME26" s="235"/>
      <c r="EMF26" s="235"/>
      <c r="EMG26" s="235"/>
      <c r="EMH26" s="235"/>
      <c r="EMI26" s="235"/>
      <c r="EMJ26" s="235"/>
      <c r="EMK26" s="235"/>
      <c r="EML26" s="235"/>
      <c r="EMM26" s="235"/>
      <c r="EMN26" s="235"/>
      <c r="EMO26" s="235"/>
      <c r="EMP26" s="235"/>
      <c r="EMQ26" s="235"/>
      <c r="EMR26" s="235"/>
      <c r="EMS26" s="235"/>
      <c r="EMT26" s="235"/>
      <c r="EMU26" s="235"/>
      <c r="EMV26" s="235"/>
      <c r="EMW26" s="235"/>
      <c r="EMX26" s="235"/>
      <c r="EMY26" s="235"/>
      <c r="EMZ26" s="235"/>
      <c r="ENA26" s="235"/>
      <c r="ENB26" s="235"/>
      <c r="ENC26" s="235"/>
      <c r="END26" s="235"/>
      <c r="ENE26" s="235"/>
      <c r="ENF26" s="235"/>
      <c r="ENG26" s="235"/>
      <c r="ENH26" s="235"/>
      <c r="ENI26" s="235"/>
      <c r="ENJ26" s="235"/>
      <c r="ENK26" s="235"/>
      <c r="ENL26" s="235"/>
      <c r="ENM26" s="235"/>
      <c r="ENN26" s="235"/>
      <c r="ENO26" s="235"/>
      <c r="ENP26" s="235"/>
      <c r="ENQ26" s="235"/>
      <c r="ENR26" s="235"/>
      <c r="ENS26" s="235"/>
      <c r="ENT26" s="235"/>
      <c r="ENU26" s="235"/>
      <c r="ENV26" s="235"/>
      <c r="ENW26" s="235"/>
      <c r="ENX26" s="235"/>
      <c r="ENY26" s="235"/>
      <c r="ENZ26" s="235"/>
      <c r="EOA26" s="235"/>
      <c r="EOB26" s="235"/>
      <c r="EOC26" s="235"/>
      <c r="EOD26" s="235"/>
      <c r="EOE26" s="235"/>
      <c r="EOF26" s="235"/>
      <c r="EOG26" s="235"/>
      <c r="EOH26" s="235"/>
      <c r="EOI26" s="235"/>
      <c r="EOJ26" s="235"/>
      <c r="EOK26" s="235"/>
      <c r="EOL26" s="235"/>
      <c r="EOM26" s="235"/>
      <c r="EON26" s="235"/>
      <c r="EOO26" s="235"/>
      <c r="EOP26" s="235"/>
      <c r="EOQ26" s="235"/>
      <c r="EOR26" s="235"/>
      <c r="EOS26" s="235"/>
      <c r="EOT26" s="235"/>
      <c r="EOU26" s="235"/>
      <c r="EOV26" s="235"/>
      <c r="EOW26" s="235"/>
      <c r="EOX26" s="235"/>
      <c r="EOY26" s="235"/>
      <c r="EOZ26" s="235"/>
      <c r="EPA26" s="235"/>
      <c r="EPB26" s="235"/>
      <c r="EPC26" s="235"/>
      <c r="EPD26" s="235"/>
      <c r="EPE26" s="235"/>
      <c r="EPF26" s="235"/>
      <c r="EPG26" s="235"/>
      <c r="EPH26" s="235"/>
      <c r="EPI26" s="235"/>
      <c r="EPJ26" s="235"/>
      <c r="EPK26" s="235"/>
      <c r="EPL26" s="235"/>
      <c r="EPM26" s="235"/>
      <c r="EPN26" s="235"/>
      <c r="EPO26" s="235"/>
      <c r="EPP26" s="235"/>
      <c r="EPQ26" s="235"/>
      <c r="EPR26" s="235"/>
      <c r="EPS26" s="235"/>
      <c r="EPT26" s="235"/>
      <c r="EPU26" s="235"/>
      <c r="EPV26" s="235"/>
      <c r="EPW26" s="235"/>
      <c r="EPX26" s="235"/>
      <c r="EPY26" s="235"/>
      <c r="EPZ26" s="235"/>
      <c r="EQA26" s="235"/>
      <c r="EQB26" s="235"/>
      <c r="EQC26" s="235"/>
      <c r="EQD26" s="235"/>
      <c r="EQE26" s="235"/>
      <c r="EQF26" s="235"/>
      <c r="EQG26" s="235"/>
      <c r="EQH26" s="235"/>
      <c r="EQI26" s="235"/>
      <c r="EQJ26" s="235"/>
      <c r="EQK26" s="235"/>
      <c r="EQL26" s="235"/>
      <c r="EQM26" s="235"/>
      <c r="EQN26" s="235"/>
      <c r="EQO26" s="235"/>
      <c r="EQP26" s="235"/>
      <c r="EQQ26" s="235"/>
      <c r="EQR26" s="235"/>
      <c r="EQS26" s="235"/>
      <c r="EQT26" s="235"/>
      <c r="EQU26" s="235"/>
      <c r="EQV26" s="235"/>
      <c r="EQW26" s="235"/>
      <c r="EQX26" s="235"/>
      <c r="EQY26" s="235"/>
      <c r="EQZ26" s="235"/>
      <c r="ERA26" s="235"/>
      <c r="ERB26" s="235"/>
      <c r="ERC26" s="235"/>
      <c r="ERD26" s="235"/>
      <c r="ERE26" s="235"/>
      <c r="ERF26" s="235"/>
      <c r="ERG26" s="235"/>
      <c r="ERH26" s="235"/>
      <c r="ERI26" s="235"/>
      <c r="ERJ26" s="235"/>
      <c r="ERK26" s="235"/>
      <c r="ERL26" s="235"/>
      <c r="ERM26" s="235"/>
      <c r="ERN26" s="235"/>
      <c r="ERO26" s="235"/>
      <c r="ERP26" s="235"/>
      <c r="ERQ26" s="235"/>
      <c r="ERR26" s="235"/>
      <c r="ERS26" s="235"/>
      <c r="ERT26" s="235"/>
      <c r="ERU26" s="235"/>
      <c r="ERV26" s="235"/>
      <c r="ERW26" s="235"/>
      <c r="ERX26" s="235"/>
      <c r="ERY26" s="235"/>
      <c r="ERZ26" s="235"/>
      <c r="ESA26" s="235"/>
      <c r="ESB26" s="235"/>
      <c r="ESC26" s="235"/>
      <c r="ESD26" s="235"/>
      <c r="ESE26" s="235"/>
      <c r="ESF26" s="235"/>
      <c r="ESG26" s="235"/>
      <c r="ESH26" s="235"/>
      <c r="ESI26" s="235"/>
      <c r="ESJ26" s="235"/>
      <c r="ESK26" s="235"/>
      <c r="ESL26" s="235"/>
      <c r="ESM26" s="235"/>
      <c r="ESN26" s="235"/>
      <c r="ESO26" s="235"/>
      <c r="ESP26" s="235"/>
      <c r="ESQ26" s="235"/>
      <c r="ESR26" s="235"/>
      <c r="ESS26" s="235"/>
      <c r="EST26" s="235"/>
      <c r="ESU26" s="235"/>
      <c r="ESV26" s="235"/>
      <c r="ESW26" s="235"/>
      <c r="ESX26" s="235"/>
      <c r="ESY26" s="235"/>
      <c r="ESZ26" s="235"/>
      <c r="ETA26" s="235"/>
      <c r="ETB26" s="235"/>
      <c r="ETC26" s="235"/>
      <c r="ETD26" s="235"/>
      <c r="ETE26" s="235"/>
      <c r="ETF26" s="235"/>
      <c r="ETG26" s="235"/>
      <c r="ETH26" s="235"/>
      <c r="ETI26" s="235"/>
      <c r="ETJ26" s="235"/>
      <c r="ETK26" s="235"/>
      <c r="ETL26" s="235"/>
      <c r="ETM26" s="235"/>
      <c r="ETN26" s="235"/>
      <c r="ETO26" s="235"/>
      <c r="ETP26" s="235"/>
      <c r="ETQ26" s="235"/>
      <c r="ETR26" s="235"/>
      <c r="ETS26" s="235"/>
      <c r="ETT26" s="235"/>
      <c r="ETU26" s="235"/>
      <c r="ETV26" s="235"/>
      <c r="ETW26" s="235"/>
      <c r="ETX26" s="235"/>
      <c r="ETY26" s="235"/>
      <c r="ETZ26" s="235"/>
      <c r="EUA26" s="235"/>
      <c r="EUB26" s="235"/>
      <c r="EUC26" s="235"/>
      <c r="EUD26" s="235"/>
      <c r="EUE26" s="235"/>
      <c r="EUF26" s="235"/>
      <c r="EUG26" s="235"/>
      <c r="EUH26" s="235"/>
      <c r="EUI26" s="235"/>
      <c r="EUJ26" s="235"/>
      <c r="EUK26" s="235"/>
      <c r="EUL26" s="235"/>
      <c r="EUM26" s="235"/>
      <c r="EUN26" s="235"/>
      <c r="EUO26" s="235"/>
      <c r="EUP26" s="235"/>
      <c r="EUQ26" s="235"/>
      <c r="EUR26" s="235"/>
      <c r="EUS26" s="235"/>
      <c r="EUT26" s="235"/>
      <c r="EUU26" s="235"/>
      <c r="EUV26" s="235"/>
      <c r="EUW26" s="235"/>
      <c r="EUX26" s="235"/>
      <c r="EUY26" s="235"/>
      <c r="EUZ26" s="235"/>
      <c r="EVA26" s="235"/>
      <c r="EVB26" s="235"/>
      <c r="EVC26" s="235"/>
      <c r="EVD26" s="235"/>
      <c r="EVE26" s="235"/>
      <c r="EVF26" s="235"/>
      <c r="EVG26" s="235"/>
      <c r="EVH26" s="235"/>
      <c r="EVI26" s="235"/>
      <c r="EVJ26" s="235"/>
      <c r="EVK26" s="235"/>
      <c r="EVL26" s="235"/>
      <c r="EVM26" s="235"/>
      <c r="EVN26" s="235"/>
      <c r="EVO26" s="235"/>
      <c r="EVP26" s="235"/>
      <c r="EVQ26" s="235"/>
      <c r="EVR26" s="235"/>
      <c r="EVS26" s="235"/>
      <c r="EVT26" s="235"/>
      <c r="EVU26" s="235"/>
      <c r="EVV26" s="235"/>
      <c r="EVW26" s="235"/>
      <c r="EVX26" s="235"/>
      <c r="EVY26" s="235"/>
      <c r="EVZ26" s="235"/>
      <c r="EWA26" s="235"/>
      <c r="EWB26" s="235"/>
      <c r="EWC26" s="235"/>
      <c r="EWD26" s="235"/>
      <c r="EWE26" s="235"/>
      <c r="EWF26" s="235"/>
      <c r="EWG26" s="235"/>
      <c r="EWH26" s="235"/>
      <c r="EWI26" s="235"/>
      <c r="EWJ26" s="235"/>
      <c r="EWK26" s="235"/>
      <c r="EWL26" s="235"/>
      <c r="EWM26" s="235"/>
      <c r="EWN26" s="235"/>
      <c r="EWO26" s="235"/>
      <c r="EWP26" s="235"/>
      <c r="EWQ26" s="235"/>
      <c r="EWR26" s="235"/>
      <c r="EWS26" s="235"/>
      <c r="EWT26" s="235"/>
      <c r="EWU26" s="235"/>
      <c r="EWV26" s="235"/>
      <c r="EWW26" s="235"/>
      <c r="EWX26" s="235"/>
      <c r="EWY26" s="235"/>
      <c r="EWZ26" s="235"/>
      <c r="EXA26" s="235"/>
      <c r="EXB26" s="235"/>
      <c r="EXC26" s="235"/>
      <c r="EXD26" s="235"/>
      <c r="EXE26" s="235"/>
      <c r="EXF26" s="235"/>
      <c r="EXG26" s="235"/>
      <c r="EXH26" s="235"/>
      <c r="EXI26" s="235"/>
      <c r="EXJ26" s="235"/>
      <c r="EXK26" s="235"/>
      <c r="EXL26" s="235"/>
      <c r="EXM26" s="235"/>
      <c r="EXN26" s="235"/>
      <c r="EXO26" s="235"/>
      <c r="EXP26" s="235"/>
      <c r="EXQ26" s="235"/>
      <c r="EXR26" s="235"/>
      <c r="EXS26" s="235"/>
      <c r="EXT26" s="235"/>
      <c r="EXU26" s="235"/>
      <c r="EXV26" s="235"/>
      <c r="EXW26" s="235"/>
      <c r="EXX26" s="235"/>
      <c r="EXY26" s="235"/>
      <c r="EXZ26" s="235"/>
      <c r="EYA26" s="235"/>
      <c r="EYB26" s="235"/>
      <c r="EYC26" s="235"/>
      <c r="EYD26" s="235"/>
      <c r="EYE26" s="235"/>
      <c r="EYF26" s="235"/>
      <c r="EYG26" s="235"/>
      <c r="EYH26" s="235"/>
      <c r="EYI26" s="235"/>
      <c r="EYJ26" s="235"/>
      <c r="EYK26" s="235"/>
      <c r="EYL26" s="235"/>
      <c r="EYM26" s="235"/>
      <c r="EYN26" s="235"/>
      <c r="EYO26" s="235"/>
      <c r="EYP26" s="235"/>
      <c r="EYQ26" s="235"/>
      <c r="EYR26" s="235"/>
      <c r="EYS26" s="235"/>
      <c r="EYT26" s="235"/>
      <c r="EYU26" s="235"/>
      <c r="EYV26" s="235"/>
      <c r="EYW26" s="235"/>
      <c r="EYX26" s="235"/>
      <c r="EYY26" s="235"/>
      <c r="EYZ26" s="235"/>
      <c r="EZA26" s="235"/>
      <c r="EZB26" s="235"/>
      <c r="EZC26" s="235"/>
      <c r="EZD26" s="235"/>
      <c r="EZE26" s="235"/>
      <c r="EZF26" s="235"/>
      <c r="EZG26" s="235"/>
      <c r="EZH26" s="235"/>
      <c r="EZI26" s="235"/>
      <c r="EZJ26" s="235"/>
      <c r="EZK26" s="235"/>
      <c r="EZL26" s="235"/>
      <c r="EZM26" s="235"/>
      <c r="EZN26" s="235"/>
      <c r="EZO26" s="235"/>
      <c r="EZP26" s="235"/>
      <c r="EZQ26" s="235"/>
      <c r="EZR26" s="235"/>
      <c r="EZS26" s="235"/>
      <c r="EZT26" s="235"/>
      <c r="EZU26" s="235"/>
      <c r="EZV26" s="235"/>
      <c r="EZW26" s="235"/>
      <c r="EZX26" s="235"/>
      <c r="EZY26" s="235"/>
      <c r="EZZ26" s="235"/>
      <c r="FAA26" s="235"/>
      <c r="FAB26" s="235"/>
      <c r="FAC26" s="235"/>
      <c r="FAD26" s="235"/>
      <c r="FAE26" s="235"/>
      <c r="FAF26" s="235"/>
      <c r="FAG26" s="235"/>
      <c r="FAH26" s="235"/>
      <c r="FAI26" s="235"/>
      <c r="FAJ26" s="235"/>
      <c r="FAK26" s="235"/>
      <c r="FAL26" s="235"/>
      <c r="FAM26" s="235"/>
      <c r="FAN26" s="235"/>
      <c r="FAO26" s="235"/>
      <c r="FAP26" s="235"/>
      <c r="FAQ26" s="235"/>
      <c r="FAR26" s="235"/>
      <c r="FAS26" s="235"/>
      <c r="FAT26" s="235"/>
      <c r="FAU26" s="235"/>
      <c r="FAV26" s="235"/>
      <c r="FAW26" s="235"/>
      <c r="FAX26" s="235"/>
      <c r="FAY26" s="235"/>
      <c r="FAZ26" s="235"/>
      <c r="FBA26" s="235"/>
      <c r="FBB26" s="235"/>
      <c r="FBC26" s="235"/>
      <c r="FBD26" s="235"/>
      <c r="FBE26" s="235"/>
      <c r="FBF26" s="235"/>
      <c r="FBG26" s="235"/>
      <c r="FBH26" s="235"/>
      <c r="FBI26" s="235"/>
      <c r="FBJ26" s="235"/>
      <c r="FBK26" s="235"/>
      <c r="FBL26" s="235"/>
      <c r="FBM26" s="235"/>
      <c r="FBN26" s="235"/>
      <c r="FBO26" s="235"/>
      <c r="FBP26" s="235"/>
      <c r="FBQ26" s="235"/>
      <c r="FBR26" s="235"/>
      <c r="FBS26" s="235"/>
      <c r="FBT26" s="235"/>
      <c r="FBU26" s="235"/>
      <c r="FBV26" s="235"/>
      <c r="FBW26" s="235"/>
      <c r="FBX26" s="235"/>
      <c r="FBY26" s="235"/>
      <c r="FBZ26" s="235"/>
      <c r="FCA26" s="235"/>
      <c r="FCB26" s="235"/>
      <c r="FCC26" s="235"/>
      <c r="FCD26" s="235"/>
      <c r="FCE26" s="235"/>
      <c r="FCF26" s="235"/>
      <c r="FCG26" s="235"/>
      <c r="FCH26" s="235"/>
      <c r="FCI26" s="235"/>
      <c r="FCJ26" s="235"/>
      <c r="FCK26" s="235"/>
      <c r="FCL26" s="235"/>
      <c r="FCM26" s="235"/>
      <c r="FCN26" s="235"/>
      <c r="FCO26" s="235"/>
      <c r="FCP26" s="235"/>
      <c r="FCQ26" s="235"/>
      <c r="FCR26" s="235"/>
      <c r="FCS26" s="235"/>
      <c r="FCT26" s="235"/>
      <c r="FCU26" s="235"/>
      <c r="FCV26" s="235"/>
      <c r="FCW26" s="235"/>
      <c r="FCX26" s="235"/>
      <c r="FCY26" s="235"/>
      <c r="FCZ26" s="235"/>
      <c r="FDA26" s="235"/>
      <c r="FDB26" s="235"/>
      <c r="FDC26" s="235"/>
      <c r="FDD26" s="235"/>
      <c r="FDE26" s="235"/>
      <c r="FDF26" s="235"/>
      <c r="FDG26" s="235"/>
      <c r="FDH26" s="235"/>
      <c r="FDI26" s="235"/>
      <c r="FDJ26" s="235"/>
      <c r="FDK26" s="235"/>
      <c r="FDL26" s="235"/>
      <c r="FDM26" s="235"/>
      <c r="FDN26" s="235"/>
      <c r="FDO26" s="235"/>
      <c r="FDP26" s="235"/>
      <c r="FDQ26" s="235"/>
      <c r="FDR26" s="235"/>
      <c r="FDS26" s="235"/>
      <c r="FDT26" s="235"/>
      <c r="FDU26" s="235"/>
      <c r="FDV26" s="235"/>
      <c r="FDW26" s="235"/>
      <c r="FDX26" s="235"/>
      <c r="FDY26" s="235"/>
      <c r="FDZ26" s="235"/>
      <c r="FEA26" s="235"/>
      <c r="FEB26" s="235"/>
      <c r="FEC26" s="235"/>
      <c r="FED26" s="235"/>
      <c r="FEE26" s="235"/>
      <c r="FEF26" s="235"/>
      <c r="FEG26" s="235"/>
      <c r="FEH26" s="235"/>
      <c r="FEI26" s="235"/>
      <c r="FEJ26" s="235"/>
      <c r="FEK26" s="235"/>
      <c r="FEL26" s="235"/>
      <c r="FEM26" s="235"/>
      <c r="FEN26" s="235"/>
      <c r="FEO26" s="235"/>
      <c r="FEP26" s="235"/>
      <c r="FEQ26" s="235"/>
      <c r="FER26" s="235"/>
      <c r="FES26" s="235"/>
      <c r="FET26" s="235"/>
      <c r="FEU26" s="235"/>
      <c r="FEV26" s="235"/>
      <c r="FEW26" s="235"/>
      <c r="FEX26" s="235"/>
      <c r="FEY26" s="235"/>
      <c r="FEZ26" s="235"/>
      <c r="FFA26" s="235"/>
      <c r="FFB26" s="235"/>
      <c r="FFC26" s="235"/>
      <c r="FFD26" s="235"/>
      <c r="FFE26" s="235"/>
      <c r="FFF26" s="235"/>
      <c r="FFG26" s="235"/>
      <c r="FFH26" s="235"/>
      <c r="FFI26" s="235"/>
      <c r="FFJ26" s="235"/>
      <c r="FFK26" s="235"/>
      <c r="FFL26" s="235"/>
      <c r="FFM26" s="235"/>
      <c r="FFN26" s="235"/>
      <c r="FFO26" s="235"/>
      <c r="FFP26" s="235"/>
      <c r="FFQ26" s="235"/>
      <c r="FFR26" s="235"/>
      <c r="FFS26" s="235"/>
      <c r="FFT26" s="235"/>
      <c r="FFU26" s="235"/>
      <c r="FFV26" s="235"/>
      <c r="FFW26" s="235"/>
      <c r="FFX26" s="235"/>
      <c r="FFY26" s="235"/>
      <c r="FFZ26" s="235"/>
      <c r="FGA26" s="235"/>
      <c r="FGB26" s="235"/>
      <c r="FGC26" s="235"/>
      <c r="FGD26" s="235"/>
      <c r="FGE26" s="235"/>
      <c r="FGF26" s="235"/>
      <c r="FGG26" s="235"/>
      <c r="FGH26" s="235"/>
      <c r="FGI26" s="235"/>
      <c r="FGJ26" s="235"/>
      <c r="FGK26" s="235"/>
      <c r="FGL26" s="235"/>
      <c r="FGM26" s="235"/>
      <c r="FGN26" s="235"/>
      <c r="FGO26" s="235"/>
      <c r="FGP26" s="235"/>
      <c r="FGQ26" s="235"/>
      <c r="FGR26" s="235"/>
      <c r="FGS26" s="235"/>
      <c r="FGT26" s="235"/>
      <c r="FGU26" s="235"/>
      <c r="FGV26" s="235"/>
      <c r="FGW26" s="235"/>
      <c r="FGX26" s="235"/>
      <c r="FGY26" s="235"/>
      <c r="FGZ26" s="235"/>
      <c r="FHA26" s="235"/>
      <c r="FHB26" s="235"/>
      <c r="FHC26" s="235"/>
      <c r="FHD26" s="235"/>
      <c r="FHE26" s="235"/>
      <c r="FHF26" s="235"/>
      <c r="FHG26" s="235"/>
      <c r="FHH26" s="235"/>
      <c r="FHI26" s="235"/>
      <c r="FHJ26" s="235"/>
      <c r="FHK26" s="235"/>
      <c r="FHL26" s="235"/>
      <c r="FHM26" s="235"/>
      <c r="FHN26" s="235"/>
      <c r="FHO26" s="235"/>
      <c r="FHP26" s="235"/>
      <c r="FHQ26" s="235"/>
      <c r="FHR26" s="235"/>
      <c r="FHS26" s="235"/>
      <c r="FHT26" s="235"/>
      <c r="FHU26" s="235"/>
      <c r="FHV26" s="235"/>
      <c r="FHW26" s="235"/>
      <c r="FHX26" s="235"/>
      <c r="FHY26" s="235"/>
      <c r="FHZ26" s="235"/>
      <c r="FIA26" s="235"/>
      <c r="FIB26" s="235"/>
      <c r="FIC26" s="235"/>
      <c r="FID26" s="235"/>
      <c r="FIE26" s="235"/>
      <c r="FIF26" s="235"/>
      <c r="FIG26" s="235"/>
      <c r="FIH26" s="235"/>
      <c r="FII26" s="235"/>
      <c r="FIJ26" s="235"/>
      <c r="FIK26" s="235"/>
      <c r="FIL26" s="235"/>
      <c r="FIM26" s="235"/>
      <c r="FIN26" s="235"/>
      <c r="FIO26" s="235"/>
      <c r="FIP26" s="235"/>
      <c r="FIQ26" s="235"/>
      <c r="FIR26" s="235"/>
      <c r="FIS26" s="235"/>
      <c r="FIT26" s="235"/>
      <c r="FIU26" s="235"/>
      <c r="FIV26" s="235"/>
      <c r="FIW26" s="235"/>
      <c r="FIX26" s="235"/>
      <c r="FIY26" s="235"/>
      <c r="FIZ26" s="235"/>
      <c r="FJA26" s="235"/>
      <c r="FJB26" s="235"/>
      <c r="FJC26" s="235"/>
      <c r="FJD26" s="235"/>
      <c r="FJE26" s="235"/>
      <c r="FJF26" s="235"/>
      <c r="FJG26" s="235"/>
      <c r="FJH26" s="235"/>
      <c r="FJI26" s="235"/>
      <c r="FJJ26" s="235"/>
      <c r="FJK26" s="235"/>
      <c r="FJL26" s="235"/>
      <c r="FJM26" s="235"/>
      <c r="FJN26" s="235"/>
      <c r="FJO26" s="235"/>
      <c r="FJP26" s="235"/>
      <c r="FJQ26" s="235"/>
      <c r="FJR26" s="235"/>
      <c r="FJS26" s="235"/>
      <c r="FJT26" s="235"/>
      <c r="FJU26" s="235"/>
      <c r="FJV26" s="235"/>
      <c r="FJW26" s="235"/>
      <c r="FJX26" s="235"/>
      <c r="FJY26" s="235"/>
      <c r="FJZ26" s="235"/>
      <c r="FKA26" s="235"/>
      <c r="FKB26" s="235"/>
      <c r="FKC26" s="235"/>
      <c r="FKD26" s="235"/>
      <c r="FKE26" s="235"/>
      <c r="FKF26" s="235"/>
      <c r="FKG26" s="235"/>
      <c r="FKH26" s="235"/>
      <c r="FKI26" s="235"/>
      <c r="FKJ26" s="235"/>
      <c r="FKK26" s="235"/>
      <c r="FKL26" s="235"/>
      <c r="FKM26" s="235"/>
      <c r="FKN26" s="235"/>
      <c r="FKO26" s="235"/>
      <c r="FKP26" s="235"/>
      <c r="FKQ26" s="235"/>
      <c r="FKR26" s="235"/>
      <c r="FKS26" s="235"/>
      <c r="FKT26" s="235"/>
      <c r="FKU26" s="235"/>
      <c r="FKV26" s="235"/>
      <c r="FKW26" s="235"/>
      <c r="FKX26" s="235"/>
      <c r="FKY26" s="235"/>
      <c r="FKZ26" s="235"/>
      <c r="FLA26" s="235"/>
      <c r="FLB26" s="235"/>
      <c r="FLC26" s="235"/>
      <c r="FLD26" s="235"/>
      <c r="FLE26" s="235"/>
      <c r="FLF26" s="235"/>
      <c r="FLG26" s="235"/>
      <c r="FLH26" s="235"/>
      <c r="FLI26" s="235"/>
      <c r="FLJ26" s="235"/>
      <c r="FLK26" s="235"/>
      <c r="FLL26" s="235"/>
      <c r="FLM26" s="235"/>
      <c r="FLN26" s="235"/>
      <c r="FLO26" s="235"/>
      <c r="FLP26" s="235"/>
      <c r="FLQ26" s="235"/>
      <c r="FLR26" s="235"/>
      <c r="FLS26" s="235"/>
      <c r="FLT26" s="235"/>
      <c r="FLU26" s="235"/>
      <c r="FLV26" s="235"/>
      <c r="FLW26" s="235"/>
      <c r="FLX26" s="235"/>
      <c r="FLY26" s="235"/>
      <c r="FLZ26" s="235"/>
      <c r="FMA26" s="235"/>
      <c r="FMB26" s="235"/>
      <c r="FMC26" s="235"/>
      <c r="FMD26" s="235"/>
      <c r="FME26" s="235"/>
      <c r="FMF26" s="235"/>
      <c r="FMG26" s="235"/>
      <c r="FMH26" s="235"/>
      <c r="FMI26" s="235"/>
      <c r="FMJ26" s="235"/>
      <c r="FMK26" s="235"/>
      <c r="FML26" s="235"/>
      <c r="FMM26" s="235"/>
      <c r="FMN26" s="235"/>
      <c r="FMO26" s="235"/>
      <c r="FMP26" s="235"/>
      <c r="FMQ26" s="235"/>
      <c r="FMR26" s="235"/>
      <c r="FMS26" s="235"/>
      <c r="FMT26" s="235"/>
      <c r="FMU26" s="235"/>
      <c r="FMV26" s="235"/>
      <c r="FMW26" s="235"/>
      <c r="FMX26" s="235"/>
      <c r="FMY26" s="235"/>
      <c r="FMZ26" s="235"/>
      <c r="FNA26" s="235"/>
      <c r="FNB26" s="235"/>
      <c r="FNC26" s="235"/>
      <c r="FND26" s="235"/>
      <c r="FNE26" s="235"/>
      <c r="FNF26" s="235"/>
      <c r="FNG26" s="235"/>
      <c r="FNH26" s="235"/>
      <c r="FNI26" s="235"/>
      <c r="FNJ26" s="235"/>
      <c r="FNK26" s="235"/>
      <c r="FNL26" s="235"/>
      <c r="FNM26" s="235"/>
      <c r="FNN26" s="235"/>
      <c r="FNO26" s="235"/>
      <c r="FNP26" s="235"/>
      <c r="FNQ26" s="235"/>
      <c r="FNR26" s="235"/>
      <c r="FNS26" s="235"/>
      <c r="FNT26" s="235"/>
      <c r="FNU26" s="235"/>
      <c r="FNV26" s="235"/>
      <c r="FNW26" s="235"/>
      <c r="FNX26" s="235"/>
      <c r="FNY26" s="235"/>
      <c r="FNZ26" s="235"/>
      <c r="FOA26" s="235"/>
      <c r="FOB26" s="235"/>
      <c r="FOC26" s="235"/>
      <c r="FOD26" s="235"/>
      <c r="FOE26" s="235"/>
      <c r="FOF26" s="235"/>
      <c r="FOG26" s="235"/>
      <c r="FOH26" s="235"/>
      <c r="FOI26" s="235"/>
      <c r="FOJ26" s="235"/>
      <c r="FOK26" s="235"/>
      <c r="FOL26" s="235"/>
      <c r="FOM26" s="235"/>
      <c r="FON26" s="235"/>
      <c r="FOO26" s="235"/>
      <c r="FOP26" s="235"/>
      <c r="FOQ26" s="235"/>
      <c r="FOR26" s="235"/>
      <c r="FOS26" s="235"/>
      <c r="FOT26" s="235"/>
      <c r="FOU26" s="235"/>
      <c r="FOV26" s="235"/>
      <c r="FOW26" s="235"/>
      <c r="FOX26" s="235"/>
      <c r="FOY26" s="235"/>
      <c r="FOZ26" s="235"/>
      <c r="FPA26" s="235"/>
      <c r="FPB26" s="235"/>
      <c r="FPC26" s="235"/>
      <c r="FPD26" s="235"/>
      <c r="FPE26" s="235"/>
      <c r="FPF26" s="235"/>
      <c r="FPG26" s="235"/>
      <c r="FPH26" s="235"/>
      <c r="FPI26" s="235"/>
      <c r="FPJ26" s="235"/>
      <c r="FPK26" s="235"/>
      <c r="FPL26" s="235"/>
      <c r="FPM26" s="235"/>
      <c r="FPN26" s="235"/>
      <c r="FPO26" s="235"/>
      <c r="FPP26" s="235"/>
      <c r="FPQ26" s="235"/>
      <c r="FPR26" s="235"/>
      <c r="FPS26" s="235"/>
      <c r="FPT26" s="235"/>
      <c r="FPU26" s="235"/>
      <c r="FPV26" s="235"/>
      <c r="FPW26" s="235"/>
      <c r="FPX26" s="235"/>
      <c r="FPY26" s="235"/>
      <c r="FPZ26" s="235"/>
      <c r="FQA26" s="235"/>
      <c r="FQB26" s="235"/>
      <c r="FQC26" s="235"/>
      <c r="FQD26" s="235"/>
      <c r="FQE26" s="235"/>
      <c r="FQF26" s="235"/>
      <c r="FQG26" s="235"/>
      <c r="FQH26" s="235"/>
      <c r="FQI26" s="235"/>
      <c r="FQJ26" s="235"/>
      <c r="FQK26" s="235"/>
      <c r="FQL26" s="235"/>
      <c r="FQM26" s="235"/>
      <c r="FQN26" s="235"/>
      <c r="FQO26" s="235"/>
      <c r="FQP26" s="235"/>
      <c r="FQQ26" s="235"/>
      <c r="FQR26" s="235"/>
      <c r="FQS26" s="235"/>
      <c r="FQT26" s="235"/>
      <c r="FQU26" s="235"/>
      <c r="FQV26" s="235"/>
      <c r="FQW26" s="235"/>
      <c r="FQX26" s="235"/>
      <c r="FQY26" s="235"/>
      <c r="FQZ26" s="235"/>
      <c r="FRA26" s="235"/>
      <c r="FRB26" s="235"/>
      <c r="FRC26" s="235"/>
      <c r="FRD26" s="235"/>
      <c r="FRE26" s="235"/>
      <c r="FRF26" s="235"/>
      <c r="FRG26" s="235"/>
      <c r="FRH26" s="235"/>
      <c r="FRI26" s="235"/>
      <c r="FRJ26" s="235"/>
      <c r="FRK26" s="235"/>
      <c r="FRL26" s="235"/>
      <c r="FRM26" s="235"/>
      <c r="FRN26" s="235"/>
      <c r="FRO26" s="235"/>
      <c r="FRP26" s="235"/>
      <c r="FRQ26" s="235"/>
      <c r="FRR26" s="235"/>
      <c r="FRS26" s="235"/>
      <c r="FRT26" s="235"/>
      <c r="FRU26" s="235"/>
      <c r="FRV26" s="235"/>
      <c r="FRW26" s="235"/>
      <c r="FRX26" s="235"/>
      <c r="FRY26" s="235"/>
      <c r="FRZ26" s="235"/>
      <c r="FSA26" s="235"/>
      <c r="FSB26" s="235"/>
      <c r="FSC26" s="235"/>
      <c r="FSD26" s="235"/>
      <c r="FSE26" s="235"/>
      <c r="FSF26" s="235"/>
      <c r="FSG26" s="235"/>
      <c r="FSH26" s="235"/>
      <c r="FSI26" s="235"/>
      <c r="FSJ26" s="235"/>
      <c r="FSK26" s="235"/>
      <c r="FSL26" s="235"/>
      <c r="FSM26" s="235"/>
      <c r="FSN26" s="235"/>
      <c r="FSO26" s="235"/>
      <c r="FSP26" s="235"/>
      <c r="FSQ26" s="235"/>
      <c r="FSR26" s="235"/>
      <c r="FSS26" s="235"/>
      <c r="FST26" s="235"/>
      <c r="FSU26" s="235"/>
      <c r="FSV26" s="235"/>
      <c r="FSW26" s="235"/>
      <c r="FSX26" s="235"/>
      <c r="FSY26" s="235"/>
      <c r="FSZ26" s="235"/>
      <c r="FTA26" s="235"/>
      <c r="FTB26" s="235"/>
      <c r="FTC26" s="235"/>
      <c r="FTD26" s="235"/>
      <c r="FTE26" s="235"/>
      <c r="FTF26" s="235"/>
      <c r="FTG26" s="235"/>
      <c r="FTH26" s="235"/>
      <c r="FTI26" s="235"/>
      <c r="FTJ26" s="235"/>
      <c r="FTK26" s="235"/>
      <c r="FTL26" s="235"/>
      <c r="FTM26" s="235"/>
      <c r="FTN26" s="235"/>
      <c r="FTO26" s="235"/>
      <c r="FTP26" s="235"/>
      <c r="FTQ26" s="235"/>
      <c r="FTR26" s="235"/>
      <c r="FTS26" s="235"/>
      <c r="FTT26" s="235"/>
      <c r="FTU26" s="235"/>
      <c r="FTV26" s="235"/>
      <c r="FTW26" s="235"/>
      <c r="FTX26" s="235"/>
      <c r="FTY26" s="235"/>
      <c r="FTZ26" s="235"/>
      <c r="FUA26" s="235"/>
      <c r="FUB26" s="235"/>
      <c r="FUC26" s="235"/>
      <c r="FUD26" s="235"/>
      <c r="FUE26" s="235"/>
      <c r="FUF26" s="235"/>
      <c r="FUG26" s="235"/>
      <c r="FUH26" s="235"/>
      <c r="FUI26" s="235"/>
      <c r="FUJ26" s="235"/>
      <c r="FUK26" s="235"/>
      <c r="FUL26" s="235"/>
      <c r="FUM26" s="235"/>
      <c r="FUN26" s="235"/>
      <c r="FUO26" s="235"/>
      <c r="FUP26" s="235"/>
      <c r="FUQ26" s="235"/>
      <c r="FUR26" s="235"/>
      <c r="FUS26" s="235"/>
      <c r="FUT26" s="235"/>
      <c r="FUU26" s="235"/>
      <c r="FUV26" s="235"/>
      <c r="FUW26" s="235"/>
      <c r="FUX26" s="235"/>
      <c r="FUY26" s="235"/>
      <c r="FUZ26" s="235"/>
      <c r="FVA26" s="235"/>
      <c r="FVB26" s="235"/>
      <c r="FVC26" s="235"/>
      <c r="FVD26" s="235"/>
      <c r="FVE26" s="235"/>
      <c r="FVF26" s="235"/>
      <c r="FVG26" s="235"/>
      <c r="FVH26" s="235"/>
      <c r="FVI26" s="235"/>
      <c r="FVJ26" s="235"/>
      <c r="FVK26" s="235"/>
      <c r="FVL26" s="235"/>
      <c r="FVM26" s="235"/>
      <c r="FVN26" s="235"/>
      <c r="FVO26" s="235"/>
      <c r="FVP26" s="235"/>
      <c r="FVQ26" s="235"/>
      <c r="FVR26" s="235"/>
      <c r="FVS26" s="235"/>
      <c r="FVT26" s="235"/>
      <c r="FVU26" s="235"/>
      <c r="FVV26" s="235"/>
      <c r="FVW26" s="235"/>
      <c r="FVX26" s="235"/>
      <c r="FVY26" s="235"/>
      <c r="FVZ26" s="235"/>
      <c r="FWA26" s="235"/>
      <c r="FWB26" s="235"/>
      <c r="FWC26" s="235"/>
      <c r="FWD26" s="235"/>
      <c r="FWE26" s="235"/>
      <c r="FWF26" s="235"/>
      <c r="FWG26" s="235"/>
      <c r="FWH26" s="235"/>
      <c r="FWI26" s="235"/>
      <c r="FWJ26" s="235"/>
      <c r="FWK26" s="235"/>
      <c r="FWL26" s="235"/>
      <c r="FWM26" s="235"/>
      <c r="FWN26" s="235"/>
      <c r="FWO26" s="235"/>
      <c r="FWP26" s="235"/>
      <c r="FWQ26" s="235"/>
      <c r="FWR26" s="235"/>
      <c r="FWS26" s="235"/>
      <c r="FWT26" s="235"/>
      <c r="FWU26" s="235"/>
      <c r="FWV26" s="235"/>
      <c r="FWW26" s="235"/>
      <c r="FWX26" s="235"/>
      <c r="FWY26" s="235"/>
      <c r="FWZ26" s="235"/>
      <c r="FXA26" s="235"/>
      <c r="FXB26" s="235"/>
      <c r="FXC26" s="235"/>
      <c r="FXD26" s="235"/>
      <c r="FXE26" s="235"/>
      <c r="FXF26" s="235"/>
      <c r="FXG26" s="235"/>
      <c r="FXH26" s="235"/>
      <c r="FXI26" s="235"/>
      <c r="FXJ26" s="235"/>
      <c r="FXK26" s="235"/>
      <c r="FXL26" s="235"/>
      <c r="FXM26" s="235"/>
      <c r="FXN26" s="235"/>
      <c r="FXO26" s="235"/>
      <c r="FXP26" s="235"/>
      <c r="FXQ26" s="235"/>
      <c r="FXR26" s="235"/>
      <c r="FXS26" s="235"/>
      <c r="FXT26" s="235"/>
      <c r="FXU26" s="235"/>
      <c r="FXV26" s="235"/>
      <c r="FXW26" s="235"/>
      <c r="FXX26" s="235"/>
      <c r="FXY26" s="235"/>
      <c r="FXZ26" s="235"/>
      <c r="FYA26" s="235"/>
      <c r="FYB26" s="235"/>
      <c r="FYC26" s="235"/>
      <c r="FYD26" s="235"/>
      <c r="FYE26" s="235"/>
      <c r="FYF26" s="235"/>
      <c r="FYG26" s="235"/>
      <c r="FYH26" s="235"/>
      <c r="FYI26" s="235"/>
      <c r="FYJ26" s="235"/>
      <c r="FYK26" s="235"/>
      <c r="FYL26" s="235"/>
      <c r="FYM26" s="235"/>
      <c r="FYN26" s="235"/>
      <c r="FYO26" s="235"/>
      <c r="FYP26" s="235"/>
      <c r="FYQ26" s="235"/>
      <c r="FYR26" s="235"/>
      <c r="FYS26" s="235"/>
      <c r="FYT26" s="235"/>
      <c r="FYU26" s="235"/>
      <c r="FYV26" s="235"/>
      <c r="FYW26" s="235"/>
      <c r="FYX26" s="235"/>
      <c r="FYY26" s="235"/>
      <c r="FYZ26" s="235"/>
      <c r="FZA26" s="235"/>
      <c r="FZB26" s="235"/>
      <c r="FZC26" s="235"/>
      <c r="FZD26" s="235"/>
      <c r="FZE26" s="235"/>
      <c r="FZF26" s="235"/>
      <c r="FZG26" s="235"/>
      <c r="FZH26" s="235"/>
      <c r="FZI26" s="235"/>
      <c r="FZJ26" s="235"/>
      <c r="FZK26" s="235"/>
      <c r="FZL26" s="235"/>
      <c r="FZM26" s="235"/>
      <c r="FZN26" s="235"/>
      <c r="FZO26" s="235"/>
      <c r="FZP26" s="235"/>
      <c r="FZQ26" s="235"/>
      <c r="FZR26" s="235"/>
      <c r="FZS26" s="235"/>
      <c r="FZT26" s="235"/>
      <c r="FZU26" s="235"/>
      <c r="FZV26" s="235"/>
      <c r="FZW26" s="235"/>
      <c r="FZX26" s="235"/>
      <c r="FZY26" s="235"/>
      <c r="FZZ26" s="235"/>
      <c r="GAA26" s="235"/>
      <c r="GAB26" s="235"/>
      <c r="GAC26" s="235"/>
      <c r="GAD26" s="235"/>
      <c r="GAE26" s="235"/>
      <c r="GAF26" s="235"/>
      <c r="GAG26" s="235"/>
      <c r="GAH26" s="235"/>
      <c r="GAI26" s="235"/>
      <c r="GAJ26" s="235"/>
      <c r="GAK26" s="235"/>
      <c r="GAL26" s="235"/>
      <c r="GAM26" s="235"/>
      <c r="GAN26" s="235"/>
      <c r="GAO26" s="235"/>
      <c r="GAP26" s="235"/>
      <c r="GAQ26" s="235"/>
      <c r="GAR26" s="235"/>
      <c r="GAS26" s="235"/>
      <c r="GAT26" s="235"/>
      <c r="GAU26" s="235"/>
      <c r="GAV26" s="235"/>
      <c r="GAW26" s="235"/>
      <c r="GAX26" s="235"/>
      <c r="GAY26" s="235"/>
      <c r="GAZ26" s="235"/>
      <c r="GBA26" s="235"/>
      <c r="GBB26" s="235"/>
      <c r="GBC26" s="235"/>
      <c r="GBD26" s="235"/>
      <c r="GBE26" s="235"/>
      <c r="GBF26" s="235"/>
      <c r="GBG26" s="235"/>
      <c r="GBH26" s="235"/>
      <c r="GBI26" s="235"/>
      <c r="GBJ26" s="235"/>
      <c r="GBK26" s="235"/>
      <c r="GBL26" s="235"/>
      <c r="GBM26" s="235"/>
      <c r="GBN26" s="235"/>
      <c r="GBO26" s="235"/>
      <c r="GBP26" s="235"/>
      <c r="GBQ26" s="235"/>
      <c r="GBR26" s="235"/>
      <c r="GBS26" s="235"/>
      <c r="GBT26" s="235"/>
      <c r="GBU26" s="235"/>
      <c r="GBV26" s="235"/>
      <c r="GBW26" s="235"/>
      <c r="GBX26" s="235"/>
      <c r="GBY26" s="235"/>
      <c r="GBZ26" s="235"/>
      <c r="GCA26" s="235"/>
      <c r="GCB26" s="235"/>
      <c r="GCC26" s="235"/>
      <c r="GCD26" s="235"/>
      <c r="GCE26" s="235"/>
      <c r="GCF26" s="235"/>
      <c r="GCG26" s="235"/>
      <c r="GCH26" s="235"/>
      <c r="GCI26" s="235"/>
      <c r="GCJ26" s="235"/>
      <c r="GCK26" s="235"/>
      <c r="GCL26" s="235"/>
      <c r="GCM26" s="235"/>
      <c r="GCN26" s="235"/>
      <c r="GCO26" s="235"/>
      <c r="GCP26" s="235"/>
      <c r="GCQ26" s="235"/>
      <c r="GCR26" s="235"/>
      <c r="GCS26" s="235"/>
      <c r="GCT26" s="235"/>
      <c r="GCU26" s="235"/>
      <c r="GCV26" s="235"/>
      <c r="GCW26" s="235"/>
      <c r="GCX26" s="235"/>
      <c r="GCY26" s="235"/>
      <c r="GCZ26" s="235"/>
      <c r="GDA26" s="235"/>
      <c r="GDB26" s="235"/>
      <c r="GDC26" s="235"/>
      <c r="GDD26" s="235"/>
      <c r="GDE26" s="235"/>
      <c r="GDF26" s="235"/>
      <c r="GDG26" s="235"/>
      <c r="GDH26" s="235"/>
      <c r="GDI26" s="235"/>
      <c r="GDJ26" s="235"/>
      <c r="GDK26" s="235"/>
      <c r="GDL26" s="235"/>
      <c r="GDM26" s="235"/>
      <c r="GDN26" s="235"/>
      <c r="GDO26" s="235"/>
      <c r="GDP26" s="235"/>
      <c r="GDQ26" s="235"/>
      <c r="GDR26" s="235"/>
      <c r="GDS26" s="235"/>
      <c r="GDT26" s="235"/>
      <c r="GDU26" s="235"/>
      <c r="GDV26" s="235"/>
      <c r="GDW26" s="235"/>
      <c r="GDX26" s="235"/>
      <c r="GDY26" s="235"/>
      <c r="GDZ26" s="235"/>
      <c r="GEA26" s="235"/>
      <c r="GEB26" s="235"/>
      <c r="GEC26" s="235"/>
      <c r="GED26" s="235"/>
      <c r="GEE26" s="235"/>
      <c r="GEF26" s="235"/>
      <c r="GEG26" s="235"/>
      <c r="GEH26" s="235"/>
      <c r="GEI26" s="235"/>
      <c r="GEJ26" s="235"/>
      <c r="GEK26" s="235"/>
      <c r="GEL26" s="235"/>
      <c r="GEM26" s="235"/>
      <c r="GEN26" s="235"/>
      <c r="GEO26" s="235"/>
      <c r="GEP26" s="235"/>
      <c r="GEQ26" s="235"/>
      <c r="GER26" s="235"/>
      <c r="GES26" s="235"/>
      <c r="GET26" s="235"/>
      <c r="GEU26" s="235"/>
      <c r="GEV26" s="235"/>
      <c r="GEW26" s="235"/>
      <c r="GEX26" s="235"/>
      <c r="GEY26" s="235"/>
      <c r="GEZ26" s="235"/>
      <c r="GFA26" s="235"/>
      <c r="GFB26" s="235"/>
      <c r="GFC26" s="235"/>
      <c r="GFD26" s="235"/>
      <c r="GFE26" s="235"/>
      <c r="GFF26" s="235"/>
      <c r="GFG26" s="235"/>
      <c r="GFH26" s="235"/>
      <c r="GFI26" s="235"/>
      <c r="GFJ26" s="235"/>
      <c r="GFK26" s="235"/>
      <c r="GFL26" s="235"/>
      <c r="GFM26" s="235"/>
      <c r="GFN26" s="235"/>
      <c r="GFO26" s="235"/>
      <c r="GFP26" s="235"/>
      <c r="GFQ26" s="235"/>
      <c r="GFR26" s="235"/>
      <c r="GFS26" s="235"/>
      <c r="GFT26" s="235"/>
      <c r="GFU26" s="235"/>
      <c r="GFV26" s="235"/>
      <c r="GFW26" s="235"/>
      <c r="GFX26" s="235"/>
      <c r="GFY26" s="235"/>
      <c r="GFZ26" s="235"/>
      <c r="GGA26" s="235"/>
      <c r="GGB26" s="235"/>
      <c r="GGC26" s="235"/>
      <c r="GGD26" s="235"/>
      <c r="GGE26" s="235"/>
      <c r="GGF26" s="235"/>
      <c r="GGG26" s="235"/>
      <c r="GGH26" s="235"/>
      <c r="GGI26" s="235"/>
      <c r="GGJ26" s="235"/>
      <c r="GGK26" s="235"/>
      <c r="GGL26" s="235"/>
      <c r="GGM26" s="235"/>
      <c r="GGN26" s="235"/>
      <c r="GGO26" s="235"/>
      <c r="GGP26" s="235"/>
      <c r="GGQ26" s="235"/>
      <c r="GGR26" s="235"/>
      <c r="GGS26" s="235"/>
      <c r="GGT26" s="235"/>
      <c r="GGU26" s="235"/>
      <c r="GGV26" s="235"/>
      <c r="GGW26" s="235"/>
      <c r="GGX26" s="235"/>
      <c r="GGY26" s="235"/>
      <c r="GGZ26" s="235"/>
      <c r="GHA26" s="235"/>
      <c r="GHB26" s="235"/>
      <c r="GHC26" s="235"/>
      <c r="GHD26" s="235"/>
      <c r="GHE26" s="235"/>
      <c r="GHF26" s="235"/>
      <c r="GHG26" s="235"/>
      <c r="GHH26" s="235"/>
      <c r="GHI26" s="235"/>
      <c r="GHJ26" s="235"/>
      <c r="GHK26" s="235"/>
      <c r="GHL26" s="235"/>
      <c r="GHM26" s="235"/>
      <c r="GHN26" s="235"/>
      <c r="GHO26" s="235"/>
      <c r="GHP26" s="235"/>
      <c r="GHQ26" s="235"/>
      <c r="GHR26" s="235"/>
      <c r="GHS26" s="235"/>
      <c r="GHT26" s="235"/>
      <c r="GHU26" s="235"/>
      <c r="GHV26" s="235"/>
      <c r="GHW26" s="235"/>
      <c r="GHX26" s="235"/>
      <c r="GHY26" s="235"/>
      <c r="GHZ26" s="235"/>
      <c r="GIA26" s="235"/>
      <c r="GIB26" s="235"/>
      <c r="GIC26" s="235"/>
      <c r="GID26" s="235"/>
      <c r="GIE26" s="235"/>
      <c r="GIF26" s="235"/>
      <c r="GIG26" s="235"/>
      <c r="GIH26" s="235"/>
      <c r="GII26" s="235"/>
      <c r="GIJ26" s="235"/>
      <c r="GIK26" s="235"/>
      <c r="GIL26" s="235"/>
      <c r="GIM26" s="235"/>
      <c r="GIN26" s="235"/>
      <c r="GIO26" s="235"/>
      <c r="GIP26" s="235"/>
      <c r="GIQ26" s="235"/>
      <c r="GIR26" s="235"/>
      <c r="GIS26" s="235"/>
      <c r="GIT26" s="235"/>
      <c r="GIU26" s="235"/>
      <c r="GIV26" s="235"/>
      <c r="GIW26" s="235"/>
      <c r="GIX26" s="235"/>
      <c r="GIY26" s="235"/>
      <c r="GIZ26" s="235"/>
      <c r="GJA26" s="235"/>
      <c r="GJB26" s="235"/>
      <c r="GJC26" s="235"/>
      <c r="GJD26" s="235"/>
      <c r="GJE26" s="235"/>
      <c r="GJF26" s="235"/>
      <c r="GJG26" s="235"/>
      <c r="GJH26" s="235"/>
      <c r="GJI26" s="235"/>
      <c r="GJJ26" s="235"/>
      <c r="GJK26" s="235"/>
      <c r="GJL26" s="235"/>
      <c r="GJM26" s="235"/>
      <c r="GJN26" s="235"/>
      <c r="GJO26" s="235"/>
      <c r="GJP26" s="235"/>
      <c r="GJQ26" s="235"/>
      <c r="GJR26" s="235"/>
      <c r="GJS26" s="235"/>
      <c r="GJT26" s="235"/>
      <c r="GJU26" s="235"/>
      <c r="GJV26" s="235"/>
      <c r="GJW26" s="235"/>
      <c r="GJX26" s="235"/>
      <c r="GJY26" s="235"/>
      <c r="GJZ26" s="235"/>
      <c r="GKA26" s="235"/>
      <c r="GKB26" s="235"/>
      <c r="GKC26" s="235"/>
      <c r="GKD26" s="235"/>
      <c r="GKE26" s="235"/>
      <c r="GKF26" s="235"/>
      <c r="GKG26" s="235"/>
      <c r="GKH26" s="235"/>
      <c r="GKI26" s="235"/>
      <c r="GKJ26" s="235"/>
      <c r="GKK26" s="235"/>
      <c r="GKL26" s="235"/>
      <c r="GKM26" s="235"/>
      <c r="GKN26" s="235"/>
      <c r="GKO26" s="235"/>
      <c r="GKP26" s="235"/>
      <c r="GKQ26" s="235"/>
      <c r="GKR26" s="235"/>
      <c r="GKS26" s="235"/>
      <c r="GKT26" s="235"/>
      <c r="GKU26" s="235"/>
      <c r="GKV26" s="235"/>
      <c r="GKW26" s="235"/>
      <c r="GKX26" s="235"/>
      <c r="GKY26" s="235"/>
      <c r="GKZ26" s="235"/>
      <c r="GLA26" s="235"/>
      <c r="GLB26" s="235"/>
      <c r="GLC26" s="235"/>
      <c r="GLD26" s="235"/>
      <c r="GLE26" s="235"/>
      <c r="GLF26" s="235"/>
      <c r="GLG26" s="235"/>
      <c r="GLH26" s="235"/>
      <c r="GLI26" s="235"/>
      <c r="GLJ26" s="235"/>
      <c r="GLK26" s="235"/>
      <c r="GLL26" s="235"/>
      <c r="GLM26" s="235"/>
      <c r="GLN26" s="235"/>
      <c r="GLO26" s="235"/>
      <c r="GLP26" s="235"/>
      <c r="GLQ26" s="235"/>
      <c r="GLR26" s="235"/>
      <c r="GLS26" s="235"/>
      <c r="GLT26" s="235"/>
      <c r="GLU26" s="235"/>
      <c r="GLV26" s="235"/>
      <c r="GLW26" s="235"/>
      <c r="GLX26" s="235"/>
      <c r="GLY26" s="235"/>
      <c r="GLZ26" s="235"/>
      <c r="GMA26" s="235"/>
      <c r="GMB26" s="235"/>
      <c r="GMC26" s="235"/>
      <c r="GMD26" s="235"/>
      <c r="GME26" s="235"/>
      <c r="GMF26" s="235"/>
      <c r="GMG26" s="235"/>
      <c r="GMH26" s="235"/>
      <c r="GMI26" s="235"/>
      <c r="GMJ26" s="235"/>
      <c r="GMK26" s="235"/>
      <c r="GML26" s="235"/>
      <c r="GMM26" s="235"/>
      <c r="GMN26" s="235"/>
      <c r="GMO26" s="235"/>
      <c r="GMP26" s="235"/>
      <c r="GMQ26" s="235"/>
      <c r="GMR26" s="235"/>
      <c r="GMS26" s="235"/>
      <c r="GMT26" s="235"/>
      <c r="GMU26" s="235"/>
      <c r="GMV26" s="235"/>
      <c r="GMW26" s="235"/>
      <c r="GMX26" s="235"/>
      <c r="GMY26" s="235"/>
      <c r="GMZ26" s="235"/>
      <c r="GNA26" s="235"/>
      <c r="GNB26" s="235"/>
      <c r="GNC26" s="235"/>
      <c r="GND26" s="235"/>
      <c r="GNE26" s="235"/>
      <c r="GNF26" s="235"/>
      <c r="GNG26" s="235"/>
      <c r="GNH26" s="235"/>
      <c r="GNI26" s="235"/>
      <c r="GNJ26" s="235"/>
      <c r="GNK26" s="235"/>
      <c r="GNL26" s="235"/>
      <c r="GNM26" s="235"/>
      <c r="GNN26" s="235"/>
      <c r="GNO26" s="235"/>
      <c r="GNP26" s="235"/>
      <c r="GNQ26" s="235"/>
      <c r="GNR26" s="235"/>
      <c r="GNS26" s="235"/>
      <c r="GNT26" s="235"/>
      <c r="GNU26" s="235"/>
      <c r="GNV26" s="235"/>
      <c r="GNW26" s="235"/>
      <c r="GNX26" s="235"/>
      <c r="GNY26" s="235"/>
      <c r="GNZ26" s="235"/>
      <c r="GOA26" s="235"/>
      <c r="GOB26" s="235"/>
      <c r="GOC26" s="235"/>
      <c r="GOD26" s="235"/>
      <c r="GOE26" s="235"/>
      <c r="GOF26" s="235"/>
      <c r="GOG26" s="235"/>
      <c r="GOH26" s="235"/>
      <c r="GOI26" s="235"/>
      <c r="GOJ26" s="235"/>
      <c r="GOK26" s="235"/>
      <c r="GOL26" s="235"/>
      <c r="GOM26" s="235"/>
      <c r="GON26" s="235"/>
      <c r="GOO26" s="235"/>
      <c r="GOP26" s="235"/>
      <c r="GOQ26" s="235"/>
      <c r="GOR26" s="235"/>
      <c r="GOS26" s="235"/>
      <c r="GOT26" s="235"/>
      <c r="GOU26" s="235"/>
      <c r="GOV26" s="235"/>
      <c r="GOW26" s="235"/>
      <c r="GOX26" s="235"/>
      <c r="GOY26" s="235"/>
      <c r="GOZ26" s="235"/>
      <c r="GPA26" s="235"/>
      <c r="GPB26" s="235"/>
      <c r="GPC26" s="235"/>
      <c r="GPD26" s="235"/>
      <c r="GPE26" s="235"/>
      <c r="GPF26" s="235"/>
      <c r="GPG26" s="235"/>
      <c r="GPH26" s="235"/>
      <c r="GPI26" s="235"/>
      <c r="GPJ26" s="235"/>
      <c r="GPK26" s="235"/>
      <c r="GPL26" s="235"/>
      <c r="GPM26" s="235"/>
      <c r="GPN26" s="235"/>
      <c r="GPO26" s="235"/>
      <c r="GPP26" s="235"/>
      <c r="GPQ26" s="235"/>
      <c r="GPR26" s="235"/>
      <c r="GPS26" s="235"/>
      <c r="GPT26" s="235"/>
      <c r="GPU26" s="235"/>
      <c r="GPV26" s="235"/>
      <c r="GPW26" s="235"/>
      <c r="GPX26" s="235"/>
      <c r="GPY26" s="235"/>
      <c r="GPZ26" s="235"/>
      <c r="GQA26" s="235"/>
      <c r="GQB26" s="235"/>
      <c r="GQC26" s="235"/>
      <c r="GQD26" s="235"/>
      <c r="GQE26" s="235"/>
      <c r="GQF26" s="235"/>
      <c r="GQG26" s="235"/>
      <c r="GQH26" s="235"/>
      <c r="GQI26" s="235"/>
      <c r="GQJ26" s="235"/>
      <c r="GQK26" s="235"/>
      <c r="GQL26" s="235"/>
      <c r="GQM26" s="235"/>
      <c r="GQN26" s="235"/>
      <c r="GQO26" s="235"/>
      <c r="GQP26" s="235"/>
      <c r="GQQ26" s="235"/>
      <c r="GQR26" s="235"/>
      <c r="GQS26" s="235"/>
      <c r="GQT26" s="235"/>
      <c r="GQU26" s="235"/>
      <c r="GQV26" s="235"/>
      <c r="GQW26" s="235"/>
      <c r="GQX26" s="235"/>
      <c r="GQY26" s="235"/>
      <c r="GQZ26" s="235"/>
      <c r="GRA26" s="235"/>
      <c r="GRB26" s="235"/>
      <c r="GRC26" s="235"/>
      <c r="GRD26" s="235"/>
      <c r="GRE26" s="235"/>
      <c r="GRF26" s="235"/>
      <c r="GRG26" s="235"/>
      <c r="GRH26" s="235"/>
      <c r="GRI26" s="235"/>
      <c r="GRJ26" s="235"/>
      <c r="GRK26" s="235"/>
      <c r="GRL26" s="235"/>
      <c r="GRM26" s="235"/>
      <c r="GRN26" s="235"/>
      <c r="GRO26" s="235"/>
      <c r="GRP26" s="235"/>
      <c r="GRQ26" s="235"/>
      <c r="GRR26" s="235"/>
      <c r="GRS26" s="235"/>
      <c r="GRT26" s="235"/>
      <c r="GRU26" s="235"/>
      <c r="GRV26" s="235"/>
      <c r="GRW26" s="235"/>
      <c r="GRX26" s="235"/>
      <c r="GRY26" s="235"/>
      <c r="GRZ26" s="235"/>
      <c r="GSA26" s="235"/>
      <c r="GSB26" s="235"/>
      <c r="GSC26" s="235"/>
      <c r="GSD26" s="235"/>
      <c r="GSE26" s="235"/>
      <c r="GSF26" s="235"/>
      <c r="GSG26" s="235"/>
      <c r="GSH26" s="235"/>
      <c r="GSI26" s="235"/>
      <c r="GSJ26" s="235"/>
      <c r="GSK26" s="235"/>
      <c r="GSL26" s="235"/>
      <c r="GSM26" s="235"/>
      <c r="GSN26" s="235"/>
      <c r="GSO26" s="235"/>
      <c r="GSP26" s="235"/>
      <c r="GSQ26" s="235"/>
      <c r="GSR26" s="235"/>
      <c r="GSS26" s="235"/>
      <c r="GST26" s="235"/>
      <c r="GSU26" s="235"/>
      <c r="GSV26" s="235"/>
      <c r="GSW26" s="235"/>
      <c r="GSX26" s="235"/>
      <c r="GSY26" s="235"/>
      <c r="GSZ26" s="235"/>
      <c r="GTA26" s="235"/>
      <c r="GTB26" s="235"/>
      <c r="GTC26" s="235"/>
      <c r="GTD26" s="235"/>
      <c r="GTE26" s="235"/>
      <c r="GTF26" s="235"/>
      <c r="GTG26" s="235"/>
      <c r="GTH26" s="235"/>
      <c r="GTI26" s="235"/>
      <c r="GTJ26" s="235"/>
      <c r="GTK26" s="235"/>
      <c r="GTL26" s="235"/>
      <c r="GTM26" s="235"/>
      <c r="GTN26" s="235"/>
      <c r="GTO26" s="235"/>
      <c r="GTP26" s="235"/>
      <c r="GTQ26" s="235"/>
      <c r="GTR26" s="235"/>
      <c r="GTS26" s="235"/>
      <c r="GTT26" s="235"/>
      <c r="GTU26" s="235"/>
      <c r="GTV26" s="235"/>
      <c r="GTW26" s="235"/>
      <c r="GTX26" s="235"/>
      <c r="GTY26" s="235"/>
      <c r="GTZ26" s="235"/>
      <c r="GUA26" s="235"/>
      <c r="GUB26" s="235"/>
      <c r="GUC26" s="235"/>
      <c r="GUD26" s="235"/>
      <c r="GUE26" s="235"/>
      <c r="GUF26" s="235"/>
      <c r="GUG26" s="235"/>
      <c r="GUH26" s="235"/>
      <c r="GUI26" s="235"/>
      <c r="GUJ26" s="235"/>
      <c r="GUK26" s="235"/>
      <c r="GUL26" s="235"/>
      <c r="GUM26" s="235"/>
      <c r="GUN26" s="235"/>
      <c r="GUO26" s="235"/>
      <c r="GUP26" s="235"/>
      <c r="GUQ26" s="235"/>
      <c r="GUR26" s="235"/>
      <c r="GUS26" s="235"/>
      <c r="GUT26" s="235"/>
      <c r="GUU26" s="235"/>
      <c r="GUV26" s="235"/>
      <c r="GUW26" s="235"/>
      <c r="GUX26" s="235"/>
      <c r="GUY26" s="235"/>
      <c r="GUZ26" s="235"/>
      <c r="GVA26" s="235"/>
      <c r="GVB26" s="235"/>
      <c r="GVC26" s="235"/>
      <c r="GVD26" s="235"/>
      <c r="GVE26" s="235"/>
      <c r="GVF26" s="235"/>
      <c r="GVG26" s="235"/>
      <c r="GVH26" s="235"/>
      <c r="GVI26" s="235"/>
      <c r="GVJ26" s="235"/>
      <c r="GVK26" s="235"/>
      <c r="GVL26" s="235"/>
      <c r="GVM26" s="235"/>
      <c r="GVN26" s="235"/>
      <c r="GVO26" s="235"/>
      <c r="GVP26" s="235"/>
      <c r="GVQ26" s="235"/>
      <c r="GVR26" s="235"/>
      <c r="GVS26" s="235"/>
      <c r="GVT26" s="235"/>
      <c r="GVU26" s="235"/>
      <c r="GVV26" s="235"/>
      <c r="GVW26" s="235"/>
      <c r="GVX26" s="235"/>
      <c r="GVY26" s="235"/>
      <c r="GVZ26" s="235"/>
      <c r="GWA26" s="235"/>
      <c r="GWB26" s="235"/>
      <c r="GWC26" s="235"/>
      <c r="GWD26" s="235"/>
      <c r="GWE26" s="235"/>
      <c r="GWF26" s="235"/>
      <c r="GWG26" s="235"/>
      <c r="GWH26" s="235"/>
      <c r="GWI26" s="235"/>
      <c r="GWJ26" s="235"/>
      <c r="GWK26" s="235"/>
      <c r="GWL26" s="235"/>
      <c r="GWM26" s="235"/>
      <c r="GWN26" s="235"/>
      <c r="GWO26" s="235"/>
      <c r="GWP26" s="235"/>
      <c r="GWQ26" s="235"/>
      <c r="GWR26" s="235"/>
      <c r="GWS26" s="235"/>
      <c r="GWT26" s="235"/>
      <c r="GWU26" s="235"/>
      <c r="GWV26" s="235"/>
      <c r="GWW26" s="235"/>
      <c r="GWX26" s="235"/>
      <c r="GWY26" s="235"/>
      <c r="GWZ26" s="235"/>
      <c r="GXA26" s="235"/>
      <c r="GXB26" s="235"/>
      <c r="GXC26" s="235"/>
      <c r="GXD26" s="235"/>
      <c r="GXE26" s="235"/>
      <c r="GXF26" s="235"/>
      <c r="GXG26" s="235"/>
      <c r="GXH26" s="235"/>
      <c r="GXI26" s="235"/>
      <c r="GXJ26" s="235"/>
      <c r="GXK26" s="235"/>
      <c r="GXL26" s="235"/>
      <c r="GXM26" s="235"/>
      <c r="GXN26" s="235"/>
      <c r="GXO26" s="235"/>
      <c r="GXP26" s="235"/>
      <c r="GXQ26" s="235"/>
      <c r="GXR26" s="235"/>
      <c r="GXS26" s="235"/>
      <c r="GXT26" s="235"/>
      <c r="GXU26" s="235"/>
      <c r="GXV26" s="235"/>
      <c r="GXW26" s="235"/>
      <c r="GXX26" s="235"/>
      <c r="GXY26" s="235"/>
      <c r="GXZ26" s="235"/>
      <c r="GYA26" s="235"/>
      <c r="GYB26" s="235"/>
      <c r="GYC26" s="235"/>
      <c r="GYD26" s="235"/>
      <c r="GYE26" s="235"/>
      <c r="GYF26" s="235"/>
      <c r="GYG26" s="235"/>
      <c r="GYH26" s="235"/>
      <c r="GYI26" s="235"/>
      <c r="GYJ26" s="235"/>
      <c r="GYK26" s="235"/>
      <c r="GYL26" s="235"/>
      <c r="GYM26" s="235"/>
      <c r="GYN26" s="235"/>
      <c r="GYO26" s="235"/>
      <c r="GYP26" s="235"/>
      <c r="GYQ26" s="235"/>
      <c r="GYR26" s="235"/>
      <c r="GYS26" s="235"/>
      <c r="GYT26" s="235"/>
      <c r="GYU26" s="235"/>
      <c r="GYV26" s="235"/>
      <c r="GYW26" s="235"/>
      <c r="GYX26" s="235"/>
      <c r="GYY26" s="235"/>
      <c r="GYZ26" s="235"/>
      <c r="GZA26" s="235"/>
      <c r="GZB26" s="235"/>
      <c r="GZC26" s="235"/>
      <c r="GZD26" s="235"/>
      <c r="GZE26" s="235"/>
      <c r="GZF26" s="235"/>
      <c r="GZG26" s="235"/>
      <c r="GZH26" s="235"/>
      <c r="GZI26" s="235"/>
      <c r="GZJ26" s="235"/>
      <c r="GZK26" s="235"/>
      <c r="GZL26" s="235"/>
      <c r="GZM26" s="235"/>
      <c r="GZN26" s="235"/>
      <c r="GZO26" s="235"/>
      <c r="GZP26" s="235"/>
      <c r="GZQ26" s="235"/>
      <c r="GZR26" s="235"/>
      <c r="GZS26" s="235"/>
      <c r="GZT26" s="235"/>
      <c r="GZU26" s="235"/>
      <c r="GZV26" s="235"/>
      <c r="GZW26" s="235"/>
      <c r="GZX26" s="235"/>
      <c r="GZY26" s="235"/>
      <c r="GZZ26" s="235"/>
      <c r="HAA26" s="235"/>
      <c r="HAB26" s="235"/>
      <c r="HAC26" s="235"/>
      <c r="HAD26" s="235"/>
      <c r="HAE26" s="235"/>
      <c r="HAF26" s="235"/>
      <c r="HAG26" s="235"/>
      <c r="HAH26" s="235"/>
      <c r="HAI26" s="235"/>
      <c r="HAJ26" s="235"/>
      <c r="HAK26" s="235"/>
      <c r="HAL26" s="235"/>
      <c r="HAM26" s="235"/>
      <c r="HAN26" s="235"/>
      <c r="HAO26" s="235"/>
      <c r="HAP26" s="235"/>
      <c r="HAQ26" s="235"/>
      <c r="HAR26" s="235"/>
      <c r="HAS26" s="235"/>
      <c r="HAT26" s="235"/>
      <c r="HAU26" s="235"/>
      <c r="HAV26" s="235"/>
      <c r="HAW26" s="235"/>
      <c r="HAX26" s="235"/>
      <c r="HAY26" s="235"/>
      <c r="HAZ26" s="235"/>
      <c r="HBA26" s="235"/>
      <c r="HBB26" s="235"/>
      <c r="HBC26" s="235"/>
      <c r="HBD26" s="235"/>
      <c r="HBE26" s="235"/>
      <c r="HBF26" s="235"/>
      <c r="HBG26" s="235"/>
      <c r="HBH26" s="235"/>
      <c r="HBI26" s="235"/>
      <c r="HBJ26" s="235"/>
      <c r="HBK26" s="235"/>
      <c r="HBL26" s="235"/>
      <c r="HBM26" s="235"/>
      <c r="HBN26" s="235"/>
      <c r="HBO26" s="235"/>
      <c r="HBP26" s="235"/>
      <c r="HBQ26" s="235"/>
      <c r="HBR26" s="235"/>
      <c r="HBS26" s="235"/>
      <c r="HBT26" s="235"/>
      <c r="HBU26" s="235"/>
      <c r="HBV26" s="235"/>
      <c r="HBW26" s="235"/>
      <c r="HBX26" s="235"/>
      <c r="HBY26" s="235"/>
      <c r="HBZ26" s="235"/>
      <c r="HCA26" s="235"/>
      <c r="HCB26" s="235"/>
      <c r="HCC26" s="235"/>
      <c r="HCD26" s="235"/>
      <c r="HCE26" s="235"/>
      <c r="HCF26" s="235"/>
      <c r="HCG26" s="235"/>
      <c r="HCH26" s="235"/>
      <c r="HCI26" s="235"/>
      <c r="HCJ26" s="235"/>
      <c r="HCK26" s="235"/>
      <c r="HCL26" s="235"/>
      <c r="HCM26" s="235"/>
      <c r="HCN26" s="235"/>
      <c r="HCO26" s="235"/>
      <c r="HCP26" s="235"/>
      <c r="HCQ26" s="235"/>
      <c r="HCR26" s="235"/>
      <c r="HCS26" s="235"/>
      <c r="HCT26" s="235"/>
      <c r="HCU26" s="235"/>
      <c r="HCV26" s="235"/>
      <c r="HCW26" s="235"/>
      <c r="HCX26" s="235"/>
      <c r="HCY26" s="235"/>
      <c r="HCZ26" s="235"/>
      <c r="HDA26" s="235"/>
      <c r="HDB26" s="235"/>
      <c r="HDC26" s="235"/>
      <c r="HDD26" s="235"/>
      <c r="HDE26" s="235"/>
      <c r="HDF26" s="235"/>
      <c r="HDG26" s="235"/>
      <c r="HDH26" s="235"/>
      <c r="HDI26" s="235"/>
      <c r="HDJ26" s="235"/>
      <c r="HDK26" s="235"/>
      <c r="HDL26" s="235"/>
      <c r="HDM26" s="235"/>
      <c r="HDN26" s="235"/>
      <c r="HDO26" s="235"/>
      <c r="HDP26" s="235"/>
      <c r="HDQ26" s="235"/>
      <c r="HDR26" s="235"/>
      <c r="HDS26" s="235"/>
      <c r="HDT26" s="235"/>
      <c r="HDU26" s="235"/>
      <c r="HDV26" s="235"/>
      <c r="HDW26" s="235"/>
      <c r="HDX26" s="235"/>
      <c r="HDY26" s="235"/>
      <c r="HDZ26" s="235"/>
      <c r="HEA26" s="235"/>
      <c r="HEB26" s="235"/>
      <c r="HEC26" s="235"/>
      <c r="HED26" s="235"/>
      <c r="HEE26" s="235"/>
      <c r="HEF26" s="235"/>
      <c r="HEG26" s="235"/>
      <c r="HEH26" s="235"/>
      <c r="HEI26" s="235"/>
      <c r="HEJ26" s="235"/>
      <c r="HEK26" s="235"/>
      <c r="HEL26" s="235"/>
      <c r="HEM26" s="235"/>
      <c r="HEN26" s="235"/>
      <c r="HEO26" s="235"/>
      <c r="HEP26" s="235"/>
      <c r="HEQ26" s="235"/>
      <c r="HER26" s="235"/>
      <c r="HES26" s="235"/>
      <c r="HET26" s="235"/>
      <c r="HEU26" s="235"/>
      <c r="HEV26" s="235"/>
      <c r="HEW26" s="235"/>
      <c r="HEX26" s="235"/>
      <c r="HEY26" s="235"/>
      <c r="HEZ26" s="235"/>
      <c r="HFA26" s="235"/>
      <c r="HFB26" s="235"/>
      <c r="HFC26" s="235"/>
      <c r="HFD26" s="235"/>
      <c r="HFE26" s="235"/>
      <c r="HFF26" s="235"/>
      <c r="HFG26" s="235"/>
      <c r="HFH26" s="235"/>
      <c r="HFI26" s="235"/>
      <c r="HFJ26" s="235"/>
      <c r="HFK26" s="235"/>
      <c r="HFL26" s="235"/>
      <c r="HFM26" s="235"/>
      <c r="HFN26" s="235"/>
      <c r="HFO26" s="235"/>
      <c r="HFP26" s="235"/>
      <c r="HFQ26" s="235"/>
      <c r="HFR26" s="235"/>
      <c r="HFS26" s="235"/>
      <c r="HFT26" s="235"/>
      <c r="HFU26" s="235"/>
      <c r="HFV26" s="235"/>
      <c r="HFW26" s="235"/>
      <c r="HFX26" s="235"/>
      <c r="HFY26" s="235"/>
      <c r="HFZ26" s="235"/>
      <c r="HGA26" s="235"/>
      <c r="HGB26" s="235"/>
      <c r="HGC26" s="235"/>
      <c r="HGD26" s="235"/>
      <c r="HGE26" s="235"/>
      <c r="HGF26" s="235"/>
      <c r="HGG26" s="235"/>
      <c r="HGH26" s="235"/>
      <c r="HGI26" s="235"/>
      <c r="HGJ26" s="235"/>
      <c r="HGK26" s="235"/>
      <c r="HGL26" s="235"/>
      <c r="HGM26" s="235"/>
      <c r="HGN26" s="235"/>
      <c r="HGO26" s="235"/>
      <c r="HGP26" s="235"/>
      <c r="HGQ26" s="235"/>
      <c r="HGR26" s="235"/>
      <c r="HGS26" s="235"/>
      <c r="HGT26" s="235"/>
      <c r="HGU26" s="235"/>
      <c r="HGV26" s="235"/>
      <c r="HGW26" s="235"/>
      <c r="HGX26" s="235"/>
      <c r="HGY26" s="235"/>
      <c r="HGZ26" s="235"/>
      <c r="HHA26" s="235"/>
      <c r="HHB26" s="235"/>
      <c r="HHC26" s="235"/>
      <c r="HHD26" s="235"/>
      <c r="HHE26" s="235"/>
      <c r="HHF26" s="235"/>
      <c r="HHG26" s="235"/>
      <c r="HHH26" s="235"/>
      <c r="HHI26" s="235"/>
      <c r="HHJ26" s="235"/>
      <c r="HHK26" s="235"/>
      <c r="HHL26" s="235"/>
      <c r="HHM26" s="235"/>
      <c r="HHN26" s="235"/>
      <c r="HHO26" s="235"/>
      <c r="HHP26" s="235"/>
      <c r="HHQ26" s="235"/>
      <c r="HHR26" s="235"/>
      <c r="HHS26" s="235"/>
      <c r="HHT26" s="235"/>
      <c r="HHU26" s="235"/>
      <c r="HHV26" s="235"/>
      <c r="HHW26" s="235"/>
      <c r="HHX26" s="235"/>
      <c r="HHY26" s="235"/>
      <c r="HHZ26" s="235"/>
      <c r="HIA26" s="235"/>
      <c r="HIB26" s="235"/>
      <c r="HIC26" s="235"/>
      <c r="HID26" s="235"/>
      <c r="HIE26" s="235"/>
      <c r="HIF26" s="235"/>
      <c r="HIG26" s="235"/>
      <c r="HIH26" s="235"/>
      <c r="HII26" s="235"/>
      <c r="HIJ26" s="235"/>
      <c r="HIK26" s="235"/>
      <c r="HIL26" s="235"/>
      <c r="HIM26" s="235"/>
      <c r="HIN26" s="235"/>
      <c r="HIO26" s="235"/>
      <c r="HIP26" s="235"/>
      <c r="HIQ26" s="235"/>
      <c r="HIR26" s="235"/>
      <c r="HIS26" s="235"/>
      <c r="HIT26" s="235"/>
      <c r="HIU26" s="235"/>
      <c r="HIV26" s="235"/>
      <c r="HIW26" s="235"/>
      <c r="HIX26" s="235"/>
      <c r="HIY26" s="235"/>
      <c r="HIZ26" s="235"/>
      <c r="HJA26" s="235"/>
      <c r="HJB26" s="235"/>
      <c r="HJC26" s="235"/>
      <c r="HJD26" s="235"/>
      <c r="HJE26" s="235"/>
      <c r="HJF26" s="235"/>
      <c r="HJG26" s="235"/>
      <c r="HJH26" s="235"/>
      <c r="HJI26" s="235"/>
      <c r="HJJ26" s="235"/>
      <c r="HJK26" s="235"/>
      <c r="HJL26" s="235"/>
      <c r="HJM26" s="235"/>
      <c r="HJN26" s="235"/>
      <c r="HJO26" s="235"/>
      <c r="HJP26" s="235"/>
      <c r="HJQ26" s="235"/>
      <c r="HJR26" s="235"/>
      <c r="HJS26" s="235"/>
      <c r="HJT26" s="235"/>
      <c r="HJU26" s="235"/>
      <c r="HJV26" s="235"/>
      <c r="HJW26" s="235"/>
      <c r="HJX26" s="235"/>
      <c r="HJY26" s="235"/>
      <c r="HJZ26" s="235"/>
      <c r="HKA26" s="235"/>
      <c r="HKB26" s="235"/>
      <c r="HKC26" s="235"/>
      <c r="HKD26" s="235"/>
      <c r="HKE26" s="235"/>
      <c r="HKF26" s="235"/>
      <c r="HKG26" s="235"/>
      <c r="HKH26" s="235"/>
      <c r="HKI26" s="235"/>
      <c r="HKJ26" s="235"/>
      <c r="HKK26" s="235"/>
      <c r="HKL26" s="235"/>
      <c r="HKM26" s="235"/>
      <c r="HKN26" s="235"/>
      <c r="HKO26" s="235"/>
      <c r="HKP26" s="235"/>
      <c r="HKQ26" s="235"/>
      <c r="HKR26" s="235"/>
      <c r="HKS26" s="235"/>
      <c r="HKT26" s="235"/>
      <c r="HKU26" s="235"/>
      <c r="HKV26" s="235"/>
      <c r="HKW26" s="235"/>
      <c r="HKX26" s="235"/>
      <c r="HKY26" s="235"/>
      <c r="HKZ26" s="235"/>
      <c r="HLA26" s="235"/>
      <c r="HLB26" s="235"/>
      <c r="HLC26" s="235"/>
      <c r="HLD26" s="235"/>
      <c r="HLE26" s="235"/>
      <c r="HLF26" s="235"/>
      <c r="HLG26" s="235"/>
      <c r="HLH26" s="235"/>
      <c r="HLI26" s="235"/>
      <c r="HLJ26" s="235"/>
      <c r="HLK26" s="235"/>
      <c r="HLL26" s="235"/>
      <c r="HLM26" s="235"/>
      <c r="HLN26" s="235"/>
      <c r="HLO26" s="235"/>
      <c r="HLP26" s="235"/>
      <c r="HLQ26" s="235"/>
      <c r="HLR26" s="235"/>
      <c r="HLS26" s="235"/>
      <c r="HLT26" s="235"/>
      <c r="HLU26" s="235"/>
      <c r="HLV26" s="235"/>
      <c r="HLW26" s="235"/>
      <c r="HLX26" s="235"/>
      <c r="HLY26" s="235"/>
      <c r="HLZ26" s="235"/>
      <c r="HMA26" s="235"/>
      <c r="HMB26" s="235"/>
      <c r="HMC26" s="235"/>
      <c r="HMD26" s="235"/>
      <c r="HME26" s="235"/>
      <c r="HMF26" s="235"/>
      <c r="HMG26" s="235"/>
      <c r="HMH26" s="235"/>
      <c r="HMI26" s="235"/>
      <c r="HMJ26" s="235"/>
      <c r="HMK26" s="235"/>
      <c r="HML26" s="235"/>
      <c r="HMM26" s="235"/>
      <c r="HMN26" s="235"/>
      <c r="HMO26" s="235"/>
      <c r="HMP26" s="235"/>
      <c r="HMQ26" s="235"/>
      <c r="HMR26" s="235"/>
      <c r="HMS26" s="235"/>
      <c r="HMT26" s="235"/>
      <c r="HMU26" s="235"/>
      <c r="HMV26" s="235"/>
      <c r="HMW26" s="235"/>
      <c r="HMX26" s="235"/>
      <c r="HMY26" s="235"/>
      <c r="HMZ26" s="235"/>
      <c r="HNA26" s="235"/>
      <c r="HNB26" s="235"/>
      <c r="HNC26" s="235"/>
      <c r="HND26" s="235"/>
      <c r="HNE26" s="235"/>
      <c r="HNF26" s="235"/>
      <c r="HNG26" s="235"/>
      <c r="HNH26" s="235"/>
      <c r="HNI26" s="235"/>
      <c r="HNJ26" s="235"/>
      <c r="HNK26" s="235"/>
      <c r="HNL26" s="235"/>
      <c r="HNM26" s="235"/>
      <c r="HNN26" s="235"/>
      <c r="HNO26" s="235"/>
      <c r="HNP26" s="235"/>
      <c r="HNQ26" s="235"/>
      <c r="HNR26" s="235"/>
      <c r="HNS26" s="235"/>
      <c r="HNT26" s="235"/>
      <c r="HNU26" s="235"/>
      <c r="HNV26" s="235"/>
      <c r="HNW26" s="235"/>
      <c r="HNX26" s="235"/>
      <c r="HNY26" s="235"/>
      <c r="HNZ26" s="235"/>
      <c r="HOA26" s="235"/>
      <c r="HOB26" s="235"/>
      <c r="HOC26" s="235"/>
      <c r="HOD26" s="235"/>
      <c r="HOE26" s="235"/>
      <c r="HOF26" s="235"/>
      <c r="HOG26" s="235"/>
      <c r="HOH26" s="235"/>
      <c r="HOI26" s="235"/>
      <c r="HOJ26" s="235"/>
      <c r="HOK26" s="235"/>
      <c r="HOL26" s="235"/>
      <c r="HOM26" s="235"/>
      <c r="HON26" s="235"/>
      <c r="HOO26" s="235"/>
      <c r="HOP26" s="235"/>
      <c r="HOQ26" s="235"/>
      <c r="HOR26" s="235"/>
      <c r="HOS26" s="235"/>
      <c r="HOT26" s="235"/>
      <c r="HOU26" s="235"/>
      <c r="HOV26" s="235"/>
      <c r="HOW26" s="235"/>
      <c r="HOX26" s="235"/>
      <c r="HOY26" s="235"/>
      <c r="HOZ26" s="235"/>
      <c r="HPA26" s="235"/>
      <c r="HPB26" s="235"/>
      <c r="HPC26" s="235"/>
      <c r="HPD26" s="235"/>
      <c r="HPE26" s="235"/>
      <c r="HPF26" s="235"/>
      <c r="HPG26" s="235"/>
      <c r="HPH26" s="235"/>
      <c r="HPI26" s="235"/>
      <c r="HPJ26" s="235"/>
      <c r="HPK26" s="235"/>
      <c r="HPL26" s="235"/>
      <c r="HPM26" s="235"/>
      <c r="HPN26" s="235"/>
      <c r="HPO26" s="235"/>
      <c r="HPP26" s="235"/>
      <c r="HPQ26" s="235"/>
      <c r="HPR26" s="235"/>
      <c r="HPS26" s="235"/>
      <c r="HPT26" s="235"/>
      <c r="HPU26" s="235"/>
      <c r="HPV26" s="235"/>
      <c r="HPW26" s="235"/>
      <c r="HPX26" s="235"/>
      <c r="HPY26" s="235"/>
      <c r="HPZ26" s="235"/>
      <c r="HQA26" s="235"/>
      <c r="HQB26" s="235"/>
      <c r="HQC26" s="235"/>
      <c r="HQD26" s="235"/>
      <c r="HQE26" s="235"/>
      <c r="HQF26" s="235"/>
      <c r="HQG26" s="235"/>
      <c r="HQH26" s="235"/>
      <c r="HQI26" s="235"/>
      <c r="HQJ26" s="235"/>
      <c r="HQK26" s="235"/>
      <c r="HQL26" s="235"/>
      <c r="HQM26" s="235"/>
      <c r="HQN26" s="235"/>
      <c r="HQO26" s="235"/>
      <c r="HQP26" s="235"/>
      <c r="HQQ26" s="235"/>
      <c r="HQR26" s="235"/>
      <c r="HQS26" s="235"/>
      <c r="HQT26" s="235"/>
      <c r="HQU26" s="235"/>
      <c r="HQV26" s="235"/>
      <c r="HQW26" s="235"/>
      <c r="HQX26" s="235"/>
      <c r="HQY26" s="235"/>
      <c r="HQZ26" s="235"/>
      <c r="HRA26" s="235"/>
      <c r="HRB26" s="235"/>
      <c r="HRC26" s="235"/>
      <c r="HRD26" s="235"/>
      <c r="HRE26" s="235"/>
      <c r="HRF26" s="235"/>
      <c r="HRG26" s="235"/>
      <c r="HRH26" s="235"/>
      <c r="HRI26" s="235"/>
      <c r="HRJ26" s="235"/>
      <c r="HRK26" s="235"/>
      <c r="HRL26" s="235"/>
      <c r="HRM26" s="235"/>
      <c r="HRN26" s="235"/>
      <c r="HRO26" s="235"/>
      <c r="HRP26" s="235"/>
      <c r="HRQ26" s="235"/>
      <c r="HRR26" s="235"/>
      <c r="HRS26" s="235"/>
      <c r="HRT26" s="235"/>
      <c r="HRU26" s="235"/>
      <c r="HRV26" s="235"/>
      <c r="HRW26" s="235"/>
      <c r="HRX26" s="235"/>
      <c r="HRY26" s="235"/>
      <c r="HRZ26" s="235"/>
      <c r="HSA26" s="235"/>
      <c r="HSB26" s="235"/>
      <c r="HSC26" s="235"/>
      <c r="HSD26" s="235"/>
      <c r="HSE26" s="235"/>
      <c r="HSF26" s="235"/>
      <c r="HSG26" s="235"/>
      <c r="HSH26" s="235"/>
      <c r="HSI26" s="235"/>
      <c r="HSJ26" s="235"/>
      <c r="HSK26" s="235"/>
      <c r="HSL26" s="235"/>
      <c r="HSM26" s="235"/>
      <c r="HSN26" s="235"/>
      <c r="HSO26" s="235"/>
      <c r="HSP26" s="235"/>
      <c r="HSQ26" s="235"/>
      <c r="HSR26" s="235"/>
      <c r="HSS26" s="235"/>
      <c r="HST26" s="235"/>
      <c r="HSU26" s="235"/>
      <c r="HSV26" s="235"/>
      <c r="HSW26" s="235"/>
      <c r="HSX26" s="235"/>
      <c r="HSY26" s="235"/>
      <c r="HSZ26" s="235"/>
      <c r="HTA26" s="235"/>
      <c r="HTB26" s="235"/>
      <c r="HTC26" s="235"/>
      <c r="HTD26" s="235"/>
      <c r="HTE26" s="235"/>
      <c r="HTF26" s="235"/>
      <c r="HTG26" s="235"/>
      <c r="HTH26" s="235"/>
      <c r="HTI26" s="235"/>
      <c r="HTJ26" s="235"/>
      <c r="HTK26" s="235"/>
      <c r="HTL26" s="235"/>
      <c r="HTM26" s="235"/>
      <c r="HTN26" s="235"/>
      <c r="HTO26" s="235"/>
      <c r="HTP26" s="235"/>
      <c r="HTQ26" s="235"/>
      <c r="HTR26" s="235"/>
      <c r="HTS26" s="235"/>
      <c r="HTT26" s="235"/>
      <c r="HTU26" s="235"/>
      <c r="HTV26" s="235"/>
      <c r="HTW26" s="235"/>
      <c r="HTX26" s="235"/>
      <c r="HTY26" s="235"/>
      <c r="HTZ26" s="235"/>
      <c r="HUA26" s="235"/>
      <c r="HUB26" s="235"/>
      <c r="HUC26" s="235"/>
      <c r="HUD26" s="235"/>
      <c r="HUE26" s="235"/>
      <c r="HUF26" s="235"/>
      <c r="HUG26" s="235"/>
      <c r="HUH26" s="235"/>
      <c r="HUI26" s="235"/>
      <c r="HUJ26" s="235"/>
      <c r="HUK26" s="235"/>
      <c r="HUL26" s="235"/>
      <c r="HUM26" s="235"/>
      <c r="HUN26" s="235"/>
      <c r="HUO26" s="235"/>
      <c r="HUP26" s="235"/>
      <c r="HUQ26" s="235"/>
      <c r="HUR26" s="235"/>
      <c r="HUS26" s="235"/>
      <c r="HUT26" s="235"/>
      <c r="HUU26" s="235"/>
      <c r="HUV26" s="235"/>
      <c r="HUW26" s="235"/>
      <c r="HUX26" s="235"/>
      <c r="HUY26" s="235"/>
      <c r="HUZ26" s="235"/>
      <c r="HVA26" s="235"/>
      <c r="HVB26" s="235"/>
      <c r="HVC26" s="235"/>
      <c r="HVD26" s="235"/>
      <c r="HVE26" s="235"/>
      <c r="HVF26" s="235"/>
      <c r="HVG26" s="235"/>
      <c r="HVH26" s="235"/>
      <c r="HVI26" s="235"/>
      <c r="HVJ26" s="235"/>
      <c r="HVK26" s="235"/>
      <c r="HVL26" s="235"/>
      <c r="HVM26" s="235"/>
      <c r="HVN26" s="235"/>
      <c r="HVO26" s="235"/>
      <c r="HVP26" s="235"/>
      <c r="HVQ26" s="235"/>
      <c r="HVR26" s="235"/>
      <c r="HVS26" s="235"/>
      <c r="HVT26" s="235"/>
      <c r="HVU26" s="235"/>
      <c r="HVV26" s="235"/>
      <c r="HVW26" s="235"/>
      <c r="HVX26" s="235"/>
      <c r="HVY26" s="235"/>
      <c r="HVZ26" s="235"/>
      <c r="HWA26" s="235"/>
      <c r="HWB26" s="235"/>
      <c r="HWC26" s="235"/>
      <c r="HWD26" s="235"/>
      <c r="HWE26" s="235"/>
      <c r="HWF26" s="235"/>
      <c r="HWG26" s="235"/>
      <c r="HWH26" s="235"/>
      <c r="HWI26" s="235"/>
      <c r="HWJ26" s="235"/>
      <c r="HWK26" s="235"/>
      <c r="HWL26" s="235"/>
      <c r="HWM26" s="235"/>
      <c r="HWN26" s="235"/>
      <c r="HWO26" s="235"/>
      <c r="HWP26" s="235"/>
      <c r="HWQ26" s="235"/>
      <c r="HWR26" s="235"/>
      <c r="HWS26" s="235"/>
      <c r="HWT26" s="235"/>
      <c r="HWU26" s="235"/>
      <c r="HWV26" s="235"/>
      <c r="HWW26" s="235"/>
      <c r="HWX26" s="235"/>
      <c r="HWY26" s="235"/>
      <c r="HWZ26" s="235"/>
      <c r="HXA26" s="235"/>
      <c r="HXB26" s="235"/>
      <c r="HXC26" s="235"/>
      <c r="HXD26" s="235"/>
      <c r="HXE26" s="235"/>
      <c r="HXF26" s="235"/>
      <c r="HXG26" s="235"/>
      <c r="HXH26" s="235"/>
      <c r="HXI26" s="235"/>
      <c r="HXJ26" s="235"/>
      <c r="HXK26" s="235"/>
      <c r="HXL26" s="235"/>
      <c r="HXM26" s="235"/>
      <c r="HXN26" s="235"/>
      <c r="HXO26" s="235"/>
      <c r="HXP26" s="235"/>
      <c r="HXQ26" s="235"/>
      <c r="HXR26" s="235"/>
      <c r="HXS26" s="235"/>
      <c r="HXT26" s="235"/>
      <c r="HXU26" s="235"/>
      <c r="HXV26" s="235"/>
      <c r="HXW26" s="235"/>
      <c r="HXX26" s="235"/>
      <c r="HXY26" s="235"/>
      <c r="HXZ26" s="235"/>
      <c r="HYA26" s="235"/>
      <c r="HYB26" s="235"/>
      <c r="HYC26" s="235"/>
      <c r="HYD26" s="235"/>
      <c r="HYE26" s="235"/>
      <c r="HYF26" s="235"/>
      <c r="HYG26" s="235"/>
      <c r="HYH26" s="235"/>
      <c r="HYI26" s="235"/>
      <c r="HYJ26" s="235"/>
      <c r="HYK26" s="235"/>
      <c r="HYL26" s="235"/>
      <c r="HYM26" s="235"/>
      <c r="HYN26" s="235"/>
      <c r="HYO26" s="235"/>
      <c r="HYP26" s="235"/>
      <c r="HYQ26" s="235"/>
      <c r="HYR26" s="235"/>
      <c r="HYS26" s="235"/>
      <c r="HYT26" s="235"/>
      <c r="HYU26" s="235"/>
      <c r="HYV26" s="235"/>
      <c r="HYW26" s="235"/>
      <c r="HYX26" s="235"/>
      <c r="HYY26" s="235"/>
      <c r="HYZ26" s="235"/>
      <c r="HZA26" s="235"/>
      <c r="HZB26" s="235"/>
      <c r="HZC26" s="235"/>
      <c r="HZD26" s="235"/>
      <c r="HZE26" s="235"/>
      <c r="HZF26" s="235"/>
      <c r="HZG26" s="235"/>
      <c r="HZH26" s="235"/>
      <c r="HZI26" s="235"/>
      <c r="HZJ26" s="235"/>
      <c r="HZK26" s="235"/>
      <c r="HZL26" s="235"/>
      <c r="HZM26" s="235"/>
      <c r="HZN26" s="235"/>
      <c r="HZO26" s="235"/>
      <c r="HZP26" s="235"/>
      <c r="HZQ26" s="235"/>
      <c r="HZR26" s="235"/>
      <c r="HZS26" s="235"/>
      <c r="HZT26" s="235"/>
      <c r="HZU26" s="235"/>
      <c r="HZV26" s="235"/>
      <c r="HZW26" s="235"/>
      <c r="HZX26" s="235"/>
      <c r="HZY26" s="235"/>
      <c r="HZZ26" s="235"/>
      <c r="IAA26" s="235"/>
      <c r="IAB26" s="235"/>
      <c r="IAC26" s="235"/>
      <c r="IAD26" s="235"/>
      <c r="IAE26" s="235"/>
      <c r="IAF26" s="235"/>
      <c r="IAG26" s="235"/>
      <c r="IAH26" s="235"/>
      <c r="IAI26" s="235"/>
      <c r="IAJ26" s="235"/>
      <c r="IAK26" s="235"/>
      <c r="IAL26" s="235"/>
      <c r="IAM26" s="235"/>
      <c r="IAN26" s="235"/>
      <c r="IAO26" s="235"/>
      <c r="IAP26" s="235"/>
      <c r="IAQ26" s="235"/>
      <c r="IAR26" s="235"/>
      <c r="IAS26" s="235"/>
      <c r="IAT26" s="235"/>
      <c r="IAU26" s="235"/>
      <c r="IAV26" s="235"/>
      <c r="IAW26" s="235"/>
      <c r="IAX26" s="235"/>
      <c r="IAY26" s="235"/>
      <c r="IAZ26" s="235"/>
      <c r="IBA26" s="235"/>
      <c r="IBB26" s="235"/>
      <c r="IBC26" s="235"/>
      <c r="IBD26" s="235"/>
      <c r="IBE26" s="235"/>
      <c r="IBF26" s="235"/>
      <c r="IBG26" s="235"/>
      <c r="IBH26" s="235"/>
      <c r="IBI26" s="235"/>
      <c r="IBJ26" s="235"/>
      <c r="IBK26" s="235"/>
      <c r="IBL26" s="235"/>
      <c r="IBM26" s="235"/>
      <c r="IBN26" s="235"/>
      <c r="IBO26" s="235"/>
      <c r="IBP26" s="235"/>
      <c r="IBQ26" s="235"/>
      <c r="IBR26" s="235"/>
      <c r="IBS26" s="235"/>
      <c r="IBT26" s="235"/>
      <c r="IBU26" s="235"/>
      <c r="IBV26" s="235"/>
      <c r="IBW26" s="235"/>
      <c r="IBX26" s="235"/>
      <c r="IBY26" s="235"/>
      <c r="IBZ26" s="235"/>
      <c r="ICA26" s="235"/>
      <c r="ICB26" s="235"/>
      <c r="ICC26" s="235"/>
      <c r="ICD26" s="235"/>
      <c r="ICE26" s="235"/>
      <c r="ICF26" s="235"/>
      <c r="ICG26" s="235"/>
      <c r="ICH26" s="235"/>
      <c r="ICI26" s="235"/>
      <c r="ICJ26" s="235"/>
      <c r="ICK26" s="235"/>
      <c r="ICL26" s="235"/>
      <c r="ICM26" s="235"/>
      <c r="ICN26" s="235"/>
      <c r="ICO26" s="235"/>
      <c r="ICP26" s="235"/>
      <c r="ICQ26" s="235"/>
      <c r="ICR26" s="235"/>
      <c r="ICS26" s="235"/>
      <c r="ICT26" s="235"/>
      <c r="ICU26" s="235"/>
      <c r="ICV26" s="235"/>
      <c r="ICW26" s="235"/>
      <c r="ICX26" s="235"/>
      <c r="ICY26" s="235"/>
      <c r="ICZ26" s="235"/>
      <c r="IDA26" s="235"/>
      <c r="IDB26" s="235"/>
      <c r="IDC26" s="235"/>
      <c r="IDD26" s="235"/>
      <c r="IDE26" s="235"/>
      <c r="IDF26" s="235"/>
      <c r="IDG26" s="235"/>
      <c r="IDH26" s="235"/>
      <c r="IDI26" s="235"/>
      <c r="IDJ26" s="235"/>
      <c r="IDK26" s="235"/>
      <c r="IDL26" s="235"/>
      <c r="IDM26" s="235"/>
      <c r="IDN26" s="235"/>
      <c r="IDO26" s="235"/>
      <c r="IDP26" s="235"/>
      <c r="IDQ26" s="235"/>
      <c r="IDR26" s="235"/>
      <c r="IDS26" s="235"/>
      <c r="IDT26" s="235"/>
      <c r="IDU26" s="235"/>
      <c r="IDV26" s="235"/>
      <c r="IDW26" s="235"/>
      <c r="IDX26" s="235"/>
      <c r="IDY26" s="235"/>
      <c r="IDZ26" s="235"/>
      <c r="IEA26" s="235"/>
      <c r="IEB26" s="235"/>
      <c r="IEC26" s="235"/>
      <c r="IED26" s="235"/>
      <c r="IEE26" s="235"/>
      <c r="IEF26" s="235"/>
      <c r="IEG26" s="235"/>
      <c r="IEH26" s="235"/>
      <c r="IEI26" s="235"/>
      <c r="IEJ26" s="235"/>
      <c r="IEK26" s="235"/>
      <c r="IEL26" s="235"/>
      <c r="IEM26" s="235"/>
      <c r="IEN26" s="235"/>
      <c r="IEO26" s="235"/>
      <c r="IEP26" s="235"/>
      <c r="IEQ26" s="235"/>
      <c r="IER26" s="235"/>
      <c r="IES26" s="235"/>
      <c r="IET26" s="235"/>
      <c r="IEU26" s="235"/>
      <c r="IEV26" s="235"/>
      <c r="IEW26" s="235"/>
      <c r="IEX26" s="235"/>
      <c r="IEY26" s="235"/>
      <c r="IEZ26" s="235"/>
      <c r="IFA26" s="235"/>
      <c r="IFB26" s="235"/>
      <c r="IFC26" s="235"/>
      <c r="IFD26" s="235"/>
      <c r="IFE26" s="235"/>
      <c r="IFF26" s="235"/>
      <c r="IFG26" s="235"/>
      <c r="IFH26" s="235"/>
      <c r="IFI26" s="235"/>
      <c r="IFJ26" s="235"/>
      <c r="IFK26" s="235"/>
      <c r="IFL26" s="235"/>
      <c r="IFM26" s="235"/>
      <c r="IFN26" s="235"/>
      <c r="IFO26" s="235"/>
      <c r="IFP26" s="235"/>
      <c r="IFQ26" s="235"/>
      <c r="IFR26" s="235"/>
      <c r="IFS26" s="235"/>
      <c r="IFT26" s="235"/>
      <c r="IFU26" s="235"/>
      <c r="IFV26" s="235"/>
      <c r="IFW26" s="235"/>
      <c r="IFX26" s="235"/>
      <c r="IFY26" s="235"/>
      <c r="IFZ26" s="235"/>
      <c r="IGA26" s="235"/>
      <c r="IGB26" s="235"/>
      <c r="IGC26" s="235"/>
      <c r="IGD26" s="235"/>
      <c r="IGE26" s="235"/>
      <c r="IGF26" s="235"/>
      <c r="IGG26" s="235"/>
      <c r="IGH26" s="235"/>
      <c r="IGI26" s="235"/>
      <c r="IGJ26" s="235"/>
      <c r="IGK26" s="235"/>
      <c r="IGL26" s="235"/>
      <c r="IGM26" s="235"/>
      <c r="IGN26" s="235"/>
      <c r="IGO26" s="235"/>
      <c r="IGP26" s="235"/>
      <c r="IGQ26" s="235"/>
      <c r="IGR26" s="235"/>
      <c r="IGS26" s="235"/>
      <c r="IGT26" s="235"/>
      <c r="IGU26" s="235"/>
      <c r="IGV26" s="235"/>
      <c r="IGW26" s="235"/>
      <c r="IGX26" s="235"/>
      <c r="IGY26" s="235"/>
      <c r="IGZ26" s="235"/>
      <c r="IHA26" s="235"/>
      <c r="IHB26" s="235"/>
      <c r="IHC26" s="235"/>
      <c r="IHD26" s="235"/>
      <c r="IHE26" s="235"/>
      <c r="IHF26" s="235"/>
      <c r="IHG26" s="235"/>
      <c r="IHH26" s="235"/>
      <c r="IHI26" s="235"/>
      <c r="IHJ26" s="235"/>
      <c r="IHK26" s="235"/>
      <c r="IHL26" s="235"/>
      <c r="IHM26" s="235"/>
      <c r="IHN26" s="235"/>
      <c r="IHO26" s="235"/>
      <c r="IHP26" s="235"/>
      <c r="IHQ26" s="235"/>
      <c r="IHR26" s="235"/>
      <c r="IHS26" s="235"/>
      <c r="IHT26" s="235"/>
      <c r="IHU26" s="235"/>
      <c r="IHV26" s="235"/>
      <c r="IHW26" s="235"/>
      <c r="IHX26" s="235"/>
      <c r="IHY26" s="235"/>
      <c r="IHZ26" s="235"/>
      <c r="IIA26" s="235"/>
      <c r="IIB26" s="235"/>
      <c r="IIC26" s="235"/>
      <c r="IID26" s="235"/>
      <c r="IIE26" s="235"/>
      <c r="IIF26" s="235"/>
      <c r="IIG26" s="235"/>
      <c r="IIH26" s="235"/>
      <c r="III26" s="235"/>
      <c r="IIJ26" s="235"/>
      <c r="IIK26" s="235"/>
      <c r="IIL26" s="235"/>
      <c r="IIM26" s="235"/>
      <c r="IIN26" s="235"/>
      <c r="IIO26" s="235"/>
      <c r="IIP26" s="235"/>
      <c r="IIQ26" s="235"/>
      <c r="IIR26" s="235"/>
      <c r="IIS26" s="235"/>
      <c r="IIT26" s="235"/>
      <c r="IIU26" s="235"/>
      <c r="IIV26" s="235"/>
      <c r="IIW26" s="235"/>
      <c r="IIX26" s="235"/>
      <c r="IIY26" s="235"/>
      <c r="IIZ26" s="235"/>
      <c r="IJA26" s="235"/>
      <c r="IJB26" s="235"/>
      <c r="IJC26" s="235"/>
      <c r="IJD26" s="235"/>
      <c r="IJE26" s="235"/>
      <c r="IJF26" s="235"/>
      <c r="IJG26" s="235"/>
      <c r="IJH26" s="235"/>
      <c r="IJI26" s="235"/>
      <c r="IJJ26" s="235"/>
      <c r="IJK26" s="235"/>
      <c r="IJL26" s="235"/>
      <c r="IJM26" s="235"/>
      <c r="IJN26" s="235"/>
      <c r="IJO26" s="235"/>
      <c r="IJP26" s="235"/>
      <c r="IJQ26" s="235"/>
      <c r="IJR26" s="235"/>
      <c r="IJS26" s="235"/>
      <c r="IJT26" s="235"/>
      <c r="IJU26" s="235"/>
      <c r="IJV26" s="235"/>
      <c r="IJW26" s="235"/>
      <c r="IJX26" s="235"/>
      <c r="IJY26" s="235"/>
      <c r="IJZ26" s="235"/>
      <c r="IKA26" s="235"/>
      <c r="IKB26" s="235"/>
      <c r="IKC26" s="235"/>
      <c r="IKD26" s="235"/>
      <c r="IKE26" s="235"/>
      <c r="IKF26" s="235"/>
      <c r="IKG26" s="235"/>
      <c r="IKH26" s="235"/>
      <c r="IKI26" s="235"/>
      <c r="IKJ26" s="235"/>
      <c r="IKK26" s="235"/>
      <c r="IKL26" s="235"/>
      <c r="IKM26" s="235"/>
      <c r="IKN26" s="235"/>
      <c r="IKO26" s="235"/>
      <c r="IKP26" s="235"/>
      <c r="IKQ26" s="235"/>
      <c r="IKR26" s="235"/>
      <c r="IKS26" s="235"/>
      <c r="IKT26" s="235"/>
      <c r="IKU26" s="235"/>
      <c r="IKV26" s="235"/>
      <c r="IKW26" s="235"/>
      <c r="IKX26" s="235"/>
      <c r="IKY26" s="235"/>
      <c r="IKZ26" s="235"/>
      <c r="ILA26" s="235"/>
      <c r="ILB26" s="235"/>
      <c r="ILC26" s="235"/>
      <c r="ILD26" s="235"/>
      <c r="ILE26" s="235"/>
      <c r="ILF26" s="235"/>
      <c r="ILG26" s="235"/>
      <c r="ILH26" s="235"/>
      <c r="ILI26" s="235"/>
      <c r="ILJ26" s="235"/>
      <c r="ILK26" s="235"/>
      <c r="ILL26" s="235"/>
      <c r="ILM26" s="235"/>
      <c r="ILN26" s="235"/>
      <c r="ILO26" s="235"/>
      <c r="ILP26" s="235"/>
      <c r="ILQ26" s="235"/>
      <c r="ILR26" s="235"/>
      <c r="ILS26" s="235"/>
      <c r="ILT26" s="235"/>
      <c r="ILU26" s="235"/>
      <c r="ILV26" s="235"/>
      <c r="ILW26" s="235"/>
      <c r="ILX26" s="235"/>
      <c r="ILY26" s="235"/>
      <c r="ILZ26" s="235"/>
      <c r="IMA26" s="235"/>
      <c r="IMB26" s="235"/>
      <c r="IMC26" s="235"/>
      <c r="IMD26" s="235"/>
      <c r="IME26" s="235"/>
      <c r="IMF26" s="235"/>
      <c r="IMG26" s="235"/>
      <c r="IMH26" s="235"/>
      <c r="IMI26" s="235"/>
      <c r="IMJ26" s="235"/>
      <c r="IMK26" s="235"/>
      <c r="IML26" s="235"/>
      <c r="IMM26" s="235"/>
      <c r="IMN26" s="235"/>
      <c r="IMO26" s="235"/>
      <c r="IMP26" s="235"/>
      <c r="IMQ26" s="235"/>
      <c r="IMR26" s="235"/>
      <c r="IMS26" s="235"/>
      <c r="IMT26" s="235"/>
      <c r="IMU26" s="235"/>
      <c r="IMV26" s="235"/>
      <c r="IMW26" s="235"/>
      <c r="IMX26" s="235"/>
      <c r="IMY26" s="235"/>
      <c r="IMZ26" s="235"/>
      <c r="INA26" s="235"/>
      <c r="INB26" s="235"/>
      <c r="INC26" s="235"/>
      <c r="IND26" s="235"/>
      <c r="INE26" s="235"/>
      <c r="INF26" s="235"/>
      <c r="ING26" s="235"/>
      <c r="INH26" s="235"/>
      <c r="INI26" s="235"/>
      <c r="INJ26" s="235"/>
      <c r="INK26" s="235"/>
      <c r="INL26" s="235"/>
      <c r="INM26" s="235"/>
      <c r="INN26" s="235"/>
      <c r="INO26" s="235"/>
      <c r="INP26" s="235"/>
      <c r="INQ26" s="235"/>
      <c r="INR26" s="235"/>
      <c r="INS26" s="235"/>
      <c r="INT26" s="235"/>
      <c r="INU26" s="235"/>
      <c r="INV26" s="235"/>
      <c r="INW26" s="235"/>
      <c r="INX26" s="235"/>
      <c r="INY26" s="235"/>
      <c r="INZ26" s="235"/>
      <c r="IOA26" s="235"/>
      <c r="IOB26" s="235"/>
      <c r="IOC26" s="235"/>
      <c r="IOD26" s="235"/>
      <c r="IOE26" s="235"/>
      <c r="IOF26" s="235"/>
      <c r="IOG26" s="235"/>
      <c r="IOH26" s="235"/>
      <c r="IOI26" s="235"/>
      <c r="IOJ26" s="235"/>
      <c r="IOK26" s="235"/>
      <c r="IOL26" s="235"/>
      <c r="IOM26" s="235"/>
      <c r="ION26" s="235"/>
      <c r="IOO26" s="235"/>
      <c r="IOP26" s="235"/>
      <c r="IOQ26" s="235"/>
      <c r="IOR26" s="235"/>
      <c r="IOS26" s="235"/>
      <c r="IOT26" s="235"/>
      <c r="IOU26" s="235"/>
      <c r="IOV26" s="235"/>
      <c r="IOW26" s="235"/>
      <c r="IOX26" s="235"/>
      <c r="IOY26" s="235"/>
      <c r="IOZ26" s="235"/>
      <c r="IPA26" s="235"/>
      <c r="IPB26" s="235"/>
      <c r="IPC26" s="235"/>
      <c r="IPD26" s="235"/>
      <c r="IPE26" s="235"/>
      <c r="IPF26" s="235"/>
      <c r="IPG26" s="235"/>
      <c r="IPH26" s="235"/>
      <c r="IPI26" s="235"/>
      <c r="IPJ26" s="235"/>
      <c r="IPK26" s="235"/>
      <c r="IPL26" s="235"/>
      <c r="IPM26" s="235"/>
      <c r="IPN26" s="235"/>
      <c r="IPO26" s="235"/>
      <c r="IPP26" s="235"/>
      <c r="IPQ26" s="235"/>
      <c r="IPR26" s="235"/>
      <c r="IPS26" s="235"/>
      <c r="IPT26" s="235"/>
      <c r="IPU26" s="235"/>
      <c r="IPV26" s="235"/>
      <c r="IPW26" s="235"/>
      <c r="IPX26" s="235"/>
      <c r="IPY26" s="235"/>
      <c r="IPZ26" s="235"/>
      <c r="IQA26" s="235"/>
      <c r="IQB26" s="235"/>
      <c r="IQC26" s="235"/>
      <c r="IQD26" s="235"/>
      <c r="IQE26" s="235"/>
      <c r="IQF26" s="235"/>
      <c r="IQG26" s="235"/>
      <c r="IQH26" s="235"/>
      <c r="IQI26" s="235"/>
      <c r="IQJ26" s="235"/>
      <c r="IQK26" s="235"/>
      <c r="IQL26" s="235"/>
      <c r="IQM26" s="235"/>
      <c r="IQN26" s="235"/>
      <c r="IQO26" s="235"/>
      <c r="IQP26" s="235"/>
      <c r="IQQ26" s="235"/>
      <c r="IQR26" s="235"/>
      <c r="IQS26" s="235"/>
      <c r="IQT26" s="235"/>
      <c r="IQU26" s="235"/>
      <c r="IQV26" s="235"/>
      <c r="IQW26" s="235"/>
      <c r="IQX26" s="235"/>
      <c r="IQY26" s="235"/>
      <c r="IQZ26" s="235"/>
      <c r="IRA26" s="235"/>
      <c r="IRB26" s="235"/>
      <c r="IRC26" s="235"/>
      <c r="IRD26" s="235"/>
      <c r="IRE26" s="235"/>
      <c r="IRF26" s="235"/>
      <c r="IRG26" s="235"/>
      <c r="IRH26" s="235"/>
      <c r="IRI26" s="235"/>
      <c r="IRJ26" s="235"/>
      <c r="IRK26" s="235"/>
      <c r="IRL26" s="235"/>
      <c r="IRM26" s="235"/>
      <c r="IRN26" s="235"/>
      <c r="IRO26" s="235"/>
      <c r="IRP26" s="235"/>
      <c r="IRQ26" s="235"/>
      <c r="IRR26" s="235"/>
      <c r="IRS26" s="235"/>
      <c r="IRT26" s="235"/>
      <c r="IRU26" s="235"/>
      <c r="IRV26" s="235"/>
      <c r="IRW26" s="235"/>
      <c r="IRX26" s="235"/>
      <c r="IRY26" s="235"/>
      <c r="IRZ26" s="235"/>
      <c r="ISA26" s="235"/>
      <c r="ISB26" s="235"/>
      <c r="ISC26" s="235"/>
      <c r="ISD26" s="235"/>
      <c r="ISE26" s="235"/>
      <c r="ISF26" s="235"/>
      <c r="ISG26" s="235"/>
      <c r="ISH26" s="235"/>
      <c r="ISI26" s="235"/>
      <c r="ISJ26" s="235"/>
      <c r="ISK26" s="235"/>
      <c r="ISL26" s="235"/>
      <c r="ISM26" s="235"/>
      <c r="ISN26" s="235"/>
      <c r="ISO26" s="235"/>
      <c r="ISP26" s="235"/>
      <c r="ISQ26" s="235"/>
      <c r="ISR26" s="235"/>
      <c r="ISS26" s="235"/>
      <c r="IST26" s="235"/>
      <c r="ISU26" s="235"/>
      <c r="ISV26" s="235"/>
      <c r="ISW26" s="235"/>
      <c r="ISX26" s="235"/>
      <c r="ISY26" s="235"/>
      <c r="ISZ26" s="235"/>
      <c r="ITA26" s="235"/>
      <c r="ITB26" s="235"/>
      <c r="ITC26" s="235"/>
      <c r="ITD26" s="235"/>
      <c r="ITE26" s="235"/>
      <c r="ITF26" s="235"/>
      <c r="ITG26" s="235"/>
      <c r="ITH26" s="235"/>
      <c r="ITI26" s="235"/>
      <c r="ITJ26" s="235"/>
      <c r="ITK26" s="235"/>
      <c r="ITL26" s="235"/>
      <c r="ITM26" s="235"/>
      <c r="ITN26" s="235"/>
      <c r="ITO26" s="235"/>
      <c r="ITP26" s="235"/>
      <c r="ITQ26" s="235"/>
      <c r="ITR26" s="235"/>
      <c r="ITS26" s="235"/>
      <c r="ITT26" s="235"/>
      <c r="ITU26" s="235"/>
      <c r="ITV26" s="235"/>
      <c r="ITW26" s="235"/>
      <c r="ITX26" s="235"/>
      <c r="ITY26" s="235"/>
      <c r="ITZ26" s="235"/>
      <c r="IUA26" s="235"/>
      <c r="IUB26" s="235"/>
      <c r="IUC26" s="235"/>
      <c r="IUD26" s="235"/>
      <c r="IUE26" s="235"/>
      <c r="IUF26" s="235"/>
      <c r="IUG26" s="235"/>
      <c r="IUH26" s="235"/>
      <c r="IUI26" s="235"/>
      <c r="IUJ26" s="235"/>
      <c r="IUK26" s="235"/>
      <c r="IUL26" s="235"/>
      <c r="IUM26" s="235"/>
      <c r="IUN26" s="235"/>
      <c r="IUO26" s="235"/>
      <c r="IUP26" s="235"/>
      <c r="IUQ26" s="235"/>
      <c r="IUR26" s="235"/>
      <c r="IUS26" s="235"/>
      <c r="IUT26" s="235"/>
      <c r="IUU26" s="235"/>
      <c r="IUV26" s="235"/>
      <c r="IUW26" s="235"/>
      <c r="IUX26" s="235"/>
      <c r="IUY26" s="235"/>
      <c r="IUZ26" s="235"/>
      <c r="IVA26" s="235"/>
      <c r="IVB26" s="235"/>
      <c r="IVC26" s="235"/>
      <c r="IVD26" s="235"/>
      <c r="IVE26" s="235"/>
      <c r="IVF26" s="235"/>
      <c r="IVG26" s="235"/>
      <c r="IVH26" s="235"/>
      <c r="IVI26" s="235"/>
      <c r="IVJ26" s="235"/>
      <c r="IVK26" s="235"/>
      <c r="IVL26" s="235"/>
      <c r="IVM26" s="235"/>
      <c r="IVN26" s="235"/>
      <c r="IVO26" s="235"/>
      <c r="IVP26" s="235"/>
      <c r="IVQ26" s="235"/>
      <c r="IVR26" s="235"/>
      <c r="IVS26" s="235"/>
      <c r="IVT26" s="235"/>
      <c r="IVU26" s="235"/>
      <c r="IVV26" s="235"/>
      <c r="IVW26" s="235"/>
      <c r="IVX26" s="235"/>
      <c r="IVY26" s="235"/>
      <c r="IVZ26" s="235"/>
      <c r="IWA26" s="235"/>
      <c r="IWB26" s="235"/>
      <c r="IWC26" s="235"/>
      <c r="IWD26" s="235"/>
      <c r="IWE26" s="235"/>
      <c r="IWF26" s="235"/>
      <c r="IWG26" s="235"/>
      <c r="IWH26" s="235"/>
      <c r="IWI26" s="235"/>
      <c r="IWJ26" s="235"/>
      <c r="IWK26" s="235"/>
      <c r="IWL26" s="235"/>
      <c r="IWM26" s="235"/>
      <c r="IWN26" s="235"/>
      <c r="IWO26" s="235"/>
      <c r="IWP26" s="235"/>
      <c r="IWQ26" s="235"/>
      <c r="IWR26" s="235"/>
      <c r="IWS26" s="235"/>
      <c r="IWT26" s="235"/>
      <c r="IWU26" s="235"/>
      <c r="IWV26" s="235"/>
      <c r="IWW26" s="235"/>
      <c r="IWX26" s="235"/>
      <c r="IWY26" s="235"/>
      <c r="IWZ26" s="235"/>
      <c r="IXA26" s="235"/>
      <c r="IXB26" s="235"/>
      <c r="IXC26" s="235"/>
      <c r="IXD26" s="235"/>
      <c r="IXE26" s="235"/>
      <c r="IXF26" s="235"/>
      <c r="IXG26" s="235"/>
      <c r="IXH26" s="235"/>
      <c r="IXI26" s="235"/>
      <c r="IXJ26" s="235"/>
      <c r="IXK26" s="235"/>
      <c r="IXL26" s="235"/>
      <c r="IXM26" s="235"/>
      <c r="IXN26" s="235"/>
      <c r="IXO26" s="235"/>
      <c r="IXP26" s="235"/>
      <c r="IXQ26" s="235"/>
      <c r="IXR26" s="235"/>
      <c r="IXS26" s="235"/>
      <c r="IXT26" s="235"/>
      <c r="IXU26" s="235"/>
      <c r="IXV26" s="235"/>
      <c r="IXW26" s="235"/>
      <c r="IXX26" s="235"/>
      <c r="IXY26" s="235"/>
      <c r="IXZ26" s="235"/>
      <c r="IYA26" s="235"/>
      <c r="IYB26" s="235"/>
      <c r="IYC26" s="235"/>
      <c r="IYD26" s="235"/>
      <c r="IYE26" s="235"/>
      <c r="IYF26" s="235"/>
      <c r="IYG26" s="235"/>
      <c r="IYH26" s="235"/>
      <c r="IYI26" s="235"/>
      <c r="IYJ26" s="235"/>
      <c r="IYK26" s="235"/>
      <c r="IYL26" s="235"/>
      <c r="IYM26" s="235"/>
      <c r="IYN26" s="235"/>
      <c r="IYO26" s="235"/>
      <c r="IYP26" s="235"/>
      <c r="IYQ26" s="235"/>
      <c r="IYR26" s="235"/>
      <c r="IYS26" s="235"/>
      <c r="IYT26" s="235"/>
      <c r="IYU26" s="235"/>
      <c r="IYV26" s="235"/>
      <c r="IYW26" s="235"/>
      <c r="IYX26" s="235"/>
      <c r="IYY26" s="235"/>
      <c r="IYZ26" s="235"/>
      <c r="IZA26" s="235"/>
      <c r="IZB26" s="235"/>
      <c r="IZC26" s="235"/>
      <c r="IZD26" s="235"/>
      <c r="IZE26" s="235"/>
      <c r="IZF26" s="235"/>
      <c r="IZG26" s="235"/>
      <c r="IZH26" s="235"/>
      <c r="IZI26" s="235"/>
      <c r="IZJ26" s="235"/>
      <c r="IZK26" s="235"/>
      <c r="IZL26" s="235"/>
      <c r="IZM26" s="235"/>
      <c r="IZN26" s="235"/>
      <c r="IZO26" s="235"/>
      <c r="IZP26" s="235"/>
      <c r="IZQ26" s="235"/>
      <c r="IZR26" s="235"/>
      <c r="IZS26" s="235"/>
      <c r="IZT26" s="235"/>
      <c r="IZU26" s="235"/>
      <c r="IZV26" s="235"/>
      <c r="IZW26" s="235"/>
      <c r="IZX26" s="235"/>
      <c r="IZY26" s="235"/>
      <c r="IZZ26" s="235"/>
      <c r="JAA26" s="235"/>
      <c r="JAB26" s="235"/>
      <c r="JAC26" s="235"/>
      <c r="JAD26" s="235"/>
      <c r="JAE26" s="235"/>
      <c r="JAF26" s="235"/>
      <c r="JAG26" s="235"/>
      <c r="JAH26" s="235"/>
      <c r="JAI26" s="235"/>
      <c r="JAJ26" s="235"/>
      <c r="JAK26" s="235"/>
      <c r="JAL26" s="235"/>
      <c r="JAM26" s="235"/>
      <c r="JAN26" s="235"/>
      <c r="JAO26" s="235"/>
      <c r="JAP26" s="235"/>
      <c r="JAQ26" s="235"/>
      <c r="JAR26" s="235"/>
      <c r="JAS26" s="235"/>
      <c r="JAT26" s="235"/>
      <c r="JAU26" s="235"/>
      <c r="JAV26" s="235"/>
      <c r="JAW26" s="235"/>
      <c r="JAX26" s="235"/>
      <c r="JAY26" s="235"/>
      <c r="JAZ26" s="235"/>
      <c r="JBA26" s="235"/>
      <c r="JBB26" s="235"/>
      <c r="JBC26" s="235"/>
      <c r="JBD26" s="235"/>
      <c r="JBE26" s="235"/>
      <c r="JBF26" s="235"/>
      <c r="JBG26" s="235"/>
      <c r="JBH26" s="235"/>
      <c r="JBI26" s="235"/>
      <c r="JBJ26" s="235"/>
      <c r="JBK26" s="235"/>
      <c r="JBL26" s="235"/>
      <c r="JBM26" s="235"/>
      <c r="JBN26" s="235"/>
      <c r="JBO26" s="235"/>
      <c r="JBP26" s="235"/>
      <c r="JBQ26" s="235"/>
      <c r="JBR26" s="235"/>
      <c r="JBS26" s="235"/>
      <c r="JBT26" s="235"/>
      <c r="JBU26" s="235"/>
      <c r="JBV26" s="235"/>
      <c r="JBW26" s="235"/>
      <c r="JBX26" s="235"/>
      <c r="JBY26" s="235"/>
      <c r="JBZ26" s="235"/>
      <c r="JCA26" s="235"/>
      <c r="JCB26" s="235"/>
      <c r="JCC26" s="235"/>
      <c r="JCD26" s="235"/>
      <c r="JCE26" s="235"/>
      <c r="JCF26" s="235"/>
      <c r="JCG26" s="235"/>
      <c r="JCH26" s="235"/>
      <c r="JCI26" s="235"/>
      <c r="JCJ26" s="235"/>
      <c r="JCK26" s="235"/>
      <c r="JCL26" s="235"/>
      <c r="JCM26" s="235"/>
      <c r="JCN26" s="235"/>
      <c r="JCO26" s="235"/>
      <c r="JCP26" s="235"/>
      <c r="JCQ26" s="235"/>
      <c r="JCR26" s="235"/>
      <c r="JCS26" s="235"/>
      <c r="JCT26" s="235"/>
      <c r="JCU26" s="235"/>
      <c r="JCV26" s="235"/>
      <c r="JCW26" s="235"/>
      <c r="JCX26" s="235"/>
      <c r="JCY26" s="235"/>
      <c r="JCZ26" s="235"/>
      <c r="JDA26" s="235"/>
      <c r="JDB26" s="235"/>
      <c r="JDC26" s="235"/>
      <c r="JDD26" s="235"/>
      <c r="JDE26" s="235"/>
      <c r="JDF26" s="235"/>
      <c r="JDG26" s="235"/>
      <c r="JDH26" s="235"/>
      <c r="JDI26" s="235"/>
      <c r="JDJ26" s="235"/>
      <c r="JDK26" s="235"/>
      <c r="JDL26" s="235"/>
      <c r="JDM26" s="235"/>
      <c r="JDN26" s="235"/>
      <c r="JDO26" s="235"/>
      <c r="JDP26" s="235"/>
      <c r="JDQ26" s="235"/>
      <c r="JDR26" s="235"/>
      <c r="JDS26" s="235"/>
      <c r="JDT26" s="235"/>
      <c r="JDU26" s="235"/>
      <c r="JDV26" s="235"/>
      <c r="JDW26" s="235"/>
      <c r="JDX26" s="235"/>
      <c r="JDY26" s="235"/>
      <c r="JDZ26" s="235"/>
      <c r="JEA26" s="235"/>
      <c r="JEB26" s="235"/>
      <c r="JEC26" s="235"/>
      <c r="JED26" s="235"/>
      <c r="JEE26" s="235"/>
      <c r="JEF26" s="235"/>
      <c r="JEG26" s="235"/>
      <c r="JEH26" s="235"/>
      <c r="JEI26" s="235"/>
      <c r="JEJ26" s="235"/>
      <c r="JEK26" s="235"/>
      <c r="JEL26" s="235"/>
      <c r="JEM26" s="235"/>
      <c r="JEN26" s="235"/>
      <c r="JEO26" s="235"/>
      <c r="JEP26" s="235"/>
      <c r="JEQ26" s="235"/>
      <c r="JER26" s="235"/>
      <c r="JES26" s="235"/>
      <c r="JET26" s="235"/>
      <c r="JEU26" s="235"/>
      <c r="JEV26" s="235"/>
      <c r="JEW26" s="235"/>
      <c r="JEX26" s="235"/>
      <c r="JEY26" s="235"/>
      <c r="JEZ26" s="235"/>
      <c r="JFA26" s="235"/>
      <c r="JFB26" s="235"/>
      <c r="JFC26" s="235"/>
      <c r="JFD26" s="235"/>
      <c r="JFE26" s="235"/>
      <c r="JFF26" s="235"/>
      <c r="JFG26" s="235"/>
      <c r="JFH26" s="235"/>
      <c r="JFI26" s="235"/>
      <c r="JFJ26" s="235"/>
      <c r="JFK26" s="235"/>
      <c r="JFL26" s="235"/>
      <c r="JFM26" s="235"/>
      <c r="JFN26" s="235"/>
      <c r="JFO26" s="235"/>
      <c r="JFP26" s="235"/>
      <c r="JFQ26" s="235"/>
      <c r="JFR26" s="235"/>
      <c r="JFS26" s="235"/>
      <c r="JFT26" s="235"/>
      <c r="JFU26" s="235"/>
      <c r="JFV26" s="235"/>
      <c r="JFW26" s="235"/>
      <c r="JFX26" s="235"/>
      <c r="JFY26" s="235"/>
      <c r="JFZ26" s="235"/>
      <c r="JGA26" s="235"/>
      <c r="JGB26" s="235"/>
      <c r="JGC26" s="235"/>
      <c r="JGD26" s="235"/>
      <c r="JGE26" s="235"/>
      <c r="JGF26" s="235"/>
      <c r="JGG26" s="235"/>
      <c r="JGH26" s="235"/>
      <c r="JGI26" s="235"/>
      <c r="JGJ26" s="235"/>
      <c r="JGK26" s="235"/>
      <c r="JGL26" s="235"/>
      <c r="JGM26" s="235"/>
      <c r="JGN26" s="235"/>
      <c r="JGO26" s="235"/>
      <c r="JGP26" s="235"/>
      <c r="JGQ26" s="235"/>
      <c r="JGR26" s="235"/>
      <c r="JGS26" s="235"/>
      <c r="JGT26" s="235"/>
      <c r="JGU26" s="235"/>
      <c r="JGV26" s="235"/>
      <c r="JGW26" s="235"/>
      <c r="JGX26" s="235"/>
      <c r="JGY26" s="235"/>
      <c r="JGZ26" s="235"/>
      <c r="JHA26" s="235"/>
      <c r="JHB26" s="235"/>
      <c r="JHC26" s="235"/>
      <c r="JHD26" s="235"/>
      <c r="JHE26" s="235"/>
      <c r="JHF26" s="235"/>
      <c r="JHG26" s="235"/>
      <c r="JHH26" s="235"/>
      <c r="JHI26" s="235"/>
      <c r="JHJ26" s="235"/>
      <c r="JHK26" s="235"/>
      <c r="JHL26" s="235"/>
      <c r="JHM26" s="235"/>
      <c r="JHN26" s="235"/>
      <c r="JHO26" s="235"/>
      <c r="JHP26" s="235"/>
      <c r="JHQ26" s="235"/>
      <c r="JHR26" s="235"/>
      <c r="JHS26" s="235"/>
      <c r="JHT26" s="235"/>
      <c r="JHU26" s="235"/>
      <c r="JHV26" s="235"/>
      <c r="JHW26" s="235"/>
      <c r="JHX26" s="235"/>
      <c r="JHY26" s="235"/>
      <c r="JHZ26" s="235"/>
      <c r="JIA26" s="235"/>
      <c r="JIB26" s="235"/>
      <c r="JIC26" s="235"/>
      <c r="JID26" s="235"/>
      <c r="JIE26" s="235"/>
      <c r="JIF26" s="235"/>
      <c r="JIG26" s="235"/>
      <c r="JIH26" s="235"/>
      <c r="JII26" s="235"/>
      <c r="JIJ26" s="235"/>
      <c r="JIK26" s="235"/>
      <c r="JIL26" s="235"/>
      <c r="JIM26" s="235"/>
      <c r="JIN26" s="235"/>
      <c r="JIO26" s="235"/>
      <c r="JIP26" s="235"/>
      <c r="JIQ26" s="235"/>
      <c r="JIR26" s="235"/>
      <c r="JIS26" s="235"/>
      <c r="JIT26" s="235"/>
      <c r="JIU26" s="235"/>
      <c r="JIV26" s="235"/>
      <c r="JIW26" s="235"/>
      <c r="JIX26" s="235"/>
      <c r="JIY26" s="235"/>
      <c r="JIZ26" s="235"/>
      <c r="JJA26" s="235"/>
      <c r="JJB26" s="235"/>
      <c r="JJC26" s="235"/>
      <c r="JJD26" s="235"/>
      <c r="JJE26" s="235"/>
      <c r="JJF26" s="235"/>
      <c r="JJG26" s="235"/>
      <c r="JJH26" s="235"/>
      <c r="JJI26" s="235"/>
      <c r="JJJ26" s="235"/>
      <c r="JJK26" s="235"/>
      <c r="JJL26" s="235"/>
      <c r="JJM26" s="235"/>
      <c r="JJN26" s="235"/>
      <c r="JJO26" s="235"/>
      <c r="JJP26" s="235"/>
      <c r="JJQ26" s="235"/>
      <c r="JJR26" s="235"/>
      <c r="JJS26" s="235"/>
      <c r="JJT26" s="235"/>
      <c r="JJU26" s="235"/>
      <c r="JJV26" s="235"/>
      <c r="JJW26" s="235"/>
      <c r="JJX26" s="235"/>
      <c r="JJY26" s="235"/>
      <c r="JJZ26" s="235"/>
      <c r="JKA26" s="235"/>
      <c r="JKB26" s="235"/>
      <c r="JKC26" s="235"/>
      <c r="JKD26" s="235"/>
      <c r="JKE26" s="235"/>
      <c r="JKF26" s="235"/>
      <c r="JKG26" s="235"/>
      <c r="JKH26" s="235"/>
      <c r="JKI26" s="235"/>
      <c r="JKJ26" s="235"/>
      <c r="JKK26" s="235"/>
      <c r="JKL26" s="235"/>
      <c r="JKM26" s="235"/>
      <c r="JKN26" s="235"/>
      <c r="JKO26" s="235"/>
      <c r="JKP26" s="235"/>
      <c r="JKQ26" s="235"/>
      <c r="JKR26" s="235"/>
      <c r="JKS26" s="235"/>
      <c r="JKT26" s="235"/>
      <c r="JKU26" s="235"/>
      <c r="JKV26" s="235"/>
      <c r="JKW26" s="235"/>
      <c r="JKX26" s="235"/>
      <c r="JKY26" s="235"/>
      <c r="JKZ26" s="235"/>
      <c r="JLA26" s="235"/>
      <c r="JLB26" s="235"/>
      <c r="JLC26" s="235"/>
      <c r="JLD26" s="235"/>
      <c r="JLE26" s="235"/>
      <c r="JLF26" s="235"/>
      <c r="JLG26" s="235"/>
      <c r="JLH26" s="235"/>
      <c r="JLI26" s="235"/>
      <c r="JLJ26" s="235"/>
      <c r="JLK26" s="235"/>
      <c r="JLL26" s="235"/>
      <c r="JLM26" s="235"/>
      <c r="JLN26" s="235"/>
      <c r="JLO26" s="235"/>
      <c r="JLP26" s="235"/>
      <c r="JLQ26" s="235"/>
      <c r="JLR26" s="235"/>
      <c r="JLS26" s="235"/>
      <c r="JLT26" s="235"/>
      <c r="JLU26" s="235"/>
      <c r="JLV26" s="235"/>
      <c r="JLW26" s="235"/>
      <c r="JLX26" s="235"/>
      <c r="JLY26" s="235"/>
      <c r="JLZ26" s="235"/>
      <c r="JMA26" s="235"/>
      <c r="JMB26" s="235"/>
      <c r="JMC26" s="235"/>
      <c r="JMD26" s="235"/>
      <c r="JME26" s="235"/>
      <c r="JMF26" s="235"/>
      <c r="JMG26" s="235"/>
      <c r="JMH26" s="235"/>
      <c r="JMI26" s="235"/>
      <c r="JMJ26" s="235"/>
      <c r="JMK26" s="235"/>
      <c r="JML26" s="235"/>
      <c r="JMM26" s="235"/>
      <c r="JMN26" s="235"/>
      <c r="JMO26" s="235"/>
      <c r="JMP26" s="235"/>
      <c r="JMQ26" s="235"/>
      <c r="JMR26" s="235"/>
      <c r="JMS26" s="235"/>
      <c r="JMT26" s="235"/>
      <c r="JMU26" s="235"/>
      <c r="JMV26" s="235"/>
      <c r="JMW26" s="235"/>
      <c r="JMX26" s="235"/>
      <c r="JMY26" s="235"/>
      <c r="JMZ26" s="235"/>
      <c r="JNA26" s="235"/>
      <c r="JNB26" s="235"/>
      <c r="JNC26" s="235"/>
      <c r="JND26" s="235"/>
      <c r="JNE26" s="235"/>
      <c r="JNF26" s="235"/>
      <c r="JNG26" s="235"/>
      <c r="JNH26" s="235"/>
      <c r="JNI26" s="235"/>
      <c r="JNJ26" s="235"/>
      <c r="JNK26" s="235"/>
      <c r="JNL26" s="235"/>
      <c r="JNM26" s="235"/>
      <c r="JNN26" s="235"/>
      <c r="JNO26" s="235"/>
      <c r="JNP26" s="235"/>
      <c r="JNQ26" s="235"/>
      <c r="JNR26" s="235"/>
      <c r="JNS26" s="235"/>
      <c r="JNT26" s="235"/>
      <c r="JNU26" s="235"/>
      <c r="JNV26" s="235"/>
      <c r="JNW26" s="235"/>
      <c r="JNX26" s="235"/>
      <c r="JNY26" s="235"/>
      <c r="JNZ26" s="235"/>
      <c r="JOA26" s="235"/>
      <c r="JOB26" s="235"/>
      <c r="JOC26" s="235"/>
      <c r="JOD26" s="235"/>
      <c r="JOE26" s="235"/>
      <c r="JOF26" s="235"/>
      <c r="JOG26" s="235"/>
      <c r="JOH26" s="235"/>
      <c r="JOI26" s="235"/>
      <c r="JOJ26" s="235"/>
      <c r="JOK26" s="235"/>
      <c r="JOL26" s="235"/>
      <c r="JOM26" s="235"/>
      <c r="JON26" s="235"/>
      <c r="JOO26" s="235"/>
      <c r="JOP26" s="235"/>
      <c r="JOQ26" s="235"/>
      <c r="JOR26" s="235"/>
      <c r="JOS26" s="235"/>
      <c r="JOT26" s="235"/>
      <c r="JOU26" s="235"/>
      <c r="JOV26" s="235"/>
      <c r="JOW26" s="235"/>
      <c r="JOX26" s="235"/>
      <c r="JOY26" s="235"/>
      <c r="JOZ26" s="235"/>
      <c r="JPA26" s="235"/>
      <c r="JPB26" s="235"/>
      <c r="JPC26" s="235"/>
      <c r="JPD26" s="235"/>
      <c r="JPE26" s="235"/>
      <c r="JPF26" s="235"/>
      <c r="JPG26" s="235"/>
      <c r="JPH26" s="235"/>
      <c r="JPI26" s="235"/>
      <c r="JPJ26" s="235"/>
      <c r="JPK26" s="235"/>
      <c r="JPL26" s="235"/>
      <c r="JPM26" s="235"/>
      <c r="JPN26" s="235"/>
      <c r="JPO26" s="235"/>
      <c r="JPP26" s="235"/>
      <c r="JPQ26" s="235"/>
      <c r="JPR26" s="235"/>
      <c r="JPS26" s="235"/>
      <c r="JPT26" s="235"/>
      <c r="JPU26" s="235"/>
      <c r="JPV26" s="235"/>
      <c r="JPW26" s="235"/>
      <c r="JPX26" s="235"/>
      <c r="JPY26" s="235"/>
      <c r="JPZ26" s="235"/>
      <c r="JQA26" s="235"/>
      <c r="JQB26" s="235"/>
      <c r="JQC26" s="235"/>
      <c r="JQD26" s="235"/>
      <c r="JQE26" s="235"/>
      <c r="JQF26" s="235"/>
      <c r="JQG26" s="235"/>
      <c r="JQH26" s="235"/>
      <c r="JQI26" s="235"/>
      <c r="JQJ26" s="235"/>
      <c r="JQK26" s="235"/>
      <c r="JQL26" s="235"/>
      <c r="JQM26" s="235"/>
      <c r="JQN26" s="235"/>
      <c r="JQO26" s="235"/>
      <c r="JQP26" s="235"/>
      <c r="JQQ26" s="235"/>
      <c r="JQR26" s="235"/>
      <c r="JQS26" s="235"/>
      <c r="JQT26" s="235"/>
      <c r="JQU26" s="235"/>
      <c r="JQV26" s="235"/>
      <c r="JQW26" s="235"/>
      <c r="JQX26" s="235"/>
      <c r="JQY26" s="235"/>
      <c r="JQZ26" s="235"/>
      <c r="JRA26" s="235"/>
      <c r="JRB26" s="235"/>
      <c r="JRC26" s="235"/>
      <c r="JRD26" s="235"/>
      <c r="JRE26" s="235"/>
      <c r="JRF26" s="235"/>
      <c r="JRG26" s="235"/>
      <c r="JRH26" s="235"/>
      <c r="JRI26" s="235"/>
      <c r="JRJ26" s="235"/>
      <c r="JRK26" s="235"/>
      <c r="JRL26" s="235"/>
      <c r="JRM26" s="235"/>
      <c r="JRN26" s="235"/>
      <c r="JRO26" s="235"/>
      <c r="JRP26" s="235"/>
      <c r="JRQ26" s="235"/>
      <c r="JRR26" s="235"/>
      <c r="JRS26" s="235"/>
      <c r="JRT26" s="235"/>
      <c r="JRU26" s="235"/>
      <c r="JRV26" s="235"/>
      <c r="JRW26" s="235"/>
      <c r="JRX26" s="235"/>
      <c r="JRY26" s="235"/>
      <c r="JRZ26" s="235"/>
      <c r="JSA26" s="235"/>
      <c r="JSB26" s="235"/>
      <c r="JSC26" s="235"/>
      <c r="JSD26" s="235"/>
      <c r="JSE26" s="235"/>
      <c r="JSF26" s="235"/>
      <c r="JSG26" s="235"/>
      <c r="JSH26" s="235"/>
      <c r="JSI26" s="235"/>
      <c r="JSJ26" s="235"/>
      <c r="JSK26" s="235"/>
      <c r="JSL26" s="235"/>
      <c r="JSM26" s="235"/>
      <c r="JSN26" s="235"/>
      <c r="JSO26" s="235"/>
      <c r="JSP26" s="235"/>
      <c r="JSQ26" s="235"/>
      <c r="JSR26" s="235"/>
      <c r="JSS26" s="235"/>
      <c r="JST26" s="235"/>
      <c r="JSU26" s="235"/>
      <c r="JSV26" s="235"/>
      <c r="JSW26" s="235"/>
      <c r="JSX26" s="235"/>
      <c r="JSY26" s="235"/>
      <c r="JSZ26" s="235"/>
      <c r="JTA26" s="235"/>
      <c r="JTB26" s="235"/>
      <c r="JTC26" s="235"/>
      <c r="JTD26" s="235"/>
      <c r="JTE26" s="235"/>
      <c r="JTF26" s="235"/>
      <c r="JTG26" s="235"/>
      <c r="JTH26" s="235"/>
      <c r="JTI26" s="235"/>
      <c r="JTJ26" s="235"/>
      <c r="JTK26" s="235"/>
      <c r="JTL26" s="235"/>
      <c r="JTM26" s="235"/>
      <c r="JTN26" s="235"/>
      <c r="JTO26" s="235"/>
      <c r="JTP26" s="235"/>
      <c r="JTQ26" s="235"/>
      <c r="JTR26" s="235"/>
      <c r="JTS26" s="235"/>
      <c r="JTT26" s="235"/>
      <c r="JTU26" s="235"/>
      <c r="JTV26" s="235"/>
      <c r="JTW26" s="235"/>
      <c r="JTX26" s="235"/>
      <c r="JTY26" s="235"/>
      <c r="JTZ26" s="235"/>
      <c r="JUA26" s="235"/>
      <c r="JUB26" s="235"/>
      <c r="JUC26" s="235"/>
      <c r="JUD26" s="235"/>
      <c r="JUE26" s="235"/>
      <c r="JUF26" s="235"/>
      <c r="JUG26" s="235"/>
      <c r="JUH26" s="235"/>
      <c r="JUI26" s="235"/>
      <c r="JUJ26" s="235"/>
      <c r="JUK26" s="235"/>
      <c r="JUL26" s="235"/>
      <c r="JUM26" s="235"/>
      <c r="JUN26" s="235"/>
      <c r="JUO26" s="235"/>
      <c r="JUP26" s="235"/>
      <c r="JUQ26" s="235"/>
      <c r="JUR26" s="235"/>
      <c r="JUS26" s="235"/>
      <c r="JUT26" s="235"/>
      <c r="JUU26" s="235"/>
      <c r="JUV26" s="235"/>
      <c r="JUW26" s="235"/>
      <c r="JUX26" s="235"/>
      <c r="JUY26" s="235"/>
      <c r="JUZ26" s="235"/>
      <c r="JVA26" s="235"/>
      <c r="JVB26" s="235"/>
      <c r="JVC26" s="235"/>
      <c r="JVD26" s="235"/>
      <c r="JVE26" s="235"/>
      <c r="JVF26" s="235"/>
      <c r="JVG26" s="235"/>
      <c r="JVH26" s="235"/>
      <c r="JVI26" s="235"/>
      <c r="JVJ26" s="235"/>
      <c r="JVK26" s="235"/>
      <c r="JVL26" s="235"/>
      <c r="JVM26" s="235"/>
      <c r="JVN26" s="235"/>
      <c r="JVO26" s="235"/>
      <c r="JVP26" s="235"/>
      <c r="JVQ26" s="235"/>
      <c r="JVR26" s="235"/>
      <c r="JVS26" s="235"/>
      <c r="JVT26" s="235"/>
      <c r="JVU26" s="235"/>
      <c r="JVV26" s="235"/>
      <c r="JVW26" s="235"/>
      <c r="JVX26" s="235"/>
      <c r="JVY26" s="235"/>
      <c r="JVZ26" s="235"/>
      <c r="JWA26" s="235"/>
      <c r="JWB26" s="235"/>
      <c r="JWC26" s="235"/>
      <c r="JWD26" s="235"/>
      <c r="JWE26" s="235"/>
      <c r="JWF26" s="235"/>
      <c r="JWG26" s="235"/>
      <c r="JWH26" s="235"/>
      <c r="JWI26" s="235"/>
      <c r="JWJ26" s="235"/>
      <c r="JWK26" s="235"/>
      <c r="JWL26" s="235"/>
      <c r="JWM26" s="235"/>
      <c r="JWN26" s="235"/>
      <c r="JWO26" s="235"/>
      <c r="JWP26" s="235"/>
      <c r="JWQ26" s="235"/>
      <c r="JWR26" s="235"/>
      <c r="JWS26" s="235"/>
      <c r="JWT26" s="235"/>
      <c r="JWU26" s="235"/>
      <c r="JWV26" s="235"/>
      <c r="JWW26" s="235"/>
      <c r="JWX26" s="235"/>
      <c r="JWY26" s="235"/>
      <c r="JWZ26" s="235"/>
      <c r="JXA26" s="235"/>
      <c r="JXB26" s="235"/>
      <c r="JXC26" s="235"/>
      <c r="JXD26" s="235"/>
      <c r="JXE26" s="235"/>
      <c r="JXF26" s="235"/>
      <c r="JXG26" s="235"/>
      <c r="JXH26" s="235"/>
      <c r="JXI26" s="235"/>
      <c r="JXJ26" s="235"/>
      <c r="JXK26" s="235"/>
      <c r="JXL26" s="235"/>
      <c r="JXM26" s="235"/>
      <c r="JXN26" s="235"/>
      <c r="JXO26" s="235"/>
      <c r="JXP26" s="235"/>
      <c r="JXQ26" s="235"/>
      <c r="JXR26" s="235"/>
      <c r="JXS26" s="235"/>
      <c r="JXT26" s="235"/>
      <c r="JXU26" s="235"/>
      <c r="JXV26" s="235"/>
      <c r="JXW26" s="235"/>
      <c r="JXX26" s="235"/>
      <c r="JXY26" s="235"/>
      <c r="JXZ26" s="235"/>
      <c r="JYA26" s="235"/>
      <c r="JYB26" s="235"/>
      <c r="JYC26" s="235"/>
      <c r="JYD26" s="235"/>
      <c r="JYE26" s="235"/>
      <c r="JYF26" s="235"/>
      <c r="JYG26" s="235"/>
      <c r="JYH26" s="235"/>
      <c r="JYI26" s="235"/>
      <c r="JYJ26" s="235"/>
      <c r="JYK26" s="235"/>
      <c r="JYL26" s="235"/>
      <c r="JYM26" s="235"/>
      <c r="JYN26" s="235"/>
      <c r="JYO26" s="235"/>
      <c r="JYP26" s="235"/>
      <c r="JYQ26" s="235"/>
      <c r="JYR26" s="235"/>
      <c r="JYS26" s="235"/>
      <c r="JYT26" s="235"/>
      <c r="JYU26" s="235"/>
      <c r="JYV26" s="235"/>
      <c r="JYW26" s="235"/>
      <c r="JYX26" s="235"/>
      <c r="JYY26" s="235"/>
      <c r="JYZ26" s="235"/>
      <c r="JZA26" s="235"/>
      <c r="JZB26" s="235"/>
      <c r="JZC26" s="235"/>
      <c r="JZD26" s="235"/>
      <c r="JZE26" s="235"/>
      <c r="JZF26" s="235"/>
      <c r="JZG26" s="235"/>
      <c r="JZH26" s="235"/>
      <c r="JZI26" s="235"/>
      <c r="JZJ26" s="235"/>
      <c r="JZK26" s="235"/>
      <c r="JZL26" s="235"/>
      <c r="JZM26" s="235"/>
      <c r="JZN26" s="235"/>
      <c r="JZO26" s="235"/>
      <c r="JZP26" s="235"/>
      <c r="JZQ26" s="235"/>
      <c r="JZR26" s="235"/>
      <c r="JZS26" s="235"/>
      <c r="JZT26" s="235"/>
      <c r="JZU26" s="235"/>
      <c r="JZV26" s="235"/>
      <c r="JZW26" s="235"/>
      <c r="JZX26" s="235"/>
      <c r="JZY26" s="235"/>
      <c r="JZZ26" s="235"/>
      <c r="KAA26" s="235"/>
      <c r="KAB26" s="235"/>
      <c r="KAC26" s="235"/>
      <c r="KAD26" s="235"/>
      <c r="KAE26" s="235"/>
      <c r="KAF26" s="235"/>
      <c r="KAG26" s="235"/>
      <c r="KAH26" s="235"/>
      <c r="KAI26" s="235"/>
      <c r="KAJ26" s="235"/>
      <c r="KAK26" s="235"/>
      <c r="KAL26" s="235"/>
      <c r="KAM26" s="235"/>
      <c r="KAN26" s="235"/>
      <c r="KAO26" s="235"/>
      <c r="KAP26" s="235"/>
      <c r="KAQ26" s="235"/>
      <c r="KAR26" s="235"/>
      <c r="KAS26" s="235"/>
      <c r="KAT26" s="235"/>
      <c r="KAU26" s="235"/>
      <c r="KAV26" s="235"/>
      <c r="KAW26" s="235"/>
      <c r="KAX26" s="235"/>
      <c r="KAY26" s="235"/>
      <c r="KAZ26" s="235"/>
      <c r="KBA26" s="235"/>
      <c r="KBB26" s="235"/>
      <c r="KBC26" s="235"/>
      <c r="KBD26" s="235"/>
      <c r="KBE26" s="235"/>
      <c r="KBF26" s="235"/>
      <c r="KBG26" s="235"/>
      <c r="KBH26" s="235"/>
      <c r="KBI26" s="235"/>
      <c r="KBJ26" s="235"/>
      <c r="KBK26" s="235"/>
      <c r="KBL26" s="235"/>
      <c r="KBM26" s="235"/>
      <c r="KBN26" s="235"/>
      <c r="KBO26" s="235"/>
      <c r="KBP26" s="235"/>
      <c r="KBQ26" s="235"/>
      <c r="KBR26" s="235"/>
      <c r="KBS26" s="235"/>
      <c r="KBT26" s="235"/>
      <c r="KBU26" s="235"/>
      <c r="KBV26" s="235"/>
      <c r="KBW26" s="235"/>
      <c r="KBX26" s="235"/>
      <c r="KBY26" s="235"/>
      <c r="KBZ26" s="235"/>
      <c r="KCA26" s="235"/>
      <c r="KCB26" s="235"/>
      <c r="KCC26" s="235"/>
      <c r="KCD26" s="235"/>
      <c r="KCE26" s="235"/>
      <c r="KCF26" s="235"/>
      <c r="KCG26" s="235"/>
      <c r="KCH26" s="235"/>
      <c r="KCI26" s="235"/>
      <c r="KCJ26" s="235"/>
      <c r="KCK26" s="235"/>
      <c r="KCL26" s="235"/>
      <c r="KCM26" s="235"/>
      <c r="KCN26" s="235"/>
      <c r="KCO26" s="235"/>
      <c r="KCP26" s="235"/>
      <c r="KCQ26" s="235"/>
      <c r="KCR26" s="235"/>
      <c r="KCS26" s="235"/>
      <c r="KCT26" s="235"/>
      <c r="KCU26" s="235"/>
      <c r="KCV26" s="235"/>
      <c r="KCW26" s="235"/>
      <c r="KCX26" s="235"/>
      <c r="KCY26" s="235"/>
      <c r="KCZ26" s="235"/>
      <c r="KDA26" s="235"/>
      <c r="KDB26" s="235"/>
      <c r="KDC26" s="235"/>
      <c r="KDD26" s="235"/>
      <c r="KDE26" s="235"/>
      <c r="KDF26" s="235"/>
      <c r="KDG26" s="235"/>
      <c r="KDH26" s="235"/>
      <c r="KDI26" s="235"/>
      <c r="KDJ26" s="235"/>
      <c r="KDK26" s="235"/>
      <c r="KDL26" s="235"/>
      <c r="KDM26" s="235"/>
      <c r="KDN26" s="235"/>
      <c r="KDO26" s="235"/>
      <c r="KDP26" s="235"/>
      <c r="KDQ26" s="235"/>
      <c r="KDR26" s="235"/>
      <c r="KDS26" s="235"/>
      <c r="KDT26" s="235"/>
      <c r="KDU26" s="235"/>
      <c r="KDV26" s="235"/>
      <c r="KDW26" s="235"/>
      <c r="KDX26" s="235"/>
      <c r="KDY26" s="235"/>
      <c r="KDZ26" s="235"/>
      <c r="KEA26" s="235"/>
      <c r="KEB26" s="235"/>
      <c r="KEC26" s="235"/>
      <c r="KED26" s="235"/>
      <c r="KEE26" s="235"/>
      <c r="KEF26" s="235"/>
      <c r="KEG26" s="235"/>
      <c r="KEH26" s="235"/>
      <c r="KEI26" s="235"/>
      <c r="KEJ26" s="235"/>
      <c r="KEK26" s="235"/>
      <c r="KEL26" s="235"/>
      <c r="KEM26" s="235"/>
      <c r="KEN26" s="235"/>
      <c r="KEO26" s="235"/>
      <c r="KEP26" s="235"/>
      <c r="KEQ26" s="235"/>
      <c r="KER26" s="235"/>
      <c r="KES26" s="235"/>
      <c r="KET26" s="235"/>
      <c r="KEU26" s="235"/>
      <c r="KEV26" s="235"/>
      <c r="KEW26" s="235"/>
      <c r="KEX26" s="235"/>
      <c r="KEY26" s="235"/>
      <c r="KEZ26" s="235"/>
      <c r="KFA26" s="235"/>
      <c r="KFB26" s="235"/>
      <c r="KFC26" s="235"/>
      <c r="KFD26" s="235"/>
      <c r="KFE26" s="235"/>
      <c r="KFF26" s="235"/>
      <c r="KFG26" s="235"/>
      <c r="KFH26" s="235"/>
      <c r="KFI26" s="235"/>
      <c r="KFJ26" s="235"/>
      <c r="KFK26" s="235"/>
      <c r="KFL26" s="235"/>
      <c r="KFM26" s="235"/>
      <c r="KFN26" s="235"/>
      <c r="KFO26" s="235"/>
      <c r="KFP26" s="235"/>
      <c r="KFQ26" s="235"/>
      <c r="KFR26" s="235"/>
      <c r="KFS26" s="235"/>
      <c r="KFT26" s="235"/>
      <c r="KFU26" s="235"/>
      <c r="KFV26" s="235"/>
      <c r="KFW26" s="235"/>
      <c r="KFX26" s="235"/>
      <c r="KFY26" s="235"/>
      <c r="KFZ26" s="235"/>
      <c r="KGA26" s="235"/>
      <c r="KGB26" s="235"/>
      <c r="KGC26" s="235"/>
      <c r="KGD26" s="235"/>
      <c r="KGE26" s="235"/>
      <c r="KGF26" s="235"/>
      <c r="KGG26" s="235"/>
      <c r="KGH26" s="235"/>
      <c r="KGI26" s="235"/>
      <c r="KGJ26" s="235"/>
      <c r="KGK26" s="235"/>
      <c r="KGL26" s="235"/>
      <c r="KGM26" s="235"/>
      <c r="KGN26" s="235"/>
      <c r="KGO26" s="235"/>
      <c r="KGP26" s="235"/>
      <c r="KGQ26" s="235"/>
      <c r="KGR26" s="235"/>
      <c r="KGS26" s="235"/>
      <c r="KGT26" s="235"/>
      <c r="KGU26" s="235"/>
      <c r="KGV26" s="235"/>
      <c r="KGW26" s="235"/>
      <c r="KGX26" s="235"/>
      <c r="KGY26" s="235"/>
      <c r="KGZ26" s="235"/>
      <c r="KHA26" s="235"/>
      <c r="KHB26" s="235"/>
      <c r="KHC26" s="235"/>
      <c r="KHD26" s="235"/>
      <c r="KHE26" s="235"/>
      <c r="KHF26" s="235"/>
      <c r="KHG26" s="235"/>
      <c r="KHH26" s="235"/>
      <c r="KHI26" s="235"/>
      <c r="KHJ26" s="235"/>
      <c r="KHK26" s="235"/>
      <c r="KHL26" s="235"/>
      <c r="KHM26" s="235"/>
      <c r="KHN26" s="235"/>
      <c r="KHO26" s="235"/>
      <c r="KHP26" s="235"/>
      <c r="KHQ26" s="235"/>
      <c r="KHR26" s="235"/>
      <c r="KHS26" s="235"/>
      <c r="KHT26" s="235"/>
      <c r="KHU26" s="235"/>
      <c r="KHV26" s="235"/>
      <c r="KHW26" s="235"/>
      <c r="KHX26" s="235"/>
      <c r="KHY26" s="235"/>
      <c r="KHZ26" s="235"/>
      <c r="KIA26" s="235"/>
      <c r="KIB26" s="235"/>
      <c r="KIC26" s="235"/>
      <c r="KID26" s="235"/>
      <c r="KIE26" s="235"/>
      <c r="KIF26" s="235"/>
      <c r="KIG26" s="235"/>
      <c r="KIH26" s="235"/>
      <c r="KII26" s="235"/>
      <c r="KIJ26" s="235"/>
      <c r="KIK26" s="235"/>
      <c r="KIL26" s="235"/>
      <c r="KIM26" s="235"/>
      <c r="KIN26" s="235"/>
      <c r="KIO26" s="235"/>
      <c r="KIP26" s="235"/>
      <c r="KIQ26" s="235"/>
      <c r="KIR26" s="235"/>
      <c r="KIS26" s="235"/>
      <c r="KIT26" s="235"/>
      <c r="KIU26" s="235"/>
      <c r="KIV26" s="235"/>
      <c r="KIW26" s="235"/>
      <c r="KIX26" s="235"/>
      <c r="KIY26" s="235"/>
      <c r="KIZ26" s="235"/>
      <c r="KJA26" s="235"/>
      <c r="KJB26" s="235"/>
      <c r="KJC26" s="235"/>
      <c r="KJD26" s="235"/>
      <c r="KJE26" s="235"/>
      <c r="KJF26" s="235"/>
      <c r="KJG26" s="235"/>
      <c r="KJH26" s="235"/>
      <c r="KJI26" s="235"/>
      <c r="KJJ26" s="235"/>
      <c r="KJK26" s="235"/>
      <c r="KJL26" s="235"/>
      <c r="KJM26" s="235"/>
      <c r="KJN26" s="235"/>
      <c r="KJO26" s="235"/>
      <c r="KJP26" s="235"/>
      <c r="KJQ26" s="235"/>
      <c r="KJR26" s="235"/>
      <c r="KJS26" s="235"/>
      <c r="KJT26" s="235"/>
      <c r="KJU26" s="235"/>
      <c r="KJV26" s="235"/>
      <c r="KJW26" s="235"/>
      <c r="KJX26" s="235"/>
      <c r="KJY26" s="235"/>
      <c r="KJZ26" s="235"/>
      <c r="KKA26" s="235"/>
      <c r="KKB26" s="235"/>
      <c r="KKC26" s="235"/>
      <c r="KKD26" s="235"/>
      <c r="KKE26" s="235"/>
      <c r="KKF26" s="235"/>
      <c r="KKG26" s="235"/>
      <c r="KKH26" s="235"/>
      <c r="KKI26" s="235"/>
      <c r="KKJ26" s="235"/>
      <c r="KKK26" s="235"/>
      <c r="KKL26" s="235"/>
      <c r="KKM26" s="235"/>
      <c r="KKN26" s="235"/>
      <c r="KKO26" s="235"/>
      <c r="KKP26" s="235"/>
      <c r="KKQ26" s="235"/>
      <c r="KKR26" s="235"/>
      <c r="KKS26" s="235"/>
      <c r="KKT26" s="235"/>
      <c r="KKU26" s="235"/>
      <c r="KKV26" s="235"/>
      <c r="KKW26" s="235"/>
      <c r="KKX26" s="235"/>
      <c r="KKY26" s="235"/>
      <c r="KKZ26" s="235"/>
      <c r="KLA26" s="235"/>
      <c r="KLB26" s="235"/>
      <c r="KLC26" s="235"/>
      <c r="KLD26" s="235"/>
      <c r="KLE26" s="235"/>
      <c r="KLF26" s="235"/>
      <c r="KLG26" s="235"/>
      <c r="KLH26" s="235"/>
      <c r="KLI26" s="235"/>
      <c r="KLJ26" s="235"/>
      <c r="KLK26" s="235"/>
      <c r="KLL26" s="235"/>
      <c r="KLM26" s="235"/>
      <c r="KLN26" s="235"/>
      <c r="KLO26" s="235"/>
      <c r="KLP26" s="235"/>
      <c r="KLQ26" s="235"/>
      <c r="KLR26" s="235"/>
      <c r="KLS26" s="235"/>
      <c r="KLT26" s="235"/>
      <c r="KLU26" s="235"/>
      <c r="KLV26" s="235"/>
      <c r="KLW26" s="235"/>
      <c r="KLX26" s="235"/>
      <c r="KLY26" s="235"/>
      <c r="KLZ26" s="235"/>
      <c r="KMA26" s="235"/>
      <c r="KMB26" s="235"/>
      <c r="KMC26" s="235"/>
      <c r="KMD26" s="235"/>
      <c r="KME26" s="235"/>
      <c r="KMF26" s="235"/>
      <c r="KMG26" s="235"/>
      <c r="KMH26" s="235"/>
      <c r="KMI26" s="235"/>
      <c r="KMJ26" s="235"/>
      <c r="KMK26" s="235"/>
      <c r="KML26" s="235"/>
      <c r="KMM26" s="235"/>
      <c r="KMN26" s="235"/>
      <c r="KMO26" s="235"/>
      <c r="KMP26" s="235"/>
      <c r="KMQ26" s="235"/>
      <c r="KMR26" s="235"/>
      <c r="KMS26" s="235"/>
      <c r="KMT26" s="235"/>
      <c r="KMU26" s="235"/>
      <c r="KMV26" s="235"/>
      <c r="KMW26" s="235"/>
      <c r="KMX26" s="235"/>
      <c r="KMY26" s="235"/>
      <c r="KMZ26" s="235"/>
      <c r="KNA26" s="235"/>
      <c r="KNB26" s="235"/>
      <c r="KNC26" s="235"/>
      <c r="KND26" s="235"/>
      <c r="KNE26" s="235"/>
      <c r="KNF26" s="235"/>
      <c r="KNG26" s="235"/>
      <c r="KNH26" s="235"/>
      <c r="KNI26" s="235"/>
      <c r="KNJ26" s="235"/>
      <c r="KNK26" s="235"/>
      <c r="KNL26" s="235"/>
      <c r="KNM26" s="235"/>
      <c r="KNN26" s="235"/>
      <c r="KNO26" s="235"/>
      <c r="KNP26" s="235"/>
      <c r="KNQ26" s="235"/>
      <c r="KNR26" s="235"/>
      <c r="KNS26" s="235"/>
      <c r="KNT26" s="235"/>
      <c r="KNU26" s="235"/>
      <c r="KNV26" s="235"/>
      <c r="KNW26" s="235"/>
      <c r="KNX26" s="235"/>
      <c r="KNY26" s="235"/>
      <c r="KNZ26" s="235"/>
      <c r="KOA26" s="235"/>
      <c r="KOB26" s="235"/>
      <c r="KOC26" s="235"/>
      <c r="KOD26" s="235"/>
      <c r="KOE26" s="235"/>
      <c r="KOF26" s="235"/>
      <c r="KOG26" s="235"/>
      <c r="KOH26" s="235"/>
      <c r="KOI26" s="235"/>
      <c r="KOJ26" s="235"/>
      <c r="KOK26" s="235"/>
      <c r="KOL26" s="235"/>
      <c r="KOM26" s="235"/>
      <c r="KON26" s="235"/>
      <c r="KOO26" s="235"/>
      <c r="KOP26" s="235"/>
      <c r="KOQ26" s="235"/>
      <c r="KOR26" s="235"/>
      <c r="KOS26" s="235"/>
      <c r="KOT26" s="235"/>
      <c r="KOU26" s="235"/>
      <c r="KOV26" s="235"/>
      <c r="KOW26" s="235"/>
      <c r="KOX26" s="235"/>
      <c r="KOY26" s="235"/>
      <c r="KOZ26" s="235"/>
      <c r="KPA26" s="235"/>
      <c r="KPB26" s="235"/>
      <c r="KPC26" s="235"/>
      <c r="KPD26" s="235"/>
      <c r="KPE26" s="235"/>
      <c r="KPF26" s="235"/>
      <c r="KPG26" s="235"/>
      <c r="KPH26" s="235"/>
      <c r="KPI26" s="235"/>
      <c r="KPJ26" s="235"/>
      <c r="KPK26" s="235"/>
      <c r="KPL26" s="235"/>
      <c r="KPM26" s="235"/>
      <c r="KPN26" s="235"/>
      <c r="KPO26" s="235"/>
      <c r="KPP26" s="235"/>
      <c r="KPQ26" s="235"/>
      <c r="KPR26" s="235"/>
      <c r="KPS26" s="235"/>
      <c r="KPT26" s="235"/>
      <c r="KPU26" s="235"/>
      <c r="KPV26" s="235"/>
      <c r="KPW26" s="235"/>
      <c r="KPX26" s="235"/>
      <c r="KPY26" s="235"/>
      <c r="KPZ26" s="235"/>
      <c r="KQA26" s="235"/>
      <c r="KQB26" s="235"/>
      <c r="KQC26" s="235"/>
      <c r="KQD26" s="235"/>
      <c r="KQE26" s="235"/>
      <c r="KQF26" s="235"/>
      <c r="KQG26" s="235"/>
      <c r="KQH26" s="235"/>
      <c r="KQI26" s="235"/>
      <c r="KQJ26" s="235"/>
      <c r="KQK26" s="235"/>
      <c r="KQL26" s="235"/>
      <c r="KQM26" s="235"/>
      <c r="KQN26" s="235"/>
      <c r="KQO26" s="235"/>
      <c r="KQP26" s="235"/>
      <c r="KQQ26" s="235"/>
      <c r="KQR26" s="235"/>
      <c r="KQS26" s="235"/>
      <c r="KQT26" s="235"/>
      <c r="KQU26" s="235"/>
      <c r="KQV26" s="235"/>
      <c r="KQW26" s="235"/>
      <c r="KQX26" s="235"/>
      <c r="KQY26" s="235"/>
      <c r="KQZ26" s="235"/>
      <c r="KRA26" s="235"/>
      <c r="KRB26" s="235"/>
      <c r="KRC26" s="235"/>
      <c r="KRD26" s="235"/>
      <c r="KRE26" s="235"/>
      <c r="KRF26" s="235"/>
      <c r="KRG26" s="235"/>
      <c r="KRH26" s="235"/>
      <c r="KRI26" s="235"/>
      <c r="KRJ26" s="235"/>
      <c r="KRK26" s="235"/>
      <c r="KRL26" s="235"/>
      <c r="KRM26" s="235"/>
      <c r="KRN26" s="235"/>
      <c r="KRO26" s="235"/>
      <c r="KRP26" s="235"/>
      <c r="KRQ26" s="235"/>
      <c r="KRR26" s="235"/>
      <c r="KRS26" s="235"/>
      <c r="KRT26" s="235"/>
      <c r="KRU26" s="235"/>
      <c r="KRV26" s="235"/>
      <c r="KRW26" s="235"/>
      <c r="KRX26" s="235"/>
      <c r="KRY26" s="235"/>
      <c r="KRZ26" s="235"/>
      <c r="KSA26" s="235"/>
      <c r="KSB26" s="235"/>
      <c r="KSC26" s="235"/>
      <c r="KSD26" s="235"/>
      <c r="KSE26" s="235"/>
      <c r="KSF26" s="235"/>
      <c r="KSG26" s="235"/>
      <c r="KSH26" s="235"/>
      <c r="KSI26" s="235"/>
      <c r="KSJ26" s="235"/>
      <c r="KSK26" s="235"/>
      <c r="KSL26" s="235"/>
      <c r="KSM26" s="235"/>
      <c r="KSN26" s="235"/>
      <c r="KSO26" s="235"/>
      <c r="KSP26" s="235"/>
      <c r="KSQ26" s="235"/>
      <c r="KSR26" s="235"/>
      <c r="KSS26" s="235"/>
      <c r="KST26" s="235"/>
      <c r="KSU26" s="235"/>
      <c r="KSV26" s="235"/>
      <c r="KSW26" s="235"/>
      <c r="KSX26" s="235"/>
      <c r="KSY26" s="235"/>
      <c r="KSZ26" s="235"/>
      <c r="KTA26" s="235"/>
      <c r="KTB26" s="235"/>
      <c r="KTC26" s="235"/>
      <c r="KTD26" s="235"/>
      <c r="KTE26" s="235"/>
      <c r="KTF26" s="235"/>
      <c r="KTG26" s="235"/>
      <c r="KTH26" s="235"/>
      <c r="KTI26" s="235"/>
      <c r="KTJ26" s="235"/>
      <c r="KTK26" s="235"/>
      <c r="KTL26" s="235"/>
      <c r="KTM26" s="235"/>
      <c r="KTN26" s="235"/>
      <c r="KTO26" s="235"/>
      <c r="KTP26" s="235"/>
      <c r="KTQ26" s="235"/>
      <c r="KTR26" s="235"/>
      <c r="KTS26" s="235"/>
      <c r="KTT26" s="235"/>
      <c r="KTU26" s="235"/>
      <c r="KTV26" s="235"/>
      <c r="KTW26" s="235"/>
      <c r="KTX26" s="235"/>
      <c r="KTY26" s="235"/>
      <c r="KTZ26" s="235"/>
      <c r="KUA26" s="235"/>
      <c r="KUB26" s="235"/>
      <c r="KUC26" s="235"/>
      <c r="KUD26" s="235"/>
      <c r="KUE26" s="235"/>
      <c r="KUF26" s="235"/>
      <c r="KUG26" s="235"/>
      <c r="KUH26" s="235"/>
      <c r="KUI26" s="235"/>
      <c r="KUJ26" s="235"/>
      <c r="KUK26" s="235"/>
      <c r="KUL26" s="235"/>
      <c r="KUM26" s="235"/>
      <c r="KUN26" s="235"/>
      <c r="KUO26" s="235"/>
      <c r="KUP26" s="235"/>
      <c r="KUQ26" s="235"/>
      <c r="KUR26" s="235"/>
      <c r="KUS26" s="235"/>
      <c r="KUT26" s="235"/>
      <c r="KUU26" s="235"/>
      <c r="KUV26" s="235"/>
      <c r="KUW26" s="235"/>
      <c r="KUX26" s="235"/>
      <c r="KUY26" s="235"/>
      <c r="KUZ26" s="235"/>
      <c r="KVA26" s="235"/>
      <c r="KVB26" s="235"/>
      <c r="KVC26" s="235"/>
      <c r="KVD26" s="235"/>
      <c r="KVE26" s="235"/>
      <c r="KVF26" s="235"/>
      <c r="KVG26" s="235"/>
      <c r="KVH26" s="235"/>
      <c r="KVI26" s="235"/>
      <c r="KVJ26" s="235"/>
      <c r="KVK26" s="235"/>
      <c r="KVL26" s="235"/>
      <c r="KVM26" s="235"/>
      <c r="KVN26" s="235"/>
      <c r="KVO26" s="235"/>
      <c r="KVP26" s="235"/>
      <c r="KVQ26" s="235"/>
      <c r="KVR26" s="235"/>
      <c r="KVS26" s="235"/>
      <c r="KVT26" s="235"/>
      <c r="KVU26" s="235"/>
      <c r="KVV26" s="235"/>
      <c r="KVW26" s="235"/>
      <c r="KVX26" s="235"/>
      <c r="KVY26" s="235"/>
      <c r="KVZ26" s="235"/>
      <c r="KWA26" s="235"/>
      <c r="KWB26" s="235"/>
      <c r="KWC26" s="235"/>
      <c r="KWD26" s="235"/>
      <c r="KWE26" s="235"/>
      <c r="KWF26" s="235"/>
      <c r="KWG26" s="235"/>
      <c r="KWH26" s="235"/>
      <c r="KWI26" s="235"/>
      <c r="KWJ26" s="235"/>
      <c r="KWK26" s="235"/>
      <c r="KWL26" s="235"/>
      <c r="KWM26" s="235"/>
      <c r="KWN26" s="235"/>
      <c r="KWO26" s="235"/>
      <c r="KWP26" s="235"/>
      <c r="KWQ26" s="235"/>
      <c r="KWR26" s="235"/>
      <c r="KWS26" s="235"/>
      <c r="KWT26" s="235"/>
      <c r="KWU26" s="235"/>
      <c r="KWV26" s="235"/>
      <c r="KWW26" s="235"/>
      <c r="KWX26" s="235"/>
      <c r="KWY26" s="235"/>
      <c r="KWZ26" s="235"/>
      <c r="KXA26" s="235"/>
      <c r="KXB26" s="235"/>
      <c r="KXC26" s="235"/>
      <c r="KXD26" s="235"/>
      <c r="KXE26" s="235"/>
      <c r="KXF26" s="235"/>
      <c r="KXG26" s="235"/>
      <c r="KXH26" s="235"/>
      <c r="KXI26" s="235"/>
      <c r="KXJ26" s="235"/>
      <c r="KXK26" s="235"/>
      <c r="KXL26" s="235"/>
      <c r="KXM26" s="235"/>
      <c r="KXN26" s="235"/>
      <c r="KXO26" s="235"/>
      <c r="KXP26" s="235"/>
      <c r="KXQ26" s="235"/>
      <c r="KXR26" s="235"/>
      <c r="KXS26" s="235"/>
      <c r="KXT26" s="235"/>
      <c r="KXU26" s="235"/>
      <c r="KXV26" s="235"/>
      <c r="KXW26" s="235"/>
      <c r="KXX26" s="235"/>
      <c r="KXY26" s="235"/>
      <c r="KXZ26" s="235"/>
      <c r="KYA26" s="235"/>
      <c r="KYB26" s="235"/>
      <c r="KYC26" s="235"/>
      <c r="KYD26" s="235"/>
      <c r="KYE26" s="235"/>
      <c r="KYF26" s="235"/>
      <c r="KYG26" s="235"/>
      <c r="KYH26" s="235"/>
      <c r="KYI26" s="235"/>
      <c r="KYJ26" s="235"/>
      <c r="KYK26" s="235"/>
      <c r="KYL26" s="235"/>
      <c r="KYM26" s="235"/>
      <c r="KYN26" s="235"/>
      <c r="KYO26" s="235"/>
      <c r="KYP26" s="235"/>
      <c r="KYQ26" s="235"/>
      <c r="KYR26" s="235"/>
      <c r="KYS26" s="235"/>
      <c r="KYT26" s="235"/>
      <c r="KYU26" s="235"/>
      <c r="KYV26" s="235"/>
      <c r="KYW26" s="235"/>
      <c r="KYX26" s="235"/>
      <c r="KYY26" s="235"/>
      <c r="KYZ26" s="235"/>
      <c r="KZA26" s="235"/>
      <c r="KZB26" s="235"/>
      <c r="KZC26" s="235"/>
      <c r="KZD26" s="235"/>
      <c r="KZE26" s="235"/>
      <c r="KZF26" s="235"/>
      <c r="KZG26" s="235"/>
      <c r="KZH26" s="235"/>
      <c r="KZI26" s="235"/>
      <c r="KZJ26" s="235"/>
      <c r="KZK26" s="235"/>
      <c r="KZL26" s="235"/>
      <c r="KZM26" s="235"/>
      <c r="KZN26" s="235"/>
      <c r="KZO26" s="235"/>
      <c r="KZP26" s="235"/>
      <c r="KZQ26" s="235"/>
      <c r="KZR26" s="235"/>
      <c r="KZS26" s="235"/>
      <c r="KZT26" s="235"/>
      <c r="KZU26" s="235"/>
      <c r="KZV26" s="235"/>
      <c r="KZW26" s="235"/>
      <c r="KZX26" s="235"/>
      <c r="KZY26" s="235"/>
      <c r="KZZ26" s="235"/>
      <c r="LAA26" s="235"/>
      <c r="LAB26" s="235"/>
      <c r="LAC26" s="235"/>
      <c r="LAD26" s="235"/>
      <c r="LAE26" s="235"/>
      <c r="LAF26" s="235"/>
      <c r="LAG26" s="235"/>
      <c r="LAH26" s="235"/>
      <c r="LAI26" s="235"/>
      <c r="LAJ26" s="235"/>
      <c r="LAK26" s="235"/>
      <c r="LAL26" s="235"/>
      <c r="LAM26" s="235"/>
      <c r="LAN26" s="235"/>
      <c r="LAO26" s="235"/>
      <c r="LAP26" s="235"/>
      <c r="LAQ26" s="235"/>
      <c r="LAR26" s="235"/>
      <c r="LAS26" s="235"/>
      <c r="LAT26" s="235"/>
      <c r="LAU26" s="235"/>
      <c r="LAV26" s="235"/>
      <c r="LAW26" s="235"/>
      <c r="LAX26" s="235"/>
      <c r="LAY26" s="235"/>
      <c r="LAZ26" s="235"/>
      <c r="LBA26" s="235"/>
      <c r="LBB26" s="235"/>
      <c r="LBC26" s="235"/>
      <c r="LBD26" s="235"/>
      <c r="LBE26" s="235"/>
      <c r="LBF26" s="235"/>
      <c r="LBG26" s="235"/>
      <c r="LBH26" s="235"/>
      <c r="LBI26" s="235"/>
      <c r="LBJ26" s="235"/>
      <c r="LBK26" s="235"/>
      <c r="LBL26" s="235"/>
      <c r="LBM26" s="235"/>
      <c r="LBN26" s="235"/>
      <c r="LBO26" s="235"/>
      <c r="LBP26" s="235"/>
      <c r="LBQ26" s="235"/>
      <c r="LBR26" s="235"/>
      <c r="LBS26" s="235"/>
      <c r="LBT26" s="235"/>
      <c r="LBU26" s="235"/>
      <c r="LBV26" s="235"/>
      <c r="LBW26" s="235"/>
      <c r="LBX26" s="235"/>
      <c r="LBY26" s="235"/>
      <c r="LBZ26" s="235"/>
      <c r="LCA26" s="235"/>
      <c r="LCB26" s="235"/>
      <c r="LCC26" s="235"/>
      <c r="LCD26" s="235"/>
      <c r="LCE26" s="235"/>
      <c r="LCF26" s="235"/>
      <c r="LCG26" s="235"/>
      <c r="LCH26" s="235"/>
      <c r="LCI26" s="235"/>
      <c r="LCJ26" s="235"/>
      <c r="LCK26" s="235"/>
      <c r="LCL26" s="235"/>
      <c r="LCM26" s="235"/>
      <c r="LCN26" s="235"/>
      <c r="LCO26" s="235"/>
      <c r="LCP26" s="235"/>
      <c r="LCQ26" s="235"/>
      <c r="LCR26" s="235"/>
      <c r="LCS26" s="235"/>
      <c r="LCT26" s="235"/>
      <c r="LCU26" s="235"/>
      <c r="LCV26" s="235"/>
      <c r="LCW26" s="235"/>
      <c r="LCX26" s="235"/>
      <c r="LCY26" s="235"/>
      <c r="LCZ26" s="235"/>
      <c r="LDA26" s="235"/>
      <c r="LDB26" s="235"/>
      <c r="LDC26" s="235"/>
      <c r="LDD26" s="235"/>
      <c r="LDE26" s="235"/>
      <c r="LDF26" s="235"/>
      <c r="LDG26" s="235"/>
      <c r="LDH26" s="235"/>
      <c r="LDI26" s="235"/>
      <c r="LDJ26" s="235"/>
      <c r="LDK26" s="235"/>
      <c r="LDL26" s="235"/>
      <c r="LDM26" s="235"/>
      <c r="LDN26" s="235"/>
      <c r="LDO26" s="235"/>
      <c r="LDP26" s="235"/>
      <c r="LDQ26" s="235"/>
      <c r="LDR26" s="235"/>
      <c r="LDS26" s="235"/>
      <c r="LDT26" s="235"/>
      <c r="LDU26" s="235"/>
      <c r="LDV26" s="235"/>
      <c r="LDW26" s="235"/>
      <c r="LDX26" s="235"/>
      <c r="LDY26" s="235"/>
      <c r="LDZ26" s="235"/>
      <c r="LEA26" s="235"/>
      <c r="LEB26" s="235"/>
      <c r="LEC26" s="235"/>
      <c r="LED26" s="235"/>
      <c r="LEE26" s="235"/>
      <c r="LEF26" s="235"/>
      <c r="LEG26" s="235"/>
      <c r="LEH26" s="235"/>
      <c r="LEI26" s="235"/>
      <c r="LEJ26" s="235"/>
      <c r="LEK26" s="235"/>
      <c r="LEL26" s="235"/>
      <c r="LEM26" s="235"/>
      <c r="LEN26" s="235"/>
      <c r="LEO26" s="235"/>
      <c r="LEP26" s="235"/>
      <c r="LEQ26" s="235"/>
      <c r="LER26" s="235"/>
      <c r="LES26" s="235"/>
      <c r="LET26" s="235"/>
      <c r="LEU26" s="235"/>
      <c r="LEV26" s="235"/>
      <c r="LEW26" s="235"/>
      <c r="LEX26" s="235"/>
      <c r="LEY26" s="235"/>
      <c r="LEZ26" s="235"/>
      <c r="LFA26" s="235"/>
      <c r="LFB26" s="235"/>
      <c r="LFC26" s="235"/>
      <c r="LFD26" s="235"/>
      <c r="LFE26" s="235"/>
      <c r="LFF26" s="235"/>
      <c r="LFG26" s="235"/>
      <c r="LFH26" s="235"/>
      <c r="LFI26" s="235"/>
      <c r="LFJ26" s="235"/>
      <c r="LFK26" s="235"/>
      <c r="LFL26" s="235"/>
      <c r="LFM26" s="235"/>
      <c r="LFN26" s="235"/>
      <c r="LFO26" s="235"/>
      <c r="LFP26" s="235"/>
      <c r="LFQ26" s="235"/>
      <c r="LFR26" s="235"/>
      <c r="LFS26" s="235"/>
      <c r="LFT26" s="235"/>
      <c r="LFU26" s="235"/>
      <c r="LFV26" s="235"/>
      <c r="LFW26" s="235"/>
      <c r="LFX26" s="235"/>
      <c r="LFY26" s="235"/>
      <c r="LFZ26" s="235"/>
      <c r="LGA26" s="235"/>
      <c r="LGB26" s="235"/>
      <c r="LGC26" s="235"/>
      <c r="LGD26" s="235"/>
      <c r="LGE26" s="235"/>
      <c r="LGF26" s="235"/>
      <c r="LGG26" s="235"/>
      <c r="LGH26" s="235"/>
      <c r="LGI26" s="235"/>
      <c r="LGJ26" s="235"/>
      <c r="LGK26" s="235"/>
      <c r="LGL26" s="235"/>
      <c r="LGM26" s="235"/>
      <c r="LGN26" s="235"/>
      <c r="LGO26" s="235"/>
      <c r="LGP26" s="235"/>
      <c r="LGQ26" s="235"/>
      <c r="LGR26" s="235"/>
      <c r="LGS26" s="235"/>
      <c r="LGT26" s="235"/>
      <c r="LGU26" s="235"/>
      <c r="LGV26" s="235"/>
      <c r="LGW26" s="235"/>
      <c r="LGX26" s="235"/>
      <c r="LGY26" s="235"/>
      <c r="LGZ26" s="235"/>
      <c r="LHA26" s="235"/>
      <c r="LHB26" s="235"/>
      <c r="LHC26" s="235"/>
      <c r="LHD26" s="235"/>
      <c r="LHE26" s="235"/>
      <c r="LHF26" s="235"/>
      <c r="LHG26" s="235"/>
      <c r="LHH26" s="235"/>
      <c r="LHI26" s="235"/>
      <c r="LHJ26" s="235"/>
      <c r="LHK26" s="235"/>
      <c r="LHL26" s="235"/>
      <c r="LHM26" s="235"/>
      <c r="LHN26" s="235"/>
      <c r="LHO26" s="235"/>
      <c r="LHP26" s="235"/>
      <c r="LHQ26" s="235"/>
      <c r="LHR26" s="235"/>
      <c r="LHS26" s="235"/>
      <c r="LHT26" s="235"/>
      <c r="LHU26" s="235"/>
      <c r="LHV26" s="235"/>
      <c r="LHW26" s="235"/>
      <c r="LHX26" s="235"/>
      <c r="LHY26" s="235"/>
      <c r="LHZ26" s="235"/>
      <c r="LIA26" s="235"/>
      <c r="LIB26" s="235"/>
      <c r="LIC26" s="235"/>
      <c r="LID26" s="235"/>
      <c r="LIE26" s="235"/>
      <c r="LIF26" s="235"/>
      <c r="LIG26" s="235"/>
      <c r="LIH26" s="235"/>
      <c r="LII26" s="235"/>
      <c r="LIJ26" s="235"/>
      <c r="LIK26" s="235"/>
      <c r="LIL26" s="235"/>
      <c r="LIM26" s="235"/>
      <c r="LIN26" s="235"/>
      <c r="LIO26" s="235"/>
      <c r="LIP26" s="235"/>
      <c r="LIQ26" s="235"/>
      <c r="LIR26" s="235"/>
      <c r="LIS26" s="235"/>
      <c r="LIT26" s="235"/>
      <c r="LIU26" s="235"/>
      <c r="LIV26" s="235"/>
      <c r="LIW26" s="235"/>
      <c r="LIX26" s="235"/>
      <c r="LIY26" s="235"/>
      <c r="LIZ26" s="235"/>
      <c r="LJA26" s="235"/>
      <c r="LJB26" s="235"/>
      <c r="LJC26" s="235"/>
      <c r="LJD26" s="235"/>
      <c r="LJE26" s="235"/>
      <c r="LJF26" s="235"/>
      <c r="LJG26" s="235"/>
      <c r="LJH26" s="235"/>
      <c r="LJI26" s="235"/>
      <c r="LJJ26" s="235"/>
      <c r="LJK26" s="235"/>
      <c r="LJL26" s="235"/>
      <c r="LJM26" s="235"/>
      <c r="LJN26" s="235"/>
      <c r="LJO26" s="235"/>
      <c r="LJP26" s="235"/>
      <c r="LJQ26" s="235"/>
      <c r="LJR26" s="235"/>
      <c r="LJS26" s="235"/>
      <c r="LJT26" s="235"/>
      <c r="LJU26" s="235"/>
      <c r="LJV26" s="235"/>
      <c r="LJW26" s="235"/>
      <c r="LJX26" s="235"/>
      <c r="LJY26" s="235"/>
      <c r="LJZ26" s="235"/>
      <c r="LKA26" s="235"/>
      <c r="LKB26" s="235"/>
      <c r="LKC26" s="235"/>
      <c r="LKD26" s="235"/>
      <c r="LKE26" s="235"/>
      <c r="LKF26" s="235"/>
      <c r="LKG26" s="235"/>
      <c r="LKH26" s="235"/>
      <c r="LKI26" s="235"/>
      <c r="LKJ26" s="235"/>
      <c r="LKK26" s="235"/>
      <c r="LKL26" s="235"/>
      <c r="LKM26" s="235"/>
      <c r="LKN26" s="235"/>
      <c r="LKO26" s="235"/>
      <c r="LKP26" s="235"/>
      <c r="LKQ26" s="235"/>
      <c r="LKR26" s="235"/>
      <c r="LKS26" s="235"/>
      <c r="LKT26" s="235"/>
      <c r="LKU26" s="235"/>
      <c r="LKV26" s="235"/>
      <c r="LKW26" s="235"/>
      <c r="LKX26" s="235"/>
      <c r="LKY26" s="235"/>
      <c r="LKZ26" s="235"/>
      <c r="LLA26" s="235"/>
      <c r="LLB26" s="235"/>
      <c r="LLC26" s="235"/>
      <c r="LLD26" s="235"/>
      <c r="LLE26" s="235"/>
      <c r="LLF26" s="235"/>
      <c r="LLG26" s="235"/>
      <c r="LLH26" s="235"/>
      <c r="LLI26" s="235"/>
      <c r="LLJ26" s="235"/>
      <c r="LLK26" s="235"/>
      <c r="LLL26" s="235"/>
      <c r="LLM26" s="235"/>
      <c r="LLN26" s="235"/>
      <c r="LLO26" s="235"/>
      <c r="LLP26" s="235"/>
      <c r="LLQ26" s="235"/>
      <c r="LLR26" s="235"/>
      <c r="LLS26" s="235"/>
      <c r="LLT26" s="235"/>
      <c r="LLU26" s="235"/>
      <c r="LLV26" s="235"/>
      <c r="LLW26" s="235"/>
      <c r="LLX26" s="235"/>
      <c r="LLY26" s="235"/>
      <c r="LLZ26" s="235"/>
      <c r="LMA26" s="235"/>
      <c r="LMB26" s="235"/>
      <c r="LMC26" s="235"/>
      <c r="LMD26" s="235"/>
      <c r="LME26" s="235"/>
      <c r="LMF26" s="235"/>
      <c r="LMG26" s="235"/>
      <c r="LMH26" s="235"/>
      <c r="LMI26" s="235"/>
      <c r="LMJ26" s="235"/>
      <c r="LMK26" s="235"/>
      <c r="LML26" s="235"/>
      <c r="LMM26" s="235"/>
      <c r="LMN26" s="235"/>
      <c r="LMO26" s="235"/>
      <c r="LMP26" s="235"/>
      <c r="LMQ26" s="235"/>
      <c r="LMR26" s="235"/>
      <c r="LMS26" s="235"/>
      <c r="LMT26" s="235"/>
      <c r="LMU26" s="235"/>
      <c r="LMV26" s="235"/>
      <c r="LMW26" s="235"/>
      <c r="LMX26" s="235"/>
      <c r="LMY26" s="235"/>
      <c r="LMZ26" s="235"/>
      <c r="LNA26" s="235"/>
      <c r="LNB26" s="235"/>
      <c r="LNC26" s="235"/>
      <c r="LND26" s="235"/>
      <c r="LNE26" s="235"/>
      <c r="LNF26" s="235"/>
      <c r="LNG26" s="235"/>
      <c r="LNH26" s="235"/>
      <c r="LNI26" s="235"/>
      <c r="LNJ26" s="235"/>
      <c r="LNK26" s="235"/>
      <c r="LNL26" s="235"/>
      <c r="LNM26" s="235"/>
      <c r="LNN26" s="235"/>
      <c r="LNO26" s="235"/>
      <c r="LNP26" s="235"/>
      <c r="LNQ26" s="235"/>
      <c r="LNR26" s="235"/>
      <c r="LNS26" s="235"/>
      <c r="LNT26" s="235"/>
      <c r="LNU26" s="235"/>
      <c r="LNV26" s="235"/>
      <c r="LNW26" s="235"/>
      <c r="LNX26" s="235"/>
      <c r="LNY26" s="235"/>
      <c r="LNZ26" s="235"/>
      <c r="LOA26" s="235"/>
      <c r="LOB26" s="235"/>
      <c r="LOC26" s="235"/>
      <c r="LOD26" s="235"/>
      <c r="LOE26" s="235"/>
      <c r="LOF26" s="235"/>
      <c r="LOG26" s="235"/>
      <c r="LOH26" s="235"/>
      <c r="LOI26" s="235"/>
      <c r="LOJ26" s="235"/>
      <c r="LOK26" s="235"/>
      <c r="LOL26" s="235"/>
      <c r="LOM26" s="235"/>
      <c r="LON26" s="235"/>
      <c r="LOO26" s="235"/>
      <c r="LOP26" s="235"/>
      <c r="LOQ26" s="235"/>
      <c r="LOR26" s="235"/>
      <c r="LOS26" s="235"/>
      <c r="LOT26" s="235"/>
      <c r="LOU26" s="235"/>
      <c r="LOV26" s="235"/>
      <c r="LOW26" s="235"/>
      <c r="LOX26" s="235"/>
      <c r="LOY26" s="235"/>
      <c r="LOZ26" s="235"/>
      <c r="LPA26" s="235"/>
      <c r="LPB26" s="235"/>
      <c r="LPC26" s="235"/>
      <c r="LPD26" s="235"/>
      <c r="LPE26" s="235"/>
      <c r="LPF26" s="235"/>
      <c r="LPG26" s="235"/>
      <c r="LPH26" s="235"/>
      <c r="LPI26" s="235"/>
      <c r="LPJ26" s="235"/>
      <c r="LPK26" s="235"/>
      <c r="LPL26" s="235"/>
      <c r="LPM26" s="235"/>
      <c r="LPN26" s="235"/>
      <c r="LPO26" s="235"/>
      <c r="LPP26" s="235"/>
      <c r="LPQ26" s="235"/>
      <c r="LPR26" s="235"/>
      <c r="LPS26" s="235"/>
      <c r="LPT26" s="235"/>
      <c r="LPU26" s="235"/>
      <c r="LPV26" s="235"/>
      <c r="LPW26" s="235"/>
      <c r="LPX26" s="235"/>
      <c r="LPY26" s="235"/>
      <c r="LPZ26" s="235"/>
      <c r="LQA26" s="235"/>
      <c r="LQB26" s="235"/>
      <c r="LQC26" s="235"/>
      <c r="LQD26" s="235"/>
      <c r="LQE26" s="235"/>
      <c r="LQF26" s="235"/>
      <c r="LQG26" s="235"/>
      <c r="LQH26" s="235"/>
      <c r="LQI26" s="235"/>
      <c r="LQJ26" s="235"/>
      <c r="LQK26" s="235"/>
      <c r="LQL26" s="235"/>
      <c r="LQM26" s="235"/>
      <c r="LQN26" s="235"/>
      <c r="LQO26" s="235"/>
      <c r="LQP26" s="235"/>
      <c r="LQQ26" s="235"/>
      <c r="LQR26" s="235"/>
      <c r="LQS26" s="235"/>
      <c r="LQT26" s="235"/>
      <c r="LQU26" s="235"/>
      <c r="LQV26" s="235"/>
      <c r="LQW26" s="235"/>
      <c r="LQX26" s="235"/>
      <c r="LQY26" s="235"/>
      <c r="LQZ26" s="235"/>
      <c r="LRA26" s="235"/>
      <c r="LRB26" s="235"/>
      <c r="LRC26" s="235"/>
      <c r="LRD26" s="235"/>
      <c r="LRE26" s="235"/>
      <c r="LRF26" s="235"/>
      <c r="LRG26" s="235"/>
      <c r="LRH26" s="235"/>
      <c r="LRI26" s="235"/>
      <c r="LRJ26" s="235"/>
      <c r="LRK26" s="235"/>
      <c r="LRL26" s="235"/>
      <c r="LRM26" s="235"/>
      <c r="LRN26" s="235"/>
      <c r="LRO26" s="235"/>
      <c r="LRP26" s="235"/>
      <c r="LRQ26" s="235"/>
      <c r="LRR26" s="235"/>
      <c r="LRS26" s="235"/>
      <c r="LRT26" s="235"/>
      <c r="LRU26" s="235"/>
      <c r="LRV26" s="235"/>
      <c r="LRW26" s="235"/>
      <c r="LRX26" s="235"/>
      <c r="LRY26" s="235"/>
      <c r="LRZ26" s="235"/>
      <c r="LSA26" s="235"/>
      <c r="LSB26" s="235"/>
      <c r="LSC26" s="235"/>
      <c r="LSD26" s="235"/>
      <c r="LSE26" s="235"/>
      <c r="LSF26" s="235"/>
      <c r="LSG26" s="235"/>
      <c r="LSH26" s="235"/>
      <c r="LSI26" s="235"/>
      <c r="LSJ26" s="235"/>
      <c r="LSK26" s="235"/>
      <c r="LSL26" s="235"/>
      <c r="LSM26" s="235"/>
      <c r="LSN26" s="235"/>
      <c r="LSO26" s="235"/>
      <c r="LSP26" s="235"/>
      <c r="LSQ26" s="235"/>
      <c r="LSR26" s="235"/>
      <c r="LSS26" s="235"/>
      <c r="LST26" s="235"/>
      <c r="LSU26" s="235"/>
      <c r="LSV26" s="235"/>
      <c r="LSW26" s="235"/>
      <c r="LSX26" s="235"/>
      <c r="LSY26" s="235"/>
      <c r="LSZ26" s="235"/>
      <c r="LTA26" s="235"/>
      <c r="LTB26" s="235"/>
      <c r="LTC26" s="235"/>
      <c r="LTD26" s="235"/>
      <c r="LTE26" s="235"/>
      <c r="LTF26" s="235"/>
      <c r="LTG26" s="235"/>
      <c r="LTH26" s="235"/>
      <c r="LTI26" s="235"/>
      <c r="LTJ26" s="235"/>
      <c r="LTK26" s="235"/>
      <c r="LTL26" s="235"/>
      <c r="LTM26" s="235"/>
      <c r="LTN26" s="235"/>
      <c r="LTO26" s="235"/>
      <c r="LTP26" s="235"/>
      <c r="LTQ26" s="235"/>
      <c r="LTR26" s="235"/>
      <c r="LTS26" s="235"/>
      <c r="LTT26" s="235"/>
      <c r="LTU26" s="235"/>
      <c r="LTV26" s="235"/>
      <c r="LTW26" s="235"/>
      <c r="LTX26" s="235"/>
      <c r="LTY26" s="235"/>
      <c r="LTZ26" s="235"/>
      <c r="LUA26" s="235"/>
      <c r="LUB26" s="235"/>
      <c r="LUC26" s="235"/>
      <c r="LUD26" s="235"/>
      <c r="LUE26" s="235"/>
      <c r="LUF26" s="235"/>
      <c r="LUG26" s="235"/>
      <c r="LUH26" s="235"/>
      <c r="LUI26" s="235"/>
      <c r="LUJ26" s="235"/>
      <c r="LUK26" s="235"/>
      <c r="LUL26" s="235"/>
      <c r="LUM26" s="235"/>
      <c r="LUN26" s="235"/>
      <c r="LUO26" s="235"/>
      <c r="LUP26" s="235"/>
      <c r="LUQ26" s="235"/>
      <c r="LUR26" s="235"/>
      <c r="LUS26" s="235"/>
      <c r="LUT26" s="235"/>
      <c r="LUU26" s="235"/>
      <c r="LUV26" s="235"/>
      <c r="LUW26" s="235"/>
      <c r="LUX26" s="235"/>
      <c r="LUY26" s="235"/>
      <c r="LUZ26" s="235"/>
      <c r="LVA26" s="235"/>
      <c r="LVB26" s="235"/>
      <c r="LVC26" s="235"/>
      <c r="LVD26" s="235"/>
      <c r="LVE26" s="235"/>
      <c r="LVF26" s="235"/>
      <c r="LVG26" s="235"/>
      <c r="LVH26" s="235"/>
      <c r="LVI26" s="235"/>
      <c r="LVJ26" s="235"/>
      <c r="LVK26" s="235"/>
      <c r="LVL26" s="235"/>
      <c r="LVM26" s="235"/>
      <c r="LVN26" s="235"/>
      <c r="LVO26" s="235"/>
      <c r="LVP26" s="235"/>
      <c r="LVQ26" s="235"/>
      <c r="LVR26" s="235"/>
      <c r="LVS26" s="235"/>
      <c r="LVT26" s="235"/>
      <c r="LVU26" s="235"/>
      <c r="LVV26" s="235"/>
      <c r="LVW26" s="235"/>
      <c r="LVX26" s="235"/>
      <c r="LVY26" s="235"/>
      <c r="LVZ26" s="235"/>
      <c r="LWA26" s="235"/>
      <c r="LWB26" s="235"/>
      <c r="LWC26" s="235"/>
      <c r="LWD26" s="235"/>
      <c r="LWE26" s="235"/>
      <c r="LWF26" s="235"/>
      <c r="LWG26" s="235"/>
      <c r="LWH26" s="235"/>
      <c r="LWI26" s="235"/>
      <c r="LWJ26" s="235"/>
      <c r="LWK26" s="235"/>
      <c r="LWL26" s="235"/>
      <c r="LWM26" s="235"/>
      <c r="LWN26" s="235"/>
      <c r="LWO26" s="235"/>
      <c r="LWP26" s="235"/>
      <c r="LWQ26" s="235"/>
      <c r="LWR26" s="235"/>
      <c r="LWS26" s="235"/>
      <c r="LWT26" s="235"/>
      <c r="LWU26" s="235"/>
      <c r="LWV26" s="235"/>
      <c r="LWW26" s="235"/>
      <c r="LWX26" s="235"/>
      <c r="LWY26" s="235"/>
      <c r="LWZ26" s="235"/>
      <c r="LXA26" s="235"/>
      <c r="LXB26" s="235"/>
      <c r="LXC26" s="235"/>
      <c r="LXD26" s="235"/>
      <c r="LXE26" s="235"/>
      <c r="LXF26" s="235"/>
      <c r="LXG26" s="235"/>
      <c r="LXH26" s="235"/>
      <c r="LXI26" s="235"/>
      <c r="LXJ26" s="235"/>
      <c r="LXK26" s="235"/>
      <c r="LXL26" s="235"/>
      <c r="LXM26" s="235"/>
      <c r="LXN26" s="235"/>
      <c r="LXO26" s="235"/>
      <c r="LXP26" s="235"/>
      <c r="LXQ26" s="235"/>
      <c r="LXR26" s="235"/>
      <c r="LXS26" s="235"/>
      <c r="LXT26" s="235"/>
      <c r="LXU26" s="235"/>
      <c r="LXV26" s="235"/>
      <c r="LXW26" s="235"/>
      <c r="LXX26" s="235"/>
      <c r="LXY26" s="235"/>
      <c r="LXZ26" s="235"/>
      <c r="LYA26" s="235"/>
      <c r="LYB26" s="235"/>
      <c r="LYC26" s="235"/>
      <c r="LYD26" s="235"/>
      <c r="LYE26" s="235"/>
      <c r="LYF26" s="235"/>
      <c r="LYG26" s="235"/>
      <c r="LYH26" s="235"/>
      <c r="LYI26" s="235"/>
      <c r="LYJ26" s="235"/>
      <c r="LYK26" s="235"/>
      <c r="LYL26" s="235"/>
      <c r="LYM26" s="235"/>
      <c r="LYN26" s="235"/>
      <c r="LYO26" s="235"/>
      <c r="LYP26" s="235"/>
      <c r="LYQ26" s="235"/>
      <c r="LYR26" s="235"/>
      <c r="LYS26" s="235"/>
      <c r="LYT26" s="235"/>
      <c r="LYU26" s="235"/>
      <c r="LYV26" s="235"/>
      <c r="LYW26" s="235"/>
      <c r="LYX26" s="235"/>
      <c r="LYY26" s="235"/>
      <c r="LYZ26" s="235"/>
      <c r="LZA26" s="235"/>
      <c r="LZB26" s="235"/>
      <c r="LZC26" s="235"/>
      <c r="LZD26" s="235"/>
      <c r="LZE26" s="235"/>
      <c r="LZF26" s="235"/>
      <c r="LZG26" s="235"/>
      <c r="LZH26" s="235"/>
      <c r="LZI26" s="235"/>
      <c r="LZJ26" s="235"/>
      <c r="LZK26" s="235"/>
      <c r="LZL26" s="235"/>
      <c r="LZM26" s="235"/>
      <c r="LZN26" s="235"/>
      <c r="LZO26" s="235"/>
      <c r="LZP26" s="235"/>
      <c r="LZQ26" s="235"/>
      <c r="LZR26" s="235"/>
      <c r="LZS26" s="235"/>
      <c r="LZT26" s="235"/>
      <c r="LZU26" s="235"/>
      <c r="LZV26" s="235"/>
      <c r="LZW26" s="235"/>
      <c r="LZX26" s="235"/>
      <c r="LZY26" s="235"/>
      <c r="LZZ26" s="235"/>
      <c r="MAA26" s="235"/>
      <c r="MAB26" s="235"/>
      <c r="MAC26" s="235"/>
      <c r="MAD26" s="235"/>
      <c r="MAE26" s="235"/>
      <c r="MAF26" s="235"/>
      <c r="MAG26" s="235"/>
      <c r="MAH26" s="235"/>
      <c r="MAI26" s="235"/>
      <c r="MAJ26" s="235"/>
      <c r="MAK26" s="235"/>
      <c r="MAL26" s="235"/>
      <c r="MAM26" s="235"/>
      <c r="MAN26" s="235"/>
      <c r="MAO26" s="235"/>
      <c r="MAP26" s="235"/>
      <c r="MAQ26" s="235"/>
      <c r="MAR26" s="235"/>
      <c r="MAS26" s="235"/>
      <c r="MAT26" s="235"/>
      <c r="MAU26" s="235"/>
      <c r="MAV26" s="235"/>
      <c r="MAW26" s="235"/>
      <c r="MAX26" s="235"/>
      <c r="MAY26" s="235"/>
      <c r="MAZ26" s="235"/>
      <c r="MBA26" s="235"/>
      <c r="MBB26" s="235"/>
      <c r="MBC26" s="235"/>
      <c r="MBD26" s="235"/>
      <c r="MBE26" s="235"/>
      <c r="MBF26" s="235"/>
      <c r="MBG26" s="235"/>
      <c r="MBH26" s="235"/>
      <c r="MBI26" s="235"/>
      <c r="MBJ26" s="235"/>
      <c r="MBK26" s="235"/>
      <c r="MBL26" s="235"/>
      <c r="MBM26" s="235"/>
      <c r="MBN26" s="235"/>
      <c r="MBO26" s="235"/>
      <c r="MBP26" s="235"/>
      <c r="MBQ26" s="235"/>
      <c r="MBR26" s="235"/>
      <c r="MBS26" s="235"/>
      <c r="MBT26" s="235"/>
      <c r="MBU26" s="235"/>
      <c r="MBV26" s="235"/>
      <c r="MBW26" s="235"/>
      <c r="MBX26" s="235"/>
      <c r="MBY26" s="235"/>
      <c r="MBZ26" s="235"/>
      <c r="MCA26" s="235"/>
      <c r="MCB26" s="235"/>
      <c r="MCC26" s="235"/>
      <c r="MCD26" s="235"/>
      <c r="MCE26" s="235"/>
      <c r="MCF26" s="235"/>
      <c r="MCG26" s="235"/>
      <c r="MCH26" s="235"/>
      <c r="MCI26" s="235"/>
      <c r="MCJ26" s="235"/>
      <c r="MCK26" s="235"/>
      <c r="MCL26" s="235"/>
      <c r="MCM26" s="235"/>
      <c r="MCN26" s="235"/>
      <c r="MCO26" s="235"/>
      <c r="MCP26" s="235"/>
      <c r="MCQ26" s="235"/>
      <c r="MCR26" s="235"/>
      <c r="MCS26" s="235"/>
      <c r="MCT26" s="235"/>
      <c r="MCU26" s="235"/>
      <c r="MCV26" s="235"/>
      <c r="MCW26" s="235"/>
      <c r="MCX26" s="235"/>
      <c r="MCY26" s="235"/>
      <c r="MCZ26" s="235"/>
      <c r="MDA26" s="235"/>
      <c r="MDB26" s="235"/>
      <c r="MDC26" s="235"/>
      <c r="MDD26" s="235"/>
      <c r="MDE26" s="235"/>
      <c r="MDF26" s="235"/>
      <c r="MDG26" s="235"/>
      <c r="MDH26" s="235"/>
      <c r="MDI26" s="235"/>
      <c r="MDJ26" s="235"/>
      <c r="MDK26" s="235"/>
      <c r="MDL26" s="235"/>
      <c r="MDM26" s="235"/>
      <c r="MDN26" s="235"/>
      <c r="MDO26" s="235"/>
      <c r="MDP26" s="235"/>
      <c r="MDQ26" s="235"/>
      <c r="MDR26" s="235"/>
      <c r="MDS26" s="235"/>
      <c r="MDT26" s="235"/>
      <c r="MDU26" s="235"/>
      <c r="MDV26" s="235"/>
      <c r="MDW26" s="235"/>
      <c r="MDX26" s="235"/>
      <c r="MDY26" s="235"/>
      <c r="MDZ26" s="235"/>
      <c r="MEA26" s="235"/>
      <c r="MEB26" s="235"/>
      <c r="MEC26" s="235"/>
      <c r="MED26" s="235"/>
      <c r="MEE26" s="235"/>
      <c r="MEF26" s="235"/>
      <c r="MEG26" s="235"/>
      <c r="MEH26" s="235"/>
      <c r="MEI26" s="235"/>
      <c r="MEJ26" s="235"/>
      <c r="MEK26" s="235"/>
      <c r="MEL26" s="235"/>
      <c r="MEM26" s="235"/>
      <c r="MEN26" s="235"/>
      <c r="MEO26" s="235"/>
      <c r="MEP26" s="235"/>
      <c r="MEQ26" s="235"/>
      <c r="MER26" s="235"/>
      <c r="MES26" s="235"/>
      <c r="MET26" s="235"/>
      <c r="MEU26" s="235"/>
      <c r="MEV26" s="235"/>
      <c r="MEW26" s="235"/>
      <c r="MEX26" s="235"/>
      <c r="MEY26" s="235"/>
      <c r="MEZ26" s="235"/>
      <c r="MFA26" s="235"/>
      <c r="MFB26" s="235"/>
      <c r="MFC26" s="235"/>
      <c r="MFD26" s="235"/>
      <c r="MFE26" s="235"/>
      <c r="MFF26" s="235"/>
      <c r="MFG26" s="235"/>
      <c r="MFH26" s="235"/>
      <c r="MFI26" s="235"/>
      <c r="MFJ26" s="235"/>
      <c r="MFK26" s="235"/>
      <c r="MFL26" s="235"/>
      <c r="MFM26" s="235"/>
      <c r="MFN26" s="235"/>
      <c r="MFO26" s="235"/>
      <c r="MFP26" s="235"/>
      <c r="MFQ26" s="235"/>
      <c r="MFR26" s="235"/>
      <c r="MFS26" s="235"/>
      <c r="MFT26" s="235"/>
      <c r="MFU26" s="235"/>
      <c r="MFV26" s="235"/>
      <c r="MFW26" s="235"/>
      <c r="MFX26" s="235"/>
      <c r="MFY26" s="235"/>
      <c r="MFZ26" s="235"/>
      <c r="MGA26" s="235"/>
      <c r="MGB26" s="235"/>
      <c r="MGC26" s="235"/>
      <c r="MGD26" s="235"/>
      <c r="MGE26" s="235"/>
      <c r="MGF26" s="235"/>
      <c r="MGG26" s="235"/>
      <c r="MGH26" s="235"/>
      <c r="MGI26" s="235"/>
      <c r="MGJ26" s="235"/>
      <c r="MGK26" s="235"/>
      <c r="MGL26" s="235"/>
      <c r="MGM26" s="235"/>
      <c r="MGN26" s="235"/>
      <c r="MGO26" s="235"/>
      <c r="MGP26" s="235"/>
      <c r="MGQ26" s="235"/>
      <c r="MGR26" s="235"/>
      <c r="MGS26" s="235"/>
      <c r="MGT26" s="235"/>
      <c r="MGU26" s="235"/>
      <c r="MGV26" s="235"/>
      <c r="MGW26" s="235"/>
      <c r="MGX26" s="235"/>
      <c r="MGY26" s="235"/>
      <c r="MGZ26" s="235"/>
      <c r="MHA26" s="235"/>
      <c r="MHB26" s="235"/>
      <c r="MHC26" s="235"/>
      <c r="MHD26" s="235"/>
      <c r="MHE26" s="235"/>
      <c r="MHF26" s="235"/>
      <c r="MHG26" s="235"/>
      <c r="MHH26" s="235"/>
      <c r="MHI26" s="235"/>
      <c r="MHJ26" s="235"/>
      <c r="MHK26" s="235"/>
      <c r="MHL26" s="235"/>
      <c r="MHM26" s="235"/>
      <c r="MHN26" s="235"/>
      <c r="MHO26" s="235"/>
      <c r="MHP26" s="235"/>
      <c r="MHQ26" s="235"/>
      <c r="MHR26" s="235"/>
      <c r="MHS26" s="235"/>
      <c r="MHT26" s="235"/>
      <c r="MHU26" s="235"/>
      <c r="MHV26" s="235"/>
      <c r="MHW26" s="235"/>
      <c r="MHX26" s="235"/>
      <c r="MHY26" s="235"/>
      <c r="MHZ26" s="235"/>
      <c r="MIA26" s="235"/>
      <c r="MIB26" s="235"/>
      <c r="MIC26" s="235"/>
      <c r="MID26" s="235"/>
      <c r="MIE26" s="235"/>
      <c r="MIF26" s="235"/>
      <c r="MIG26" s="235"/>
      <c r="MIH26" s="235"/>
      <c r="MII26" s="235"/>
      <c r="MIJ26" s="235"/>
      <c r="MIK26" s="235"/>
      <c r="MIL26" s="235"/>
      <c r="MIM26" s="235"/>
      <c r="MIN26" s="235"/>
      <c r="MIO26" s="235"/>
      <c r="MIP26" s="235"/>
      <c r="MIQ26" s="235"/>
      <c r="MIR26" s="235"/>
      <c r="MIS26" s="235"/>
      <c r="MIT26" s="235"/>
      <c r="MIU26" s="235"/>
      <c r="MIV26" s="235"/>
      <c r="MIW26" s="235"/>
      <c r="MIX26" s="235"/>
      <c r="MIY26" s="235"/>
      <c r="MIZ26" s="235"/>
      <c r="MJA26" s="235"/>
      <c r="MJB26" s="235"/>
      <c r="MJC26" s="235"/>
      <c r="MJD26" s="235"/>
      <c r="MJE26" s="235"/>
      <c r="MJF26" s="235"/>
      <c r="MJG26" s="235"/>
      <c r="MJH26" s="235"/>
      <c r="MJI26" s="235"/>
      <c r="MJJ26" s="235"/>
      <c r="MJK26" s="235"/>
      <c r="MJL26" s="235"/>
      <c r="MJM26" s="235"/>
      <c r="MJN26" s="235"/>
      <c r="MJO26" s="235"/>
      <c r="MJP26" s="235"/>
      <c r="MJQ26" s="235"/>
      <c r="MJR26" s="235"/>
      <c r="MJS26" s="235"/>
      <c r="MJT26" s="235"/>
      <c r="MJU26" s="235"/>
      <c r="MJV26" s="235"/>
      <c r="MJW26" s="235"/>
      <c r="MJX26" s="235"/>
      <c r="MJY26" s="235"/>
      <c r="MJZ26" s="235"/>
      <c r="MKA26" s="235"/>
      <c r="MKB26" s="235"/>
      <c r="MKC26" s="235"/>
      <c r="MKD26" s="235"/>
      <c r="MKE26" s="235"/>
      <c r="MKF26" s="235"/>
      <c r="MKG26" s="235"/>
      <c r="MKH26" s="235"/>
      <c r="MKI26" s="235"/>
      <c r="MKJ26" s="235"/>
      <c r="MKK26" s="235"/>
      <c r="MKL26" s="235"/>
      <c r="MKM26" s="235"/>
      <c r="MKN26" s="235"/>
      <c r="MKO26" s="235"/>
      <c r="MKP26" s="235"/>
      <c r="MKQ26" s="235"/>
      <c r="MKR26" s="235"/>
      <c r="MKS26" s="235"/>
      <c r="MKT26" s="235"/>
      <c r="MKU26" s="235"/>
      <c r="MKV26" s="235"/>
      <c r="MKW26" s="235"/>
      <c r="MKX26" s="235"/>
      <c r="MKY26" s="235"/>
      <c r="MKZ26" s="235"/>
      <c r="MLA26" s="235"/>
      <c r="MLB26" s="235"/>
      <c r="MLC26" s="235"/>
      <c r="MLD26" s="235"/>
      <c r="MLE26" s="235"/>
      <c r="MLF26" s="235"/>
      <c r="MLG26" s="235"/>
      <c r="MLH26" s="235"/>
      <c r="MLI26" s="235"/>
      <c r="MLJ26" s="235"/>
      <c r="MLK26" s="235"/>
      <c r="MLL26" s="235"/>
      <c r="MLM26" s="235"/>
      <c r="MLN26" s="235"/>
      <c r="MLO26" s="235"/>
      <c r="MLP26" s="235"/>
      <c r="MLQ26" s="235"/>
      <c r="MLR26" s="235"/>
      <c r="MLS26" s="235"/>
      <c r="MLT26" s="235"/>
      <c r="MLU26" s="235"/>
      <c r="MLV26" s="235"/>
      <c r="MLW26" s="235"/>
      <c r="MLX26" s="235"/>
      <c r="MLY26" s="235"/>
      <c r="MLZ26" s="235"/>
      <c r="MMA26" s="235"/>
      <c r="MMB26" s="235"/>
      <c r="MMC26" s="235"/>
      <c r="MMD26" s="235"/>
      <c r="MME26" s="235"/>
      <c r="MMF26" s="235"/>
      <c r="MMG26" s="235"/>
      <c r="MMH26" s="235"/>
      <c r="MMI26" s="235"/>
      <c r="MMJ26" s="235"/>
      <c r="MMK26" s="235"/>
      <c r="MML26" s="235"/>
      <c r="MMM26" s="235"/>
      <c r="MMN26" s="235"/>
      <c r="MMO26" s="235"/>
      <c r="MMP26" s="235"/>
      <c r="MMQ26" s="235"/>
      <c r="MMR26" s="235"/>
      <c r="MMS26" s="235"/>
      <c r="MMT26" s="235"/>
      <c r="MMU26" s="235"/>
      <c r="MMV26" s="235"/>
      <c r="MMW26" s="235"/>
      <c r="MMX26" s="235"/>
      <c r="MMY26" s="235"/>
      <c r="MMZ26" s="235"/>
      <c r="MNA26" s="235"/>
      <c r="MNB26" s="235"/>
      <c r="MNC26" s="235"/>
      <c r="MND26" s="235"/>
      <c r="MNE26" s="235"/>
      <c r="MNF26" s="235"/>
      <c r="MNG26" s="235"/>
      <c r="MNH26" s="235"/>
      <c r="MNI26" s="235"/>
      <c r="MNJ26" s="235"/>
      <c r="MNK26" s="235"/>
      <c r="MNL26" s="235"/>
      <c r="MNM26" s="235"/>
      <c r="MNN26" s="235"/>
      <c r="MNO26" s="235"/>
      <c r="MNP26" s="235"/>
      <c r="MNQ26" s="235"/>
      <c r="MNR26" s="235"/>
      <c r="MNS26" s="235"/>
      <c r="MNT26" s="235"/>
      <c r="MNU26" s="235"/>
      <c r="MNV26" s="235"/>
      <c r="MNW26" s="235"/>
      <c r="MNX26" s="235"/>
      <c r="MNY26" s="235"/>
      <c r="MNZ26" s="235"/>
      <c r="MOA26" s="235"/>
      <c r="MOB26" s="235"/>
      <c r="MOC26" s="235"/>
      <c r="MOD26" s="235"/>
      <c r="MOE26" s="235"/>
      <c r="MOF26" s="235"/>
      <c r="MOG26" s="235"/>
      <c r="MOH26" s="235"/>
      <c r="MOI26" s="235"/>
      <c r="MOJ26" s="235"/>
      <c r="MOK26" s="235"/>
      <c r="MOL26" s="235"/>
      <c r="MOM26" s="235"/>
      <c r="MON26" s="235"/>
      <c r="MOO26" s="235"/>
      <c r="MOP26" s="235"/>
      <c r="MOQ26" s="235"/>
      <c r="MOR26" s="235"/>
      <c r="MOS26" s="235"/>
      <c r="MOT26" s="235"/>
      <c r="MOU26" s="235"/>
      <c r="MOV26" s="235"/>
      <c r="MOW26" s="235"/>
      <c r="MOX26" s="235"/>
      <c r="MOY26" s="235"/>
      <c r="MOZ26" s="235"/>
      <c r="MPA26" s="235"/>
      <c r="MPB26" s="235"/>
      <c r="MPC26" s="235"/>
      <c r="MPD26" s="235"/>
      <c r="MPE26" s="235"/>
      <c r="MPF26" s="235"/>
      <c r="MPG26" s="235"/>
      <c r="MPH26" s="235"/>
      <c r="MPI26" s="235"/>
      <c r="MPJ26" s="235"/>
      <c r="MPK26" s="235"/>
      <c r="MPL26" s="235"/>
      <c r="MPM26" s="235"/>
      <c r="MPN26" s="235"/>
      <c r="MPO26" s="235"/>
      <c r="MPP26" s="235"/>
      <c r="MPQ26" s="235"/>
      <c r="MPR26" s="235"/>
      <c r="MPS26" s="235"/>
      <c r="MPT26" s="235"/>
      <c r="MPU26" s="235"/>
      <c r="MPV26" s="235"/>
      <c r="MPW26" s="235"/>
      <c r="MPX26" s="235"/>
      <c r="MPY26" s="235"/>
      <c r="MPZ26" s="235"/>
      <c r="MQA26" s="235"/>
      <c r="MQB26" s="235"/>
      <c r="MQC26" s="235"/>
      <c r="MQD26" s="235"/>
      <c r="MQE26" s="235"/>
      <c r="MQF26" s="235"/>
      <c r="MQG26" s="235"/>
      <c r="MQH26" s="235"/>
      <c r="MQI26" s="235"/>
      <c r="MQJ26" s="235"/>
      <c r="MQK26" s="235"/>
      <c r="MQL26" s="235"/>
      <c r="MQM26" s="235"/>
      <c r="MQN26" s="235"/>
      <c r="MQO26" s="235"/>
      <c r="MQP26" s="235"/>
      <c r="MQQ26" s="235"/>
      <c r="MQR26" s="235"/>
      <c r="MQS26" s="235"/>
      <c r="MQT26" s="235"/>
      <c r="MQU26" s="235"/>
      <c r="MQV26" s="235"/>
      <c r="MQW26" s="235"/>
      <c r="MQX26" s="235"/>
      <c r="MQY26" s="235"/>
      <c r="MQZ26" s="235"/>
      <c r="MRA26" s="235"/>
      <c r="MRB26" s="235"/>
      <c r="MRC26" s="235"/>
      <c r="MRD26" s="235"/>
      <c r="MRE26" s="235"/>
      <c r="MRF26" s="235"/>
      <c r="MRG26" s="235"/>
      <c r="MRH26" s="235"/>
      <c r="MRI26" s="235"/>
      <c r="MRJ26" s="235"/>
      <c r="MRK26" s="235"/>
      <c r="MRL26" s="235"/>
      <c r="MRM26" s="235"/>
      <c r="MRN26" s="235"/>
      <c r="MRO26" s="235"/>
      <c r="MRP26" s="235"/>
      <c r="MRQ26" s="235"/>
      <c r="MRR26" s="235"/>
      <c r="MRS26" s="235"/>
      <c r="MRT26" s="235"/>
      <c r="MRU26" s="235"/>
      <c r="MRV26" s="235"/>
      <c r="MRW26" s="235"/>
      <c r="MRX26" s="235"/>
      <c r="MRY26" s="235"/>
      <c r="MRZ26" s="235"/>
      <c r="MSA26" s="235"/>
      <c r="MSB26" s="235"/>
      <c r="MSC26" s="235"/>
      <c r="MSD26" s="235"/>
      <c r="MSE26" s="235"/>
      <c r="MSF26" s="235"/>
      <c r="MSG26" s="235"/>
      <c r="MSH26" s="235"/>
      <c r="MSI26" s="235"/>
      <c r="MSJ26" s="235"/>
      <c r="MSK26" s="235"/>
      <c r="MSL26" s="235"/>
      <c r="MSM26" s="235"/>
      <c r="MSN26" s="235"/>
      <c r="MSO26" s="235"/>
      <c r="MSP26" s="235"/>
      <c r="MSQ26" s="235"/>
      <c r="MSR26" s="235"/>
      <c r="MSS26" s="235"/>
      <c r="MST26" s="235"/>
      <c r="MSU26" s="235"/>
      <c r="MSV26" s="235"/>
      <c r="MSW26" s="235"/>
      <c r="MSX26" s="235"/>
      <c r="MSY26" s="235"/>
      <c r="MSZ26" s="235"/>
      <c r="MTA26" s="235"/>
      <c r="MTB26" s="235"/>
      <c r="MTC26" s="235"/>
      <c r="MTD26" s="235"/>
      <c r="MTE26" s="235"/>
      <c r="MTF26" s="235"/>
      <c r="MTG26" s="235"/>
      <c r="MTH26" s="235"/>
      <c r="MTI26" s="235"/>
      <c r="MTJ26" s="235"/>
      <c r="MTK26" s="235"/>
      <c r="MTL26" s="235"/>
      <c r="MTM26" s="235"/>
      <c r="MTN26" s="235"/>
      <c r="MTO26" s="235"/>
      <c r="MTP26" s="235"/>
      <c r="MTQ26" s="235"/>
      <c r="MTR26" s="235"/>
      <c r="MTS26" s="235"/>
      <c r="MTT26" s="235"/>
      <c r="MTU26" s="235"/>
      <c r="MTV26" s="235"/>
      <c r="MTW26" s="235"/>
      <c r="MTX26" s="235"/>
      <c r="MTY26" s="235"/>
      <c r="MTZ26" s="235"/>
      <c r="MUA26" s="235"/>
      <c r="MUB26" s="235"/>
      <c r="MUC26" s="235"/>
      <c r="MUD26" s="235"/>
      <c r="MUE26" s="235"/>
      <c r="MUF26" s="235"/>
      <c r="MUG26" s="235"/>
      <c r="MUH26" s="235"/>
      <c r="MUI26" s="235"/>
      <c r="MUJ26" s="235"/>
      <c r="MUK26" s="235"/>
      <c r="MUL26" s="235"/>
      <c r="MUM26" s="235"/>
      <c r="MUN26" s="235"/>
      <c r="MUO26" s="235"/>
      <c r="MUP26" s="235"/>
      <c r="MUQ26" s="235"/>
      <c r="MUR26" s="235"/>
      <c r="MUS26" s="235"/>
      <c r="MUT26" s="235"/>
      <c r="MUU26" s="235"/>
      <c r="MUV26" s="235"/>
      <c r="MUW26" s="235"/>
      <c r="MUX26" s="235"/>
      <c r="MUY26" s="235"/>
      <c r="MUZ26" s="235"/>
      <c r="MVA26" s="235"/>
      <c r="MVB26" s="235"/>
      <c r="MVC26" s="235"/>
      <c r="MVD26" s="235"/>
      <c r="MVE26" s="235"/>
      <c r="MVF26" s="235"/>
      <c r="MVG26" s="235"/>
      <c r="MVH26" s="235"/>
      <c r="MVI26" s="235"/>
      <c r="MVJ26" s="235"/>
      <c r="MVK26" s="235"/>
      <c r="MVL26" s="235"/>
      <c r="MVM26" s="235"/>
      <c r="MVN26" s="235"/>
      <c r="MVO26" s="235"/>
      <c r="MVP26" s="235"/>
      <c r="MVQ26" s="235"/>
      <c r="MVR26" s="235"/>
      <c r="MVS26" s="235"/>
      <c r="MVT26" s="235"/>
      <c r="MVU26" s="235"/>
      <c r="MVV26" s="235"/>
      <c r="MVW26" s="235"/>
      <c r="MVX26" s="235"/>
      <c r="MVY26" s="235"/>
      <c r="MVZ26" s="235"/>
      <c r="MWA26" s="235"/>
      <c r="MWB26" s="235"/>
      <c r="MWC26" s="235"/>
      <c r="MWD26" s="235"/>
      <c r="MWE26" s="235"/>
      <c r="MWF26" s="235"/>
      <c r="MWG26" s="235"/>
      <c r="MWH26" s="235"/>
      <c r="MWI26" s="235"/>
      <c r="MWJ26" s="235"/>
      <c r="MWK26" s="235"/>
      <c r="MWL26" s="235"/>
      <c r="MWM26" s="235"/>
      <c r="MWN26" s="235"/>
      <c r="MWO26" s="235"/>
      <c r="MWP26" s="235"/>
      <c r="MWQ26" s="235"/>
      <c r="MWR26" s="235"/>
      <c r="MWS26" s="235"/>
      <c r="MWT26" s="235"/>
      <c r="MWU26" s="235"/>
      <c r="MWV26" s="235"/>
      <c r="MWW26" s="235"/>
      <c r="MWX26" s="235"/>
      <c r="MWY26" s="235"/>
      <c r="MWZ26" s="235"/>
      <c r="MXA26" s="235"/>
      <c r="MXB26" s="235"/>
      <c r="MXC26" s="235"/>
      <c r="MXD26" s="235"/>
      <c r="MXE26" s="235"/>
      <c r="MXF26" s="235"/>
      <c r="MXG26" s="235"/>
      <c r="MXH26" s="235"/>
      <c r="MXI26" s="235"/>
      <c r="MXJ26" s="235"/>
      <c r="MXK26" s="235"/>
      <c r="MXL26" s="235"/>
      <c r="MXM26" s="235"/>
      <c r="MXN26" s="235"/>
      <c r="MXO26" s="235"/>
      <c r="MXP26" s="235"/>
      <c r="MXQ26" s="235"/>
      <c r="MXR26" s="235"/>
      <c r="MXS26" s="235"/>
      <c r="MXT26" s="235"/>
      <c r="MXU26" s="235"/>
      <c r="MXV26" s="235"/>
      <c r="MXW26" s="235"/>
      <c r="MXX26" s="235"/>
      <c r="MXY26" s="235"/>
      <c r="MXZ26" s="235"/>
      <c r="MYA26" s="235"/>
      <c r="MYB26" s="235"/>
      <c r="MYC26" s="235"/>
      <c r="MYD26" s="235"/>
      <c r="MYE26" s="235"/>
      <c r="MYF26" s="235"/>
      <c r="MYG26" s="235"/>
      <c r="MYH26" s="235"/>
      <c r="MYI26" s="235"/>
      <c r="MYJ26" s="235"/>
      <c r="MYK26" s="235"/>
      <c r="MYL26" s="235"/>
      <c r="MYM26" s="235"/>
      <c r="MYN26" s="235"/>
      <c r="MYO26" s="235"/>
      <c r="MYP26" s="235"/>
      <c r="MYQ26" s="235"/>
      <c r="MYR26" s="235"/>
      <c r="MYS26" s="235"/>
      <c r="MYT26" s="235"/>
      <c r="MYU26" s="235"/>
      <c r="MYV26" s="235"/>
      <c r="MYW26" s="235"/>
      <c r="MYX26" s="235"/>
      <c r="MYY26" s="235"/>
      <c r="MYZ26" s="235"/>
      <c r="MZA26" s="235"/>
      <c r="MZB26" s="235"/>
      <c r="MZC26" s="235"/>
      <c r="MZD26" s="235"/>
      <c r="MZE26" s="235"/>
      <c r="MZF26" s="235"/>
      <c r="MZG26" s="235"/>
      <c r="MZH26" s="235"/>
      <c r="MZI26" s="235"/>
      <c r="MZJ26" s="235"/>
      <c r="MZK26" s="235"/>
      <c r="MZL26" s="235"/>
      <c r="MZM26" s="235"/>
      <c r="MZN26" s="235"/>
      <c r="MZO26" s="235"/>
      <c r="MZP26" s="235"/>
      <c r="MZQ26" s="235"/>
      <c r="MZR26" s="235"/>
      <c r="MZS26" s="235"/>
      <c r="MZT26" s="235"/>
      <c r="MZU26" s="235"/>
      <c r="MZV26" s="235"/>
      <c r="MZW26" s="235"/>
      <c r="MZX26" s="235"/>
      <c r="MZY26" s="235"/>
      <c r="MZZ26" s="235"/>
      <c r="NAA26" s="235"/>
      <c r="NAB26" s="235"/>
      <c r="NAC26" s="235"/>
      <c r="NAD26" s="235"/>
      <c r="NAE26" s="235"/>
      <c r="NAF26" s="235"/>
      <c r="NAG26" s="235"/>
      <c r="NAH26" s="235"/>
      <c r="NAI26" s="235"/>
      <c r="NAJ26" s="235"/>
      <c r="NAK26" s="235"/>
      <c r="NAL26" s="235"/>
      <c r="NAM26" s="235"/>
      <c r="NAN26" s="235"/>
      <c r="NAO26" s="235"/>
      <c r="NAP26" s="235"/>
      <c r="NAQ26" s="235"/>
      <c r="NAR26" s="235"/>
      <c r="NAS26" s="235"/>
      <c r="NAT26" s="235"/>
      <c r="NAU26" s="235"/>
      <c r="NAV26" s="235"/>
      <c r="NAW26" s="235"/>
      <c r="NAX26" s="235"/>
      <c r="NAY26" s="235"/>
      <c r="NAZ26" s="235"/>
      <c r="NBA26" s="235"/>
      <c r="NBB26" s="235"/>
      <c r="NBC26" s="235"/>
      <c r="NBD26" s="235"/>
      <c r="NBE26" s="235"/>
      <c r="NBF26" s="235"/>
      <c r="NBG26" s="235"/>
      <c r="NBH26" s="235"/>
      <c r="NBI26" s="235"/>
      <c r="NBJ26" s="235"/>
      <c r="NBK26" s="235"/>
      <c r="NBL26" s="235"/>
      <c r="NBM26" s="235"/>
      <c r="NBN26" s="235"/>
      <c r="NBO26" s="235"/>
      <c r="NBP26" s="235"/>
      <c r="NBQ26" s="235"/>
      <c r="NBR26" s="235"/>
      <c r="NBS26" s="235"/>
      <c r="NBT26" s="235"/>
      <c r="NBU26" s="235"/>
      <c r="NBV26" s="235"/>
      <c r="NBW26" s="235"/>
      <c r="NBX26" s="235"/>
      <c r="NBY26" s="235"/>
      <c r="NBZ26" s="235"/>
      <c r="NCA26" s="235"/>
      <c r="NCB26" s="235"/>
      <c r="NCC26" s="235"/>
      <c r="NCD26" s="235"/>
      <c r="NCE26" s="235"/>
      <c r="NCF26" s="235"/>
      <c r="NCG26" s="235"/>
      <c r="NCH26" s="235"/>
      <c r="NCI26" s="235"/>
      <c r="NCJ26" s="235"/>
      <c r="NCK26" s="235"/>
      <c r="NCL26" s="235"/>
      <c r="NCM26" s="235"/>
      <c r="NCN26" s="235"/>
      <c r="NCO26" s="235"/>
      <c r="NCP26" s="235"/>
      <c r="NCQ26" s="235"/>
      <c r="NCR26" s="235"/>
      <c r="NCS26" s="235"/>
      <c r="NCT26" s="235"/>
      <c r="NCU26" s="235"/>
      <c r="NCV26" s="235"/>
      <c r="NCW26" s="235"/>
      <c r="NCX26" s="235"/>
      <c r="NCY26" s="235"/>
      <c r="NCZ26" s="235"/>
      <c r="NDA26" s="235"/>
      <c r="NDB26" s="235"/>
      <c r="NDC26" s="235"/>
      <c r="NDD26" s="235"/>
      <c r="NDE26" s="235"/>
      <c r="NDF26" s="235"/>
      <c r="NDG26" s="235"/>
      <c r="NDH26" s="235"/>
      <c r="NDI26" s="235"/>
      <c r="NDJ26" s="235"/>
      <c r="NDK26" s="235"/>
      <c r="NDL26" s="235"/>
      <c r="NDM26" s="235"/>
      <c r="NDN26" s="235"/>
      <c r="NDO26" s="235"/>
      <c r="NDP26" s="235"/>
      <c r="NDQ26" s="235"/>
      <c r="NDR26" s="235"/>
      <c r="NDS26" s="235"/>
      <c r="NDT26" s="235"/>
      <c r="NDU26" s="235"/>
      <c r="NDV26" s="235"/>
      <c r="NDW26" s="235"/>
      <c r="NDX26" s="235"/>
      <c r="NDY26" s="235"/>
      <c r="NDZ26" s="235"/>
      <c r="NEA26" s="235"/>
      <c r="NEB26" s="235"/>
      <c r="NEC26" s="235"/>
      <c r="NED26" s="235"/>
      <c r="NEE26" s="235"/>
      <c r="NEF26" s="235"/>
      <c r="NEG26" s="235"/>
      <c r="NEH26" s="235"/>
      <c r="NEI26" s="235"/>
      <c r="NEJ26" s="235"/>
      <c r="NEK26" s="235"/>
      <c r="NEL26" s="235"/>
      <c r="NEM26" s="235"/>
      <c r="NEN26" s="235"/>
      <c r="NEO26" s="235"/>
      <c r="NEP26" s="235"/>
      <c r="NEQ26" s="235"/>
      <c r="NER26" s="235"/>
      <c r="NES26" s="235"/>
      <c r="NET26" s="235"/>
      <c r="NEU26" s="235"/>
      <c r="NEV26" s="235"/>
      <c r="NEW26" s="235"/>
      <c r="NEX26" s="235"/>
      <c r="NEY26" s="235"/>
      <c r="NEZ26" s="235"/>
      <c r="NFA26" s="235"/>
      <c r="NFB26" s="235"/>
      <c r="NFC26" s="235"/>
      <c r="NFD26" s="235"/>
      <c r="NFE26" s="235"/>
      <c r="NFF26" s="235"/>
      <c r="NFG26" s="235"/>
      <c r="NFH26" s="235"/>
      <c r="NFI26" s="235"/>
      <c r="NFJ26" s="235"/>
      <c r="NFK26" s="235"/>
      <c r="NFL26" s="235"/>
      <c r="NFM26" s="235"/>
      <c r="NFN26" s="235"/>
      <c r="NFO26" s="235"/>
      <c r="NFP26" s="235"/>
      <c r="NFQ26" s="235"/>
      <c r="NFR26" s="235"/>
      <c r="NFS26" s="235"/>
      <c r="NFT26" s="235"/>
      <c r="NFU26" s="235"/>
      <c r="NFV26" s="235"/>
      <c r="NFW26" s="235"/>
      <c r="NFX26" s="235"/>
      <c r="NFY26" s="235"/>
      <c r="NFZ26" s="235"/>
      <c r="NGA26" s="235"/>
      <c r="NGB26" s="235"/>
      <c r="NGC26" s="235"/>
      <c r="NGD26" s="235"/>
      <c r="NGE26" s="235"/>
      <c r="NGF26" s="235"/>
      <c r="NGG26" s="235"/>
      <c r="NGH26" s="235"/>
      <c r="NGI26" s="235"/>
      <c r="NGJ26" s="235"/>
      <c r="NGK26" s="235"/>
      <c r="NGL26" s="235"/>
      <c r="NGM26" s="235"/>
      <c r="NGN26" s="235"/>
      <c r="NGO26" s="235"/>
      <c r="NGP26" s="235"/>
      <c r="NGQ26" s="235"/>
      <c r="NGR26" s="235"/>
      <c r="NGS26" s="235"/>
      <c r="NGT26" s="235"/>
      <c r="NGU26" s="235"/>
      <c r="NGV26" s="235"/>
      <c r="NGW26" s="235"/>
      <c r="NGX26" s="235"/>
      <c r="NGY26" s="235"/>
      <c r="NGZ26" s="235"/>
      <c r="NHA26" s="235"/>
      <c r="NHB26" s="235"/>
      <c r="NHC26" s="235"/>
      <c r="NHD26" s="235"/>
      <c r="NHE26" s="235"/>
      <c r="NHF26" s="235"/>
      <c r="NHG26" s="235"/>
      <c r="NHH26" s="235"/>
      <c r="NHI26" s="235"/>
      <c r="NHJ26" s="235"/>
      <c r="NHK26" s="235"/>
      <c r="NHL26" s="235"/>
      <c r="NHM26" s="235"/>
      <c r="NHN26" s="235"/>
      <c r="NHO26" s="235"/>
      <c r="NHP26" s="235"/>
      <c r="NHQ26" s="235"/>
      <c r="NHR26" s="235"/>
      <c r="NHS26" s="235"/>
      <c r="NHT26" s="235"/>
      <c r="NHU26" s="235"/>
      <c r="NHV26" s="235"/>
      <c r="NHW26" s="235"/>
      <c r="NHX26" s="235"/>
      <c r="NHY26" s="235"/>
      <c r="NHZ26" s="235"/>
      <c r="NIA26" s="235"/>
      <c r="NIB26" s="235"/>
      <c r="NIC26" s="235"/>
      <c r="NID26" s="235"/>
      <c r="NIE26" s="235"/>
      <c r="NIF26" s="235"/>
      <c r="NIG26" s="235"/>
      <c r="NIH26" s="235"/>
      <c r="NII26" s="235"/>
      <c r="NIJ26" s="235"/>
      <c r="NIK26" s="235"/>
      <c r="NIL26" s="235"/>
      <c r="NIM26" s="235"/>
      <c r="NIN26" s="235"/>
      <c r="NIO26" s="235"/>
      <c r="NIP26" s="235"/>
      <c r="NIQ26" s="235"/>
      <c r="NIR26" s="235"/>
      <c r="NIS26" s="235"/>
      <c r="NIT26" s="235"/>
      <c r="NIU26" s="235"/>
      <c r="NIV26" s="235"/>
      <c r="NIW26" s="235"/>
      <c r="NIX26" s="235"/>
      <c r="NIY26" s="235"/>
      <c r="NIZ26" s="235"/>
      <c r="NJA26" s="235"/>
      <c r="NJB26" s="235"/>
      <c r="NJC26" s="235"/>
      <c r="NJD26" s="235"/>
      <c r="NJE26" s="235"/>
      <c r="NJF26" s="235"/>
      <c r="NJG26" s="235"/>
      <c r="NJH26" s="235"/>
      <c r="NJI26" s="235"/>
      <c r="NJJ26" s="235"/>
      <c r="NJK26" s="235"/>
      <c r="NJL26" s="235"/>
      <c r="NJM26" s="235"/>
      <c r="NJN26" s="235"/>
      <c r="NJO26" s="235"/>
      <c r="NJP26" s="235"/>
      <c r="NJQ26" s="235"/>
      <c r="NJR26" s="235"/>
      <c r="NJS26" s="235"/>
      <c r="NJT26" s="235"/>
      <c r="NJU26" s="235"/>
      <c r="NJV26" s="235"/>
      <c r="NJW26" s="235"/>
      <c r="NJX26" s="235"/>
      <c r="NJY26" s="235"/>
      <c r="NJZ26" s="235"/>
      <c r="NKA26" s="235"/>
      <c r="NKB26" s="235"/>
      <c r="NKC26" s="235"/>
      <c r="NKD26" s="235"/>
      <c r="NKE26" s="235"/>
      <c r="NKF26" s="235"/>
      <c r="NKG26" s="235"/>
      <c r="NKH26" s="235"/>
      <c r="NKI26" s="235"/>
      <c r="NKJ26" s="235"/>
      <c r="NKK26" s="235"/>
      <c r="NKL26" s="235"/>
      <c r="NKM26" s="235"/>
      <c r="NKN26" s="235"/>
      <c r="NKO26" s="235"/>
      <c r="NKP26" s="235"/>
      <c r="NKQ26" s="235"/>
      <c r="NKR26" s="235"/>
      <c r="NKS26" s="235"/>
      <c r="NKT26" s="235"/>
      <c r="NKU26" s="235"/>
      <c r="NKV26" s="235"/>
      <c r="NKW26" s="235"/>
      <c r="NKX26" s="235"/>
      <c r="NKY26" s="235"/>
      <c r="NKZ26" s="235"/>
      <c r="NLA26" s="235"/>
      <c r="NLB26" s="235"/>
      <c r="NLC26" s="235"/>
      <c r="NLD26" s="235"/>
      <c r="NLE26" s="235"/>
      <c r="NLF26" s="235"/>
      <c r="NLG26" s="235"/>
      <c r="NLH26" s="235"/>
      <c r="NLI26" s="235"/>
      <c r="NLJ26" s="235"/>
      <c r="NLK26" s="235"/>
      <c r="NLL26" s="235"/>
      <c r="NLM26" s="235"/>
      <c r="NLN26" s="235"/>
      <c r="NLO26" s="235"/>
      <c r="NLP26" s="235"/>
      <c r="NLQ26" s="235"/>
      <c r="NLR26" s="235"/>
      <c r="NLS26" s="235"/>
      <c r="NLT26" s="235"/>
      <c r="NLU26" s="235"/>
      <c r="NLV26" s="235"/>
      <c r="NLW26" s="235"/>
      <c r="NLX26" s="235"/>
      <c r="NLY26" s="235"/>
      <c r="NLZ26" s="235"/>
      <c r="NMA26" s="235"/>
      <c r="NMB26" s="235"/>
      <c r="NMC26" s="235"/>
      <c r="NMD26" s="235"/>
      <c r="NME26" s="235"/>
      <c r="NMF26" s="235"/>
      <c r="NMG26" s="235"/>
      <c r="NMH26" s="235"/>
      <c r="NMI26" s="235"/>
      <c r="NMJ26" s="235"/>
      <c r="NMK26" s="235"/>
      <c r="NML26" s="235"/>
      <c r="NMM26" s="235"/>
      <c r="NMN26" s="235"/>
      <c r="NMO26" s="235"/>
      <c r="NMP26" s="235"/>
      <c r="NMQ26" s="235"/>
      <c r="NMR26" s="235"/>
      <c r="NMS26" s="235"/>
      <c r="NMT26" s="235"/>
      <c r="NMU26" s="235"/>
      <c r="NMV26" s="235"/>
      <c r="NMW26" s="235"/>
      <c r="NMX26" s="235"/>
      <c r="NMY26" s="235"/>
      <c r="NMZ26" s="235"/>
      <c r="NNA26" s="235"/>
      <c r="NNB26" s="235"/>
      <c r="NNC26" s="235"/>
      <c r="NND26" s="235"/>
      <c r="NNE26" s="235"/>
      <c r="NNF26" s="235"/>
      <c r="NNG26" s="235"/>
      <c r="NNH26" s="235"/>
      <c r="NNI26" s="235"/>
      <c r="NNJ26" s="235"/>
      <c r="NNK26" s="235"/>
      <c r="NNL26" s="235"/>
      <c r="NNM26" s="235"/>
      <c r="NNN26" s="235"/>
      <c r="NNO26" s="235"/>
      <c r="NNP26" s="235"/>
      <c r="NNQ26" s="235"/>
      <c r="NNR26" s="235"/>
      <c r="NNS26" s="235"/>
      <c r="NNT26" s="235"/>
      <c r="NNU26" s="235"/>
      <c r="NNV26" s="235"/>
      <c r="NNW26" s="235"/>
      <c r="NNX26" s="235"/>
      <c r="NNY26" s="235"/>
      <c r="NNZ26" s="235"/>
      <c r="NOA26" s="235"/>
      <c r="NOB26" s="235"/>
      <c r="NOC26" s="235"/>
      <c r="NOD26" s="235"/>
      <c r="NOE26" s="235"/>
      <c r="NOF26" s="235"/>
      <c r="NOG26" s="235"/>
      <c r="NOH26" s="235"/>
      <c r="NOI26" s="235"/>
      <c r="NOJ26" s="235"/>
      <c r="NOK26" s="235"/>
      <c r="NOL26" s="235"/>
      <c r="NOM26" s="235"/>
      <c r="NON26" s="235"/>
      <c r="NOO26" s="235"/>
      <c r="NOP26" s="235"/>
      <c r="NOQ26" s="235"/>
      <c r="NOR26" s="235"/>
      <c r="NOS26" s="235"/>
      <c r="NOT26" s="235"/>
      <c r="NOU26" s="235"/>
      <c r="NOV26" s="235"/>
      <c r="NOW26" s="235"/>
      <c r="NOX26" s="235"/>
      <c r="NOY26" s="235"/>
      <c r="NOZ26" s="235"/>
      <c r="NPA26" s="235"/>
      <c r="NPB26" s="235"/>
      <c r="NPC26" s="235"/>
      <c r="NPD26" s="235"/>
      <c r="NPE26" s="235"/>
      <c r="NPF26" s="235"/>
      <c r="NPG26" s="235"/>
      <c r="NPH26" s="235"/>
      <c r="NPI26" s="235"/>
      <c r="NPJ26" s="235"/>
      <c r="NPK26" s="235"/>
      <c r="NPL26" s="235"/>
      <c r="NPM26" s="235"/>
      <c r="NPN26" s="235"/>
      <c r="NPO26" s="235"/>
      <c r="NPP26" s="235"/>
      <c r="NPQ26" s="235"/>
      <c r="NPR26" s="235"/>
      <c r="NPS26" s="235"/>
      <c r="NPT26" s="235"/>
      <c r="NPU26" s="235"/>
      <c r="NPV26" s="235"/>
      <c r="NPW26" s="235"/>
      <c r="NPX26" s="235"/>
      <c r="NPY26" s="235"/>
      <c r="NPZ26" s="235"/>
      <c r="NQA26" s="235"/>
      <c r="NQB26" s="235"/>
      <c r="NQC26" s="235"/>
      <c r="NQD26" s="235"/>
      <c r="NQE26" s="235"/>
      <c r="NQF26" s="235"/>
      <c r="NQG26" s="235"/>
      <c r="NQH26" s="235"/>
      <c r="NQI26" s="235"/>
      <c r="NQJ26" s="235"/>
      <c r="NQK26" s="235"/>
      <c r="NQL26" s="235"/>
      <c r="NQM26" s="235"/>
      <c r="NQN26" s="235"/>
      <c r="NQO26" s="235"/>
      <c r="NQP26" s="235"/>
      <c r="NQQ26" s="235"/>
      <c r="NQR26" s="235"/>
      <c r="NQS26" s="235"/>
      <c r="NQT26" s="235"/>
      <c r="NQU26" s="235"/>
      <c r="NQV26" s="235"/>
      <c r="NQW26" s="235"/>
      <c r="NQX26" s="235"/>
      <c r="NQY26" s="235"/>
      <c r="NQZ26" s="235"/>
      <c r="NRA26" s="235"/>
      <c r="NRB26" s="235"/>
      <c r="NRC26" s="235"/>
      <c r="NRD26" s="235"/>
      <c r="NRE26" s="235"/>
      <c r="NRF26" s="235"/>
      <c r="NRG26" s="235"/>
      <c r="NRH26" s="235"/>
      <c r="NRI26" s="235"/>
      <c r="NRJ26" s="235"/>
      <c r="NRK26" s="235"/>
      <c r="NRL26" s="235"/>
      <c r="NRM26" s="235"/>
      <c r="NRN26" s="235"/>
      <c r="NRO26" s="235"/>
      <c r="NRP26" s="235"/>
      <c r="NRQ26" s="235"/>
      <c r="NRR26" s="235"/>
      <c r="NRS26" s="235"/>
      <c r="NRT26" s="235"/>
      <c r="NRU26" s="235"/>
      <c r="NRV26" s="235"/>
      <c r="NRW26" s="235"/>
      <c r="NRX26" s="235"/>
      <c r="NRY26" s="235"/>
      <c r="NRZ26" s="235"/>
      <c r="NSA26" s="235"/>
      <c r="NSB26" s="235"/>
      <c r="NSC26" s="235"/>
      <c r="NSD26" s="235"/>
      <c r="NSE26" s="235"/>
      <c r="NSF26" s="235"/>
      <c r="NSG26" s="235"/>
      <c r="NSH26" s="235"/>
      <c r="NSI26" s="235"/>
      <c r="NSJ26" s="235"/>
      <c r="NSK26" s="235"/>
      <c r="NSL26" s="235"/>
      <c r="NSM26" s="235"/>
      <c r="NSN26" s="235"/>
      <c r="NSO26" s="235"/>
      <c r="NSP26" s="235"/>
      <c r="NSQ26" s="235"/>
      <c r="NSR26" s="235"/>
      <c r="NSS26" s="235"/>
      <c r="NST26" s="235"/>
      <c r="NSU26" s="235"/>
      <c r="NSV26" s="235"/>
      <c r="NSW26" s="235"/>
      <c r="NSX26" s="235"/>
      <c r="NSY26" s="235"/>
      <c r="NSZ26" s="235"/>
      <c r="NTA26" s="235"/>
      <c r="NTB26" s="235"/>
      <c r="NTC26" s="235"/>
      <c r="NTD26" s="235"/>
      <c r="NTE26" s="235"/>
      <c r="NTF26" s="235"/>
      <c r="NTG26" s="235"/>
      <c r="NTH26" s="235"/>
      <c r="NTI26" s="235"/>
      <c r="NTJ26" s="235"/>
      <c r="NTK26" s="235"/>
      <c r="NTL26" s="235"/>
      <c r="NTM26" s="235"/>
      <c r="NTN26" s="235"/>
      <c r="NTO26" s="235"/>
      <c r="NTP26" s="235"/>
      <c r="NTQ26" s="235"/>
      <c r="NTR26" s="235"/>
      <c r="NTS26" s="235"/>
      <c r="NTT26" s="235"/>
      <c r="NTU26" s="235"/>
      <c r="NTV26" s="235"/>
      <c r="NTW26" s="235"/>
      <c r="NTX26" s="235"/>
      <c r="NTY26" s="235"/>
      <c r="NTZ26" s="235"/>
      <c r="NUA26" s="235"/>
      <c r="NUB26" s="235"/>
      <c r="NUC26" s="235"/>
      <c r="NUD26" s="235"/>
      <c r="NUE26" s="235"/>
      <c r="NUF26" s="235"/>
      <c r="NUG26" s="235"/>
      <c r="NUH26" s="235"/>
      <c r="NUI26" s="235"/>
      <c r="NUJ26" s="235"/>
      <c r="NUK26" s="235"/>
      <c r="NUL26" s="235"/>
      <c r="NUM26" s="235"/>
      <c r="NUN26" s="235"/>
      <c r="NUO26" s="235"/>
      <c r="NUP26" s="235"/>
      <c r="NUQ26" s="235"/>
      <c r="NUR26" s="235"/>
      <c r="NUS26" s="235"/>
      <c r="NUT26" s="235"/>
      <c r="NUU26" s="235"/>
      <c r="NUV26" s="235"/>
      <c r="NUW26" s="235"/>
      <c r="NUX26" s="235"/>
      <c r="NUY26" s="235"/>
      <c r="NUZ26" s="235"/>
      <c r="NVA26" s="235"/>
      <c r="NVB26" s="235"/>
      <c r="NVC26" s="235"/>
      <c r="NVD26" s="235"/>
      <c r="NVE26" s="235"/>
      <c r="NVF26" s="235"/>
      <c r="NVG26" s="235"/>
      <c r="NVH26" s="235"/>
      <c r="NVI26" s="235"/>
      <c r="NVJ26" s="235"/>
      <c r="NVK26" s="235"/>
      <c r="NVL26" s="235"/>
      <c r="NVM26" s="235"/>
      <c r="NVN26" s="235"/>
      <c r="NVO26" s="235"/>
      <c r="NVP26" s="235"/>
      <c r="NVQ26" s="235"/>
      <c r="NVR26" s="235"/>
      <c r="NVS26" s="235"/>
      <c r="NVT26" s="235"/>
      <c r="NVU26" s="235"/>
      <c r="NVV26" s="235"/>
      <c r="NVW26" s="235"/>
      <c r="NVX26" s="235"/>
      <c r="NVY26" s="235"/>
      <c r="NVZ26" s="235"/>
      <c r="NWA26" s="235"/>
      <c r="NWB26" s="235"/>
      <c r="NWC26" s="235"/>
      <c r="NWD26" s="235"/>
      <c r="NWE26" s="235"/>
      <c r="NWF26" s="235"/>
      <c r="NWG26" s="235"/>
      <c r="NWH26" s="235"/>
      <c r="NWI26" s="235"/>
      <c r="NWJ26" s="235"/>
      <c r="NWK26" s="235"/>
      <c r="NWL26" s="235"/>
      <c r="NWM26" s="235"/>
      <c r="NWN26" s="235"/>
      <c r="NWO26" s="235"/>
      <c r="NWP26" s="235"/>
      <c r="NWQ26" s="235"/>
      <c r="NWR26" s="235"/>
      <c r="NWS26" s="235"/>
      <c r="NWT26" s="235"/>
      <c r="NWU26" s="235"/>
      <c r="NWV26" s="235"/>
      <c r="NWW26" s="235"/>
      <c r="NWX26" s="235"/>
      <c r="NWY26" s="235"/>
      <c r="NWZ26" s="235"/>
      <c r="NXA26" s="235"/>
      <c r="NXB26" s="235"/>
      <c r="NXC26" s="235"/>
      <c r="NXD26" s="235"/>
      <c r="NXE26" s="235"/>
      <c r="NXF26" s="235"/>
      <c r="NXG26" s="235"/>
      <c r="NXH26" s="235"/>
      <c r="NXI26" s="235"/>
      <c r="NXJ26" s="235"/>
      <c r="NXK26" s="235"/>
      <c r="NXL26" s="235"/>
      <c r="NXM26" s="235"/>
      <c r="NXN26" s="235"/>
      <c r="NXO26" s="235"/>
      <c r="NXP26" s="235"/>
      <c r="NXQ26" s="235"/>
      <c r="NXR26" s="235"/>
      <c r="NXS26" s="235"/>
      <c r="NXT26" s="235"/>
      <c r="NXU26" s="235"/>
      <c r="NXV26" s="235"/>
      <c r="NXW26" s="235"/>
      <c r="NXX26" s="235"/>
      <c r="NXY26" s="235"/>
      <c r="NXZ26" s="235"/>
      <c r="NYA26" s="235"/>
      <c r="NYB26" s="235"/>
      <c r="NYC26" s="235"/>
      <c r="NYD26" s="235"/>
      <c r="NYE26" s="235"/>
      <c r="NYF26" s="235"/>
      <c r="NYG26" s="235"/>
      <c r="NYH26" s="235"/>
      <c r="NYI26" s="235"/>
      <c r="NYJ26" s="235"/>
      <c r="NYK26" s="235"/>
      <c r="NYL26" s="235"/>
      <c r="NYM26" s="235"/>
      <c r="NYN26" s="235"/>
      <c r="NYO26" s="235"/>
      <c r="NYP26" s="235"/>
      <c r="NYQ26" s="235"/>
      <c r="NYR26" s="235"/>
      <c r="NYS26" s="235"/>
      <c r="NYT26" s="235"/>
      <c r="NYU26" s="235"/>
      <c r="NYV26" s="235"/>
      <c r="NYW26" s="235"/>
      <c r="NYX26" s="235"/>
      <c r="NYY26" s="235"/>
      <c r="NYZ26" s="235"/>
      <c r="NZA26" s="235"/>
      <c r="NZB26" s="235"/>
      <c r="NZC26" s="235"/>
      <c r="NZD26" s="235"/>
      <c r="NZE26" s="235"/>
      <c r="NZF26" s="235"/>
      <c r="NZG26" s="235"/>
      <c r="NZH26" s="235"/>
      <c r="NZI26" s="235"/>
      <c r="NZJ26" s="235"/>
      <c r="NZK26" s="235"/>
      <c r="NZL26" s="235"/>
      <c r="NZM26" s="235"/>
      <c r="NZN26" s="235"/>
      <c r="NZO26" s="235"/>
      <c r="NZP26" s="235"/>
      <c r="NZQ26" s="235"/>
      <c r="NZR26" s="235"/>
      <c r="NZS26" s="235"/>
      <c r="NZT26" s="235"/>
      <c r="NZU26" s="235"/>
      <c r="NZV26" s="235"/>
      <c r="NZW26" s="235"/>
      <c r="NZX26" s="235"/>
      <c r="NZY26" s="235"/>
      <c r="NZZ26" s="235"/>
      <c r="OAA26" s="235"/>
      <c r="OAB26" s="235"/>
      <c r="OAC26" s="235"/>
      <c r="OAD26" s="235"/>
      <c r="OAE26" s="235"/>
      <c r="OAF26" s="235"/>
      <c r="OAG26" s="235"/>
      <c r="OAH26" s="235"/>
      <c r="OAI26" s="235"/>
      <c r="OAJ26" s="235"/>
      <c r="OAK26" s="235"/>
      <c r="OAL26" s="235"/>
      <c r="OAM26" s="235"/>
      <c r="OAN26" s="235"/>
      <c r="OAO26" s="235"/>
      <c r="OAP26" s="235"/>
      <c r="OAQ26" s="235"/>
      <c r="OAR26" s="235"/>
      <c r="OAS26" s="235"/>
      <c r="OAT26" s="235"/>
      <c r="OAU26" s="235"/>
      <c r="OAV26" s="235"/>
      <c r="OAW26" s="235"/>
      <c r="OAX26" s="235"/>
      <c r="OAY26" s="235"/>
      <c r="OAZ26" s="235"/>
      <c r="OBA26" s="235"/>
      <c r="OBB26" s="235"/>
      <c r="OBC26" s="235"/>
      <c r="OBD26" s="235"/>
      <c r="OBE26" s="235"/>
      <c r="OBF26" s="235"/>
      <c r="OBG26" s="235"/>
      <c r="OBH26" s="235"/>
      <c r="OBI26" s="235"/>
      <c r="OBJ26" s="235"/>
      <c r="OBK26" s="235"/>
      <c r="OBL26" s="235"/>
      <c r="OBM26" s="235"/>
      <c r="OBN26" s="235"/>
      <c r="OBO26" s="235"/>
      <c r="OBP26" s="235"/>
      <c r="OBQ26" s="235"/>
      <c r="OBR26" s="235"/>
      <c r="OBS26" s="235"/>
      <c r="OBT26" s="235"/>
      <c r="OBU26" s="235"/>
      <c r="OBV26" s="235"/>
      <c r="OBW26" s="235"/>
      <c r="OBX26" s="235"/>
      <c r="OBY26" s="235"/>
      <c r="OBZ26" s="235"/>
      <c r="OCA26" s="235"/>
      <c r="OCB26" s="235"/>
      <c r="OCC26" s="235"/>
      <c r="OCD26" s="235"/>
      <c r="OCE26" s="235"/>
      <c r="OCF26" s="235"/>
      <c r="OCG26" s="235"/>
      <c r="OCH26" s="235"/>
      <c r="OCI26" s="235"/>
      <c r="OCJ26" s="235"/>
      <c r="OCK26" s="235"/>
      <c r="OCL26" s="235"/>
      <c r="OCM26" s="235"/>
      <c r="OCN26" s="235"/>
      <c r="OCO26" s="235"/>
      <c r="OCP26" s="235"/>
      <c r="OCQ26" s="235"/>
      <c r="OCR26" s="235"/>
      <c r="OCS26" s="235"/>
      <c r="OCT26" s="235"/>
      <c r="OCU26" s="235"/>
      <c r="OCV26" s="235"/>
      <c r="OCW26" s="235"/>
      <c r="OCX26" s="235"/>
      <c r="OCY26" s="235"/>
      <c r="OCZ26" s="235"/>
      <c r="ODA26" s="235"/>
      <c r="ODB26" s="235"/>
      <c r="ODC26" s="235"/>
      <c r="ODD26" s="235"/>
      <c r="ODE26" s="235"/>
      <c r="ODF26" s="235"/>
      <c r="ODG26" s="235"/>
      <c r="ODH26" s="235"/>
      <c r="ODI26" s="235"/>
      <c r="ODJ26" s="235"/>
      <c r="ODK26" s="235"/>
      <c r="ODL26" s="235"/>
      <c r="ODM26" s="235"/>
      <c r="ODN26" s="235"/>
      <c r="ODO26" s="235"/>
      <c r="ODP26" s="235"/>
      <c r="ODQ26" s="235"/>
      <c r="ODR26" s="235"/>
      <c r="ODS26" s="235"/>
      <c r="ODT26" s="235"/>
      <c r="ODU26" s="235"/>
      <c r="ODV26" s="235"/>
      <c r="ODW26" s="235"/>
      <c r="ODX26" s="235"/>
      <c r="ODY26" s="235"/>
      <c r="ODZ26" s="235"/>
      <c r="OEA26" s="235"/>
      <c r="OEB26" s="235"/>
      <c r="OEC26" s="235"/>
      <c r="OED26" s="235"/>
      <c r="OEE26" s="235"/>
      <c r="OEF26" s="235"/>
      <c r="OEG26" s="235"/>
      <c r="OEH26" s="235"/>
      <c r="OEI26" s="235"/>
      <c r="OEJ26" s="235"/>
      <c r="OEK26" s="235"/>
      <c r="OEL26" s="235"/>
      <c r="OEM26" s="235"/>
      <c r="OEN26" s="235"/>
      <c r="OEO26" s="235"/>
      <c r="OEP26" s="235"/>
      <c r="OEQ26" s="235"/>
      <c r="OER26" s="235"/>
      <c r="OES26" s="235"/>
      <c r="OET26" s="235"/>
      <c r="OEU26" s="235"/>
      <c r="OEV26" s="235"/>
      <c r="OEW26" s="235"/>
      <c r="OEX26" s="235"/>
      <c r="OEY26" s="235"/>
      <c r="OEZ26" s="235"/>
      <c r="OFA26" s="235"/>
      <c r="OFB26" s="235"/>
      <c r="OFC26" s="235"/>
      <c r="OFD26" s="235"/>
      <c r="OFE26" s="235"/>
      <c r="OFF26" s="235"/>
      <c r="OFG26" s="235"/>
      <c r="OFH26" s="235"/>
      <c r="OFI26" s="235"/>
      <c r="OFJ26" s="235"/>
      <c r="OFK26" s="235"/>
      <c r="OFL26" s="235"/>
      <c r="OFM26" s="235"/>
      <c r="OFN26" s="235"/>
      <c r="OFO26" s="235"/>
      <c r="OFP26" s="235"/>
      <c r="OFQ26" s="235"/>
      <c r="OFR26" s="235"/>
      <c r="OFS26" s="235"/>
      <c r="OFT26" s="235"/>
      <c r="OFU26" s="235"/>
      <c r="OFV26" s="235"/>
      <c r="OFW26" s="235"/>
      <c r="OFX26" s="235"/>
      <c r="OFY26" s="235"/>
      <c r="OFZ26" s="235"/>
      <c r="OGA26" s="235"/>
      <c r="OGB26" s="235"/>
      <c r="OGC26" s="235"/>
      <c r="OGD26" s="235"/>
      <c r="OGE26" s="235"/>
      <c r="OGF26" s="235"/>
      <c r="OGG26" s="235"/>
      <c r="OGH26" s="235"/>
      <c r="OGI26" s="235"/>
      <c r="OGJ26" s="235"/>
      <c r="OGK26" s="235"/>
      <c r="OGL26" s="235"/>
      <c r="OGM26" s="235"/>
      <c r="OGN26" s="235"/>
      <c r="OGO26" s="235"/>
      <c r="OGP26" s="235"/>
      <c r="OGQ26" s="235"/>
      <c r="OGR26" s="235"/>
      <c r="OGS26" s="235"/>
      <c r="OGT26" s="235"/>
      <c r="OGU26" s="235"/>
      <c r="OGV26" s="235"/>
      <c r="OGW26" s="235"/>
      <c r="OGX26" s="235"/>
      <c r="OGY26" s="235"/>
      <c r="OGZ26" s="235"/>
      <c r="OHA26" s="235"/>
      <c r="OHB26" s="235"/>
      <c r="OHC26" s="235"/>
      <c r="OHD26" s="235"/>
      <c r="OHE26" s="235"/>
      <c r="OHF26" s="235"/>
      <c r="OHG26" s="235"/>
      <c r="OHH26" s="235"/>
      <c r="OHI26" s="235"/>
      <c r="OHJ26" s="235"/>
      <c r="OHK26" s="235"/>
      <c r="OHL26" s="235"/>
      <c r="OHM26" s="235"/>
      <c r="OHN26" s="235"/>
      <c r="OHO26" s="235"/>
      <c r="OHP26" s="235"/>
      <c r="OHQ26" s="235"/>
      <c r="OHR26" s="235"/>
      <c r="OHS26" s="235"/>
      <c r="OHT26" s="235"/>
      <c r="OHU26" s="235"/>
      <c r="OHV26" s="235"/>
      <c r="OHW26" s="235"/>
      <c r="OHX26" s="235"/>
      <c r="OHY26" s="235"/>
      <c r="OHZ26" s="235"/>
      <c r="OIA26" s="235"/>
      <c r="OIB26" s="235"/>
      <c r="OIC26" s="235"/>
      <c r="OID26" s="235"/>
      <c r="OIE26" s="235"/>
      <c r="OIF26" s="235"/>
      <c r="OIG26" s="235"/>
      <c r="OIH26" s="235"/>
      <c r="OII26" s="235"/>
      <c r="OIJ26" s="235"/>
      <c r="OIK26" s="235"/>
      <c r="OIL26" s="235"/>
      <c r="OIM26" s="235"/>
      <c r="OIN26" s="235"/>
      <c r="OIO26" s="235"/>
      <c r="OIP26" s="235"/>
      <c r="OIQ26" s="235"/>
      <c r="OIR26" s="235"/>
      <c r="OIS26" s="235"/>
      <c r="OIT26" s="235"/>
      <c r="OIU26" s="235"/>
      <c r="OIV26" s="235"/>
      <c r="OIW26" s="235"/>
      <c r="OIX26" s="235"/>
      <c r="OIY26" s="235"/>
      <c r="OIZ26" s="235"/>
      <c r="OJA26" s="235"/>
      <c r="OJB26" s="235"/>
      <c r="OJC26" s="235"/>
      <c r="OJD26" s="235"/>
      <c r="OJE26" s="235"/>
      <c r="OJF26" s="235"/>
      <c r="OJG26" s="235"/>
      <c r="OJH26" s="235"/>
      <c r="OJI26" s="235"/>
      <c r="OJJ26" s="235"/>
      <c r="OJK26" s="235"/>
      <c r="OJL26" s="235"/>
      <c r="OJM26" s="235"/>
      <c r="OJN26" s="235"/>
      <c r="OJO26" s="235"/>
      <c r="OJP26" s="235"/>
      <c r="OJQ26" s="235"/>
      <c r="OJR26" s="235"/>
      <c r="OJS26" s="235"/>
      <c r="OJT26" s="235"/>
      <c r="OJU26" s="235"/>
      <c r="OJV26" s="235"/>
      <c r="OJW26" s="235"/>
      <c r="OJX26" s="235"/>
      <c r="OJY26" s="235"/>
      <c r="OJZ26" s="235"/>
      <c r="OKA26" s="235"/>
      <c r="OKB26" s="235"/>
      <c r="OKC26" s="235"/>
      <c r="OKD26" s="235"/>
      <c r="OKE26" s="235"/>
      <c r="OKF26" s="235"/>
      <c r="OKG26" s="235"/>
      <c r="OKH26" s="235"/>
      <c r="OKI26" s="235"/>
      <c r="OKJ26" s="235"/>
      <c r="OKK26" s="235"/>
      <c r="OKL26" s="235"/>
      <c r="OKM26" s="235"/>
      <c r="OKN26" s="235"/>
      <c r="OKO26" s="235"/>
      <c r="OKP26" s="235"/>
      <c r="OKQ26" s="235"/>
      <c r="OKR26" s="235"/>
      <c r="OKS26" s="235"/>
      <c r="OKT26" s="235"/>
      <c r="OKU26" s="235"/>
      <c r="OKV26" s="235"/>
      <c r="OKW26" s="235"/>
      <c r="OKX26" s="235"/>
      <c r="OKY26" s="235"/>
      <c r="OKZ26" s="235"/>
      <c r="OLA26" s="235"/>
      <c r="OLB26" s="235"/>
      <c r="OLC26" s="235"/>
      <c r="OLD26" s="235"/>
      <c r="OLE26" s="235"/>
      <c r="OLF26" s="235"/>
      <c r="OLG26" s="235"/>
      <c r="OLH26" s="235"/>
      <c r="OLI26" s="235"/>
      <c r="OLJ26" s="235"/>
      <c r="OLK26" s="235"/>
      <c r="OLL26" s="235"/>
      <c r="OLM26" s="235"/>
      <c r="OLN26" s="235"/>
      <c r="OLO26" s="235"/>
      <c r="OLP26" s="235"/>
      <c r="OLQ26" s="235"/>
      <c r="OLR26" s="235"/>
      <c r="OLS26" s="235"/>
      <c r="OLT26" s="235"/>
      <c r="OLU26" s="235"/>
      <c r="OLV26" s="235"/>
      <c r="OLW26" s="235"/>
      <c r="OLX26" s="235"/>
      <c r="OLY26" s="235"/>
      <c r="OLZ26" s="235"/>
      <c r="OMA26" s="235"/>
      <c r="OMB26" s="235"/>
      <c r="OMC26" s="235"/>
      <c r="OMD26" s="235"/>
      <c r="OME26" s="235"/>
      <c r="OMF26" s="235"/>
      <c r="OMG26" s="235"/>
      <c r="OMH26" s="235"/>
      <c r="OMI26" s="235"/>
      <c r="OMJ26" s="235"/>
      <c r="OMK26" s="235"/>
      <c r="OML26" s="235"/>
      <c r="OMM26" s="235"/>
      <c r="OMN26" s="235"/>
      <c r="OMO26" s="235"/>
      <c r="OMP26" s="235"/>
      <c r="OMQ26" s="235"/>
      <c r="OMR26" s="235"/>
      <c r="OMS26" s="235"/>
      <c r="OMT26" s="235"/>
      <c r="OMU26" s="235"/>
      <c r="OMV26" s="235"/>
      <c r="OMW26" s="235"/>
      <c r="OMX26" s="235"/>
      <c r="OMY26" s="235"/>
      <c r="OMZ26" s="235"/>
      <c r="ONA26" s="235"/>
      <c r="ONB26" s="235"/>
      <c r="ONC26" s="235"/>
      <c r="OND26" s="235"/>
      <c r="ONE26" s="235"/>
      <c r="ONF26" s="235"/>
      <c r="ONG26" s="235"/>
      <c r="ONH26" s="235"/>
      <c r="ONI26" s="235"/>
      <c r="ONJ26" s="235"/>
      <c r="ONK26" s="235"/>
      <c r="ONL26" s="235"/>
      <c r="ONM26" s="235"/>
      <c r="ONN26" s="235"/>
      <c r="ONO26" s="235"/>
      <c r="ONP26" s="235"/>
      <c r="ONQ26" s="235"/>
      <c r="ONR26" s="235"/>
      <c r="ONS26" s="235"/>
      <c r="ONT26" s="235"/>
      <c r="ONU26" s="235"/>
      <c r="ONV26" s="235"/>
      <c r="ONW26" s="235"/>
      <c r="ONX26" s="235"/>
      <c r="ONY26" s="235"/>
      <c r="ONZ26" s="235"/>
      <c r="OOA26" s="235"/>
      <c r="OOB26" s="235"/>
      <c r="OOC26" s="235"/>
      <c r="OOD26" s="235"/>
      <c r="OOE26" s="235"/>
      <c r="OOF26" s="235"/>
      <c r="OOG26" s="235"/>
      <c r="OOH26" s="235"/>
      <c r="OOI26" s="235"/>
      <c r="OOJ26" s="235"/>
      <c r="OOK26" s="235"/>
      <c r="OOL26" s="235"/>
      <c r="OOM26" s="235"/>
      <c r="OON26" s="235"/>
      <c r="OOO26" s="235"/>
      <c r="OOP26" s="235"/>
      <c r="OOQ26" s="235"/>
      <c r="OOR26" s="235"/>
      <c r="OOS26" s="235"/>
      <c r="OOT26" s="235"/>
      <c r="OOU26" s="235"/>
      <c r="OOV26" s="235"/>
      <c r="OOW26" s="235"/>
      <c r="OOX26" s="235"/>
      <c r="OOY26" s="235"/>
      <c r="OOZ26" s="235"/>
      <c r="OPA26" s="235"/>
      <c r="OPB26" s="235"/>
      <c r="OPC26" s="235"/>
      <c r="OPD26" s="235"/>
      <c r="OPE26" s="235"/>
      <c r="OPF26" s="235"/>
      <c r="OPG26" s="235"/>
      <c r="OPH26" s="235"/>
      <c r="OPI26" s="235"/>
      <c r="OPJ26" s="235"/>
      <c r="OPK26" s="235"/>
      <c r="OPL26" s="235"/>
      <c r="OPM26" s="235"/>
      <c r="OPN26" s="235"/>
      <c r="OPO26" s="235"/>
      <c r="OPP26" s="235"/>
      <c r="OPQ26" s="235"/>
      <c r="OPR26" s="235"/>
      <c r="OPS26" s="235"/>
      <c r="OPT26" s="235"/>
      <c r="OPU26" s="235"/>
      <c r="OPV26" s="235"/>
      <c r="OPW26" s="235"/>
      <c r="OPX26" s="235"/>
      <c r="OPY26" s="235"/>
      <c r="OPZ26" s="235"/>
      <c r="OQA26" s="235"/>
      <c r="OQB26" s="235"/>
      <c r="OQC26" s="235"/>
      <c r="OQD26" s="235"/>
      <c r="OQE26" s="235"/>
      <c r="OQF26" s="235"/>
      <c r="OQG26" s="235"/>
      <c r="OQH26" s="235"/>
      <c r="OQI26" s="235"/>
      <c r="OQJ26" s="235"/>
      <c r="OQK26" s="235"/>
      <c r="OQL26" s="235"/>
      <c r="OQM26" s="235"/>
      <c r="OQN26" s="235"/>
      <c r="OQO26" s="235"/>
      <c r="OQP26" s="235"/>
      <c r="OQQ26" s="235"/>
      <c r="OQR26" s="235"/>
      <c r="OQS26" s="235"/>
      <c r="OQT26" s="235"/>
      <c r="OQU26" s="235"/>
      <c r="OQV26" s="235"/>
      <c r="OQW26" s="235"/>
      <c r="OQX26" s="235"/>
      <c r="OQY26" s="235"/>
      <c r="OQZ26" s="235"/>
      <c r="ORA26" s="235"/>
      <c r="ORB26" s="235"/>
      <c r="ORC26" s="235"/>
      <c r="ORD26" s="235"/>
      <c r="ORE26" s="235"/>
      <c r="ORF26" s="235"/>
      <c r="ORG26" s="235"/>
      <c r="ORH26" s="235"/>
      <c r="ORI26" s="235"/>
      <c r="ORJ26" s="235"/>
      <c r="ORK26" s="235"/>
      <c r="ORL26" s="235"/>
      <c r="ORM26" s="235"/>
      <c r="ORN26" s="235"/>
      <c r="ORO26" s="235"/>
      <c r="ORP26" s="235"/>
      <c r="ORQ26" s="235"/>
      <c r="ORR26" s="235"/>
      <c r="ORS26" s="235"/>
      <c r="ORT26" s="235"/>
      <c r="ORU26" s="235"/>
      <c r="ORV26" s="235"/>
      <c r="ORW26" s="235"/>
      <c r="ORX26" s="235"/>
      <c r="ORY26" s="235"/>
      <c r="ORZ26" s="235"/>
      <c r="OSA26" s="235"/>
      <c r="OSB26" s="235"/>
      <c r="OSC26" s="235"/>
      <c r="OSD26" s="235"/>
      <c r="OSE26" s="235"/>
      <c r="OSF26" s="235"/>
      <c r="OSG26" s="235"/>
      <c r="OSH26" s="235"/>
      <c r="OSI26" s="235"/>
      <c r="OSJ26" s="235"/>
      <c r="OSK26" s="235"/>
      <c r="OSL26" s="235"/>
      <c r="OSM26" s="235"/>
      <c r="OSN26" s="235"/>
      <c r="OSO26" s="235"/>
      <c r="OSP26" s="235"/>
      <c r="OSQ26" s="235"/>
      <c r="OSR26" s="235"/>
      <c r="OSS26" s="235"/>
      <c r="OST26" s="235"/>
      <c r="OSU26" s="235"/>
      <c r="OSV26" s="235"/>
      <c r="OSW26" s="235"/>
      <c r="OSX26" s="235"/>
      <c r="OSY26" s="235"/>
      <c r="OSZ26" s="235"/>
      <c r="OTA26" s="235"/>
      <c r="OTB26" s="235"/>
      <c r="OTC26" s="235"/>
      <c r="OTD26" s="235"/>
      <c r="OTE26" s="235"/>
      <c r="OTF26" s="235"/>
      <c r="OTG26" s="235"/>
      <c r="OTH26" s="235"/>
      <c r="OTI26" s="235"/>
      <c r="OTJ26" s="235"/>
      <c r="OTK26" s="235"/>
      <c r="OTL26" s="235"/>
      <c r="OTM26" s="235"/>
      <c r="OTN26" s="235"/>
      <c r="OTO26" s="235"/>
      <c r="OTP26" s="235"/>
      <c r="OTQ26" s="235"/>
      <c r="OTR26" s="235"/>
      <c r="OTS26" s="235"/>
      <c r="OTT26" s="235"/>
      <c r="OTU26" s="235"/>
      <c r="OTV26" s="235"/>
      <c r="OTW26" s="235"/>
      <c r="OTX26" s="235"/>
      <c r="OTY26" s="235"/>
      <c r="OTZ26" s="235"/>
      <c r="OUA26" s="235"/>
      <c r="OUB26" s="235"/>
      <c r="OUC26" s="235"/>
      <c r="OUD26" s="235"/>
      <c r="OUE26" s="235"/>
      <c r="OUF26" s="235"/>
      <c r="OUG26" s="235"/>
      <c r="OUH26" s="235"/>
      <c r="OUI26" s="235"/>
      <c r="OUJ26" s="235"/>
      <c r="OUK26" s="235"/>
      <c r="OUL26" s="235"/>
      <c r="OUM26" s="235"/>
      <c r="OUN26" s="235"/>
      <c r="OUO26" s="235"/>
      <c r="OUP26" s="235"/>
      <c r="OUQ26" s="235"/>
      <c r="OUR26" s="235"/>
      <c r="OUS26" s="235"/>
      <c r="OUT26" s="235"/>
      <c r="OUU26" s="235"/>
      <c r="OUV26" s="235"/>
      <c r="OUW26" s="235"/>
      <c r="OUX26" s="235"/>
      <c r="OUY26" s="235"/>
      <c r="OUZ26" s="235"/>
      <c r="OVA26" s="235"/>
      <c r="OVB26" s="235"/>
      <c r="OVC26" s="235"/>
      <c r="OVD26" s="235"/>
      <c r="OVE26" s="235"/>
      <c r="OVF26" s="235"/>
      <c r="OVG26" s="235"/>
      <c r="OVH26" s="235"/>
      <c r="OVI26" s="235"/>
      <c r="OVJ26" s="235"/>
      <c r="OVK26" s="235"/>
      <c r="OVL26" s="235"/>
      <c r="OVM26" s="235"/>
      <c r="OVN26" s="235"/>
      <c r="OVO26" s="235"/>
      <c r="OVP26" s="235"/>
      <c r="OVQ26" s="235"/>
      <c r="OVR26" s="235"/>
      <c r="OVS26" s="235"/>
      <c r="OVT26" s="235"/>
      <c r="OVU26" s="235"/>
      <c r="OVV26" s="235"/>
      <c r="OVW26" s="235"/>
      <c r="OVX26" s="235"/>
      <c r="OVY26" s="235"/>
      <c r="OVZ26" s="235"/>
      <c r="OWA26" s="235"/>
      <c r="OWB26" s="235"/>
      <c r="OWC26" s="235"/>
      <c r="OWD26" s="235"/>
      <c r="OWE26" s="235"/>
      <c r="OWF26" s="235"/>
      <c r="OWG26" s="235"/>
      <c r="OWH26" s="235"/>
      <c r="OWI26" s="235"/>
      <c r="OWJ26" s="235"/>
      <c r="OWK26" s="235"/>
      <c r="OWL26" s="235"/>
      <c r="OWM26" s="235"/>
      <c r="OWN26" s="235"/>
      <c r="OWO26" s="235"/>
      <c r="OWP26" s="235"/>
      <c r="OWQ26" s="235"/>
      <c r="OWR26" s="235"/>
      <c r="OWS26" s="235"/>
      <c r="OWT26" s="235"/>
      <c r="OWU26" s="235"/>
      <c r="OWV26" s="235"/>
      <c r="OWW26" s="235"/>
      <c r="OWX26" s="235"/>
      <c r="OWY26" s="235"/>
      <c r="OWZ26" s="235"/>
      <c r="OXA26" s="235"/>
      <c r="OXB26" s="235"/>
      <c r="OXC26" s="235"/>
      <c r="OXD26" s="235"/>
      <c r="OXE26" s="235"/>
      <c r="OXF26" s="235"/>
      <c r="OXG26" s="235"/>
      <c r="OXH26" s="235"/>
      <c r="OXI26" s="235"/>
      <c r="OXJ26" s="235"/>
      <c r="OXK26" s="235"/>
      <c r="OXL26" s="235"/>
      <c r="OXM26" s="235"/>
      <c r="OXN26" s="235"/>
      <c r="OXO26" s="235"/>
      <c r="OXP26" s="235"/>
      <c r="OXQ26" s="235"/>
      <c r="OXR26" s="235"/>
      <c r="OXS26" s="235"/>
      <c r="OXT26" s="235"/>
      <c r="OXU26" s="235"/>
      <c r="OXV26" s="235"/>
      <c r="OXW26" s="235"/>
      <c r="OXX26" s="235"/>
      <c r="OXY26" s="235"/>
      <c r="OXZ26" s="235"/>
      <c r="OYA26" s="235"/>
      <c r="OYB26" s="235"/>
      <c r="OYC26" s="235"/>
      <c r="OYD26" s="235"/>
      <c r="OYE26" s="235"/>
      <c r="OYF26" s="235"/>
      <c r="OYG26" s="235"/>
      <c r="OYH26" s="235"/>
      <c r="OYI26" s="235"/>
      <c r="OYJ26" s="235"/>
      <c r="OYK26" s="235"/>
      <c r="OYL26" s="235"/>
      <c r="OYM26" s="235"/>
      <c r="OYN26" s="235"/>
      <c r="OYO26" s="235"/>
      <c r="OYP26" s="235"/>
      <c r="OYQ26" s="235"/>
      <c r="OYR26" s="235"/>
      <c r="OYS26" s="235"/>
      <c r="OYT26" s="235"/>
      <c r="OYU26" s="235"/>
      <c r="OYV26" s="235"/>
      <c r="OYW26" s="235"/>
      <c r="OYX26" s="235"/>
      <c r="OYY26" s="235"/>
      <c r="OYZ26" s="235"/>
      <c r="OZA26" s="235"/>
      <c r="OZB26" s="235"/>
      <c r="OZC26" s="235"/>
      <c r="OZD26" s="235"/>
      <c r="OZE26" s="235"/>
      <c r="OZF26" s="235"/>
      <c r="OZG26" s="235"/>
      <c r="OZH26" s="235"/>
      <c r="OZI26" s="235"/>
      <c r="OZJ26" s="235"/>
      <c r="OZK26" s="235"/>
      <c r="OZL26" s="235"/>
      <c r="OZM26" s="235"/>
      <c r="OZN26" s="235"/>
      <c r="OZO26" s="235"/>
      <c r="OZP26" s="235"/>
      <c r="OZQ26" s="235"/>
      <c r="OZR26" s="235"/>
      <c r="OZS26" s="235"/>
      <c r="OZT26" s="235"/>
      <c r="OZU26" s="235"/>
      <c r="OZV26" s="235"/>
      <c r="OZW26" s="235"/>
      <c r="OZX26" s="235"/>
      <c r="OZY26" s="235"/>
      <c r="OZZ26" s="235"/>
      <c r="PAA26" s="235"/>
      <c r="PAB26" s="235"/>
      <c r="PAC26" s="235"/>
      <c r="PAD26" s="235"/>
      <c r="PAE26" s="235"/>
      <c r="PAF26" s="235"/>
      <c r="PAG26" s="235"/>
      <c r="PAH26" s="235"/>
      <c r="PAI26" s="235"/>
      <c r="PAJ26" s="235"/>
      <c r="PAK26" s="235"/>
      <c r="PAL26" s="235"/>
      <c r="PAM26" s="235"/>
      <c r="PAN26" s="235"/>
      <c r="PAO26" s="235"/>
      <c r="PAP26" s="235"/>
      <c r="PAQ26" s="235"/>
      <c r="PAR26" s="235"/>
      <c r="PAS26" s="235"/>
      <c r="PAT26" s="235"/>
      <c r="PAU26" s="235"/>
      <c r="PAV26" s="235"/>
      <c r="PAW26" s="235"/>
      <c r="PAX26" s="235"/>
      <c r="PAY26" s="235"/>
      <c r="PAZ26" s="235"/>
      <c r="PBA26" s="235"/>
      <c r="PBB26" s="235"/>
      <c r="PBC26" s="235"/>
      <c r="PBD26" s="235"/>
      <c r="PBE26" s="235"/>
      <c r="PBF26" s="235"/>
      <c r="PBG26" s="235"/>
      <c r="PBH26" s="235"/>
      <c r="PBI26" s="235"/>
      <c r="PBJ26" s="235"/>
      <c r="PBK26" s="235"/>
      <c r="PBL26" s="235"/>
      <c r="PBM26" s="235"/>
      <c r="PBN26" s="235"/>
      <c r="PBO26" s="235"/>
      <c r="PBP26" s="235"/>
      <c r="PBQ26" s="235"/>
      <c r="PBR26" s="235"/>
      <c r="PBS26" s="235"/>
      <c r="PBT26" s="235"/>
      <c r="PBU26" s="235"/>
      <c r="PBV26" s="235"/>
      <c r="PBW26" s="235"/>
      <c r="PBX26" s="235"/>
      <c r="PBY26" s="235"/>
      <c r="PBZ26" s="235"/>
      <c r="PCA26" s="235"/>
      <c r="PCB26" s="235"/>
      <c r="PCC26" s="235"/>
      <c r="PCD26" s="235"/>
      <c r="PCE26" s="235"/>
      <c r="PCF26" s="235"/>
      <c r="PCG26" s="235"/>
      <c r="PCH26" s="235"/>
      <c r="PCI26" s="235"/>
      <c r="PCJ26" s="235"/>
      <c r="PCK26" s="235"/>
      <c r="PCL26" s="235"/>
      <c r="PCM26" s="235"/>
      <c r="PCN26" s="235"/>
      <c r="PCO26" s="235"/>
      <c r="PCP26" s="235"/>
      <c r="PCQ26" s="235"/>
      <c r="PCR26" s="235"/>
      <c r="PCS26" s="235"/>
      <c r="PCT26" s="235"/>
      <c r="PCU26" s="235"/>
      <c r="PCV26" s="235"/>
      <c r="PCW26" s="235"/>
      <c r="PCX26" s="235"/>
      <c r="PCY26" s="235"/>
      <c r="PCZ26" s="235"/>
      <c r="PDA26" s="235"/>
      <c r="PDB26" s="235"/>
      <c r="PDC26" s="235"/>
      <c r="PDD26" s="235"/>
      <c r="PDE26" s="235"/>
      <c r="PDF26" s="235"/>
      <c r="PDG26" s="235"/>
      <c r="PDH26" s="235"/>
      <c r="PDI26" s="235"/>
      <c r="PDJ26" s="235"/>
      <c r="PDK26" s="235"/>
      <c r="PDL26" s="235"/>
      <c r="PDM26" s="235"/>
      <c r="PDN26" s="235"/>
      <c r="PDO26" s="235"/>
      <c r="PDP26" s="235"/>
      <c r="PDQ26" s="235"/>
      <c r="PDR26" s="235"/>
      <c r="PDS26" s="235"/>
      <c r="PDT26" s="235"/>
      <c r="PDU26" s="235"/>
      <c r="PDV26" s="235"/>
      <c r="PDW26" s="235"/>
      <c r="PDX26" s="235"/>
      <c r="PDY26" s="235"/>
      <c r="PDZ26" s="235"/>
      <c r="PEA26" s="235"/>
      <c r="PEB26" s="235"/>
      <c r="PEC26" s="235"/>
      <c r="PED26" s="235"/>
      <c r="PEE26" s="235"/>
      <c r="PEF26" s="235"/>
      <c r="PEG26" s="235"/>
      <c r="PEH26" s="235"/>
      <c r="PEI26" s="235"/>
      <c r="PEJ26" s="235"/>
      <c r="PEK26" s="235"/>
      <c r="PEL26" s="235"/>
      <c r="PEM26" s="235"/>
      <c r="PEN26" s="235"/>
      <c r="PEO26" s="235"/>
      <c r="PEP26" s="235"/>
      <c r="PEQ26" s="235"/>
      <c r="PER26" s="235"/>
      <c r="PES26" s="235"/>
      <c r="PET26" s="235"/>
      <c r="PEU26" s="235"/>
      <c r="PEV26" s="235"/>
      <c r="PEW26" s="235"/>
      <c r="PEX26" s="235"/>
      <c r="PEY26" s="235"/>
      <c r="PEZ26" s="235"/>
      <c r="PFA26" s="235"/>
      <c r="PFB26" s="235"/>
      <c r="PFC26" s="235"/>
      <c r="PFD26" s="235"/>
      <c r="PFE26" s="235"/>
      <c r="PFF26" s="235"/>
      <c r="PFG26" s="235"/>
      <c r="PFH26" s="235"/>
      <c r="PFI26" s="235"/>
      <c r="PFJ26" s="235"/>
      <c r="PFK26" s="235"/>
      <c r="PFL26" s="235"/>
      <c r="PFM26" s="235"/>
      <c r="PFN26" s="235"/>
      <c r="PFO26" s="235"/>
      <c r="PFP26" s="235"/>
      <c r="PFQ26" s="235"/>
      <c r="PFR26" s="235"/>
      <c r="PFS26" s="235"/>
      <c r="PFT26" s="235"/>
      <c r="PFU26" s="235"/>
      <c r="PFV26" s="235"/>
      <c r="PFW26" s="235"/>
      <c r="PFX26" s="235"/>
      <c r="PFY26" s="235"/>
      <c r="PFZ26" s="235"/>
      <c r="PGA26" s="235"/>
      <c r="PGB26" s="235"/>
      <c r="PGC26" s="235"/>
      <c r="PGD26" s="235"/>
      <c r="PGE26" s="235"/>
      <c r="PGF26" s="235"/>
      <c r="PGG26" s="235"/>
      <c r="PGH26" s="235"/>
      <c r="PGI26" s="235"/>
      <c r="PGJ26" s="235"/>
      <c r="PGK26" s="235"/>
      <c r="PGL26" s="235"/>
      <c r="PGM26" s="235"/>
      <c r="PGN26" s="235"/>
      <c r="PGO26" s="235"/>
      <c r="PGP26" s="235"/>
      <c r="PGQ26" s="235"/>
      <c r="PGR26" s="235"/>
      <c r="PGS26" s="235"/>
      <c r="PGT26" s="235"/>
      <c r="PGU26" s="235"/>
      <c r="PGV26" s="235"/>
      <c r="PGW26" s="235"/>
      <c r="PGX26" s="235"/>
      <c r="PGY26" s="235"/>
      <c r="PGZ26" s="235"/>
      <c r="PHA26" s="235"/>
      <c r="PHB26" s="235"/>
      <c r="PHC26" s="235"/>
      <c r="PHD26" s="235"/>
      <c r="PHE26" s="235"/>
      <c r="PHF26" s="235"/>
      <c r="PHG26" s="235"/>
      <c r="PHH26" s="235"/>
      <c r="PHI26" s="235"/>
      <c r="PHJ26" s="235"/>
      <c r="PHK26" s="235"/>
      <c r="PHL26" s="235"/>
      <c r="PHM26" s="235"/>
      <c r="PHN26" s="235"/>
      <c r="PHO26" s="235"/>
      <c r="PHP26" s="235"/>
      <c r="PHQ26" s="235"/>
      <c r="PHR26" s="235"/>
      <c r="PHS26" s="235"/>
      <c r="PHT26" s="235"/>
      <c r="PHU26" s="235"/>
      <c r="PHV26" s="235"/>
      <c r="PHW26" s="235"/>
      <c r="PHX26" s="235"/>
      <c r="PHY26" s="235"/>
      <c r="PHZ26" s="235"/>
      <c r="PIA26" s="235"/>
      <c r="PIB26" s="235"/>
      <c r="PIC26" s="235"/>
      <c r="PID26" s="235"/>
      <c r="PIE26" s="235"/>
      <c r="PIF26" s="235"/>
      <c r="PIG26" s="235"/>
      <c r="PIH26" s="235"/>
      <c r="PII26" s="235"/>
      <c r="PIJ26" s="235"/>
      <c r="PIK26" s="235"/>
      <c r="PIL26" s="235"/>
      <c r="PIM26" s="235"/>
      <c r="PIN26" s="235"/>
      <c r="PIO26" s="235"/>
      <c r="PIP26" s="235"/>
      <c r="PIQ26" s="235"/>
      <c r="PIR26" s="235"/>
      <c r="PIS26" s="235"/>
      <c r="PIT26" s="235"/>
      <c r="PIU26" s="235"/>
      <c r="PIV26" s="235"/>
      <c r="PIW26" s="235"/>
      <c r="PIX26" s="235"/>
      <c r="PIY26" s="235"/>
      <c r="PIZ26" s="235"/>
      <c r="PJA26" s="235"/>
      <c r="PJB26" s="235"/>
      <c r="PJC26" s="235"/>
      <c r="PJD26" s="235"/>
      <c r="PJE26" s="235"/>
      <c r="PJF26" s="235"/>
      <c r="PJG26" s="235"/>
      <c r="PJH26" s="235"/>
      <c r="PJI26" s="235"/>
      <c r="PJJ26" s="235"/>
      <c r="PJK26" s="235"/>
      <c r="PJL26" s="235"/>
      <c r="PJM26" s="235"/>
      <c r="PJN26" s="235"/>
      <c r="PJO26" s="235"/>
      <c r="PJP26" s="235"/>
      <c r="PJQ26" s="235"/>
      <c r="PJR26" s="235"/>
      <c r="PJS26" s="235"/>
      <c r="PJT26" s="235"/>
      <c r="PJU26" s="235"/>
      <c r="PJV26" s="235"/>
      <c r="PJW26" s="235"/>
      <c r="PJX26" s="235"/>
      <c r="PJY26" s="235"/>
      <c r="PJZ26" s="235"/>
      <c r="PKA26" s="235"/>
      <c r="PKB26" s="235"/>
      <c r="PKC26" s="235"/>
      <c r="PKD26" s="235"/>
      <c r="PKE26" s="235"/>
      <c r="PKF26" s="235"/>
      <c r="PKG26" s="235"/>
      <c r="PKH26" s="235"/>
      <c r="PKI26" s="235"/>
      <c r="PKJ26" s="235"/>
      <c r="PKK26" s="235"/>
      <c r="PKL26" s="235"/>
      <c r="PKM26" s="235"/>
      <c r="PKN26" s="235"/>
      <c r="PKO26" s="235"/>
      <c r="PKP26" s="235"/>
      <c r="PKQ26" s="235"/>
      <c r="PKR26" s="235"/>
      <c r="PKS26" s="235"/>
      <c r="PKT26" s="235"/>
      <c r="PKU26" s="235"/>
      <c r="PKV26" s="235"/>
      <c r="PKW26" s="235"/>
      <c r="PKX26" s="235"/>
      <c r="PKY26" s="235"/>
      <c r="PKZ26" s="235"/>
      <c r="PLA26" s="235"/>
      <c r="PLB26" s="235"/>
      <c r="PLC26" s="235"/>
      <c r="PLD26" s="235"/>
      <c r="PLE26" s="235"/>
      <c r="PLF26" s="235"/>
      <c r="PLG26" s="235"/>
      <c r="PLH26" s="235"/>
      <c r="PLI26" s="235"/>
      <c r="PLJ26" s="235"/>
      <c r="PLK26" s="235"/>
      <c r="PLL26" s="235"/>
      <c r="PLM26" s="235"/>
      <c r="PLN26" s="235"/>
      <c r="PLO26" s="235"/>
      <c r="PLP26" s="235"/>
      <c r="PLQ26" s="235"/>
      <c r="PLR26" s="235"/>
      <c r="PLS26" s="235"/>
      <c r="PLT26" s="235"/>
      <c r="PLU26" s="235"/>
      <c r="PLV26" s="235"/>
      <c r="PLW26" s="235"/>
      <c r="PLX26" s="235"/>
      <c r="PLY26" s="235"/>
      <c r="PLZ26" s="235"/>
      <c r="PMA26" s="235"/>
      <c r="PMB26" s="235"/>
      <c r="PMC26" s="235"/>
      <c r="PMD26" s="235"/>
      <c r="PME26" s="235"/>
      <c r="PMF26" s="235"/>
      <c r="PMG26" s="235"/>
      <c r="PMH26" s="235"/>
      <c r="PMI26" s="235"/>
      <c r="PMJ26" s="235"/>
      <c r="PMK26" s="235"/>
      <c r="PML26" s="235"/>
      <c r="PMM26" s="235"/>
      <c r="PMN26" s="235"/>
      <c r="PMO26" s="235"/>
      <c r="PMP26" s="235"/>
      <c r="PMQ26" s="235"/>
      <c r="PMR26" s="235"/>
      <c r="PMS26" s="235"/>
      <c r="PMT26" s="235"/>
      <c r="PMU26" s="235"/>
      <c r="PMV26" s="235"/>
      <c r="PMW26" s="235"/>
      <c r="PMX26" s="235"/>
      <c r="PMY26" s="235"/>
      <c r="PMZ26" s="235"/>
      <c r="PNA26" s="235"/>
      <c r="PNB26" s="235"/>
      <c r="PNC26" s="235"/>
      <c r="PND26" s="235"/>
      <c r="PNE26" s="235"/>
      <c r="PNF26" s="235"/>
      <c r="PNG26" s="235"/>
      <c r="PNH26" s="235"/>
      <c r="PNI26" s="235"/>
      <c r="PNJ26" s="235"/>
      <c r="PNK26" s="235"/>
      <c r="PNL26" s="235"/>
      <c r="PNM26" s="235"/>
      <c r="PNN26" s="235"/>
      <c r="PNO26" s="235"/>
      <c r="PNP26" s="235"/>
      <c r="PNQ26" s="235"/>
      <c r="PNR26" s="235"/>
      <c r="PNS26" s="235"/>
      <c r="PNT26" s="235"/>
      <c r="PNU26" s="235"/>
      <c r="PNV26" s="235"/>
      <c r="PNW26" s="235"/>
      <c r="PNX26" s="235"/>
      <c r="PNY26" s="235"/>
      <c r="PNZ26" s="235"/>
      <c r="POA26" s="235"/>
      <c r="POB26" s="235"/>
      <c r="POC26" s="235"/>
      <c r="POD26" s="235"/>
      <c r="POE26" s="235"/>
      <c r="POF26" s="235"/>
      <c r="POG26" s="235"/>
      <c r="POH26" s="235"/>
      <c r="POI26" s="235"/>
      <c r="POJ26" s="235"/>
      <c r="POK26" s="235"/>
      <c r="POL26" s="235"/>
      <c r="POM26" s="235"/>
      <c r="PON26" s="235"/>
      <c r="POO26" s="235"/>
      <c r="POP26" s="235"/>
      <c r="POQ26" s="235"/>
      <c r="POR26" s="235"/>
      <c r="POS26" s="235"/>
      <c r="POT26" s="235"/>
      <c r="POU26" s="235"/>
      <c r="POV26" s="235"/>
      <c r="POW26" s="235"/>
      <c r="POX26" s="235"/>
      <c r="POY26" s="235"/>
      <c r="POZ26" s="235"/>
      <c r="PPA26" s="235"/>
      <c r="PPB26" s="235"/>
      <c r="PPC26" s="235"/>
      <c r="PPD26" s="235"/>
      <c r="PPE26" s="235"/>
      <c r="PPF26" s="235"/>
      <c r="PPG26" s="235"/>
      <c r="PPH26" s="235"/>
      <c r="PPI26" s="235"/>
      <c r="PPJ26" s="235"/>
      <c r="PPK26" s="235"/>
      <c r="PPL26" s="235"/>
      <c r="PPM26" s="235"/>
      <c r="PPN26" s="235"/>
      <c r="PPO26" s="235"/>
      <c r="PPP26" s="235"/>
      <c r="PPQ26" s="235"/>
      <c r="PPR26" s="235"/>
      <c r="PPS26" s="235"/>
      <c r="PPT26" s="235"/>
      <c r="PPU26" s="235"/>
      <c r="PPV26" s="235"/>
      <c r="PPW26" s="235"/>
      <c r="PPX26" s="235"/>
      <c r="PPY26" s="235"/>
      <c r="PPZ26" s="235"/>
      <c r="PQA26" s="235"/>
      <c r="PQB26" s="235"/>
      <c r="PQC26" s="235"/>
      <c r="PQD26" s="235"/>
      <c r="PQE26" s="235"/>
      <c r="PQF26" s="235"/>
      <c r="PQG26" s="235"/>
      <c r="PQH26" s="235"/>
      <c r="PQI26" s="235"/>
      <c r="PQJ26" s="235"/>
      <c r="PQK26" s="235"/>
      <c r="PQL26" s="235"/>
      <c r="PQM26" s="235"/>
      <c r="PQN26" s="235"/>
      <c r="PQO26" s="235"/>
      <c r="PQP26" s="235"/>
      <c r="PQQ26" s="235"/>
      <c r="PQR26" s="235"/>
      <c r="PQS26" s="235"/>
      <c r="PQT26" s="235"/>
      <c r="PQU26" s="235"/>
      <c r="PQV26" s="235"/>
      <c r="PQW26" s="235"/>
      <c r="PQX26" s="235"/>
      <c r="PQY26" s="235"/>
      <c r="PQZ26" s="235"/>
      <c r="PRA26" s="235"/>
      <c r="PRB26" s="235"/>
      <c r="PRC26" s="235"/>
      <c r="PRD26" s="235"/>
      <c r="PRE26" s="235"/>
      <c r="PRF26" s="235"/>
      <c r="PRG26" s="235"/>
      <c r="PRH26" s="235"/>
      <c r="PRI26" s="235"/>
      <c r="PRJ26" s="235"/>
      <c r="PRK26" s="235"/>
      <c r="PRL26" s="235"/>
      <c r="PRM26" s="235"/>
      <c r="PRN26" s="235"/>
      <c r="PRO26" s="235"/>
      <c r="PRP26" s="235"/>
      <c r="PRQ26" s="235"/>
      <c r="PRR26" s="235"/>
      <c r="PRS26" s="235"/>
      <c r="PRT26" s="235"/>
      <c r="PRU26" s="235"/>
      <c r="PRV26" s="235"/>
      <c r="PRW26" s="235"/>
      <c r="PRX26" s="235"/>
      <c r="PRY26" s="235"/>
      <c r="PRZ26" s="235"/>
      <c r="PSA26" s="235"/>
      <c r="PSB26" s="235"/>
      <c r="PSC26" s="235"/>
      <c r="PSD26" s="235"/>
      <c r="PSE26" s="235"/>
      <c r="PSF26" s="235"/>
      <c r="PSG26" s="235"/>
      <c r="PSH26" s="235"/>
      <c r="PSI26" s="235"/>
      <c r="PSJ26" s="235"/>
      <c r="PSK26" s="235"/>
      <c r="PSL26" s="235"/>
      <c r="PSM26" s="235"/>
      <c r="PSN26" s="235"/>
      <c r="PSO26" s="235"/>
      <c r="PSP26" s="235"/>
      <c r="PSQ26" s="235"/>
      <c r="PSR26" s="235"/>
      <c r="PSS26" s="235"/>
      <c r="PST26" s="235"/>
      <c r="PSU26" s="235"/>
      <c r="PSV26" s="235"/>
      <c r="PSW26" s="235"/>
      <c r="PSX26" s="235"/>
      <c r="PSY26" s="235"/>
      <c r="PSZ26" s="235"/>
      <c r="PTA26" s="235"/>
      <c r="PTB26" s="235"/>
      <c r="PTC26" s="235"/>
      <c r="PTD26" s="235"/>
      <c r="PTE26" s="235"/>
      <c r="PTF26" s="235"/>
      <c r="PTG26" s="235"/>
      <c r="PTH26" s="235"/>
      <c r="PTI26" s="235"/>
      <c r="PTJ26" s="235"/>
      <c r="PTK26" s="235"/>
      <c r="PTL26" s="235"/>
      <c r="PTM26" s="235"/>
      <c r="PTN26" s="235"/>
      <c r="PTO26" s="235"/>
      <c r="PTP26" s="235"/>
      <c r="PTQ26" s="235"/>
      <c r="PTR26" s="235"/>
      <c r="PTS26" s="235"/>
      <c r="PTT26" s="235"/>
      <c r="PTU26" s="235"/>
      <c r="PTV26" s="235"/>
      <c r="PTW26" s="235"/>
      <c r="PTX26" s="235"/>
      <c r="PTY26" s="235"/>
      <c r="PTZ26" s="235"/>
      <c r="PUA26" s="235"/>
      <c r="PUB26" s="235"/>
      <c r="PUC26" s="235"/>
      <c r="PUD26" s="235"/>
      <c r="PUE26" s="235"/>
      <c r="PUF26" s="235"/>
      <c r="PUG26" s="235"/>
      <c r="PUH26" s="235"/>
      <c r="PUI26" s="235"/>
      <c r="PUJ26" s="235"/>
      <c r="PUK26" s="235"/>
      <c r="PUL26" s="235"/>
      <c r="PUM26" s="235"/>
      <c r="PUN26" s="235"/>
      <c r="PUO26" s="235"/>
      <c r="PUP26" s="235"/>
      <c r="PUQ26" s="235"/>
      <c r="PUR26" s="235"/>
      <c r="PUS26" s="235"/>
      <c r="PUT26" s="235"/>
      <c r="PUU26" s="235"/>
      <c r="PUV26" s="235"/>
      <c r="PUW26" s="235"/>
      <c r="PUX26" s="235"/>
      <c r="PUY26" s="235"/>
      <c r="PUZ26" s="235"/>
      <c r="PVA26" s="235"/>
      <c r="PVB26" s="235"/>
      <c r="PVC26" s="235"/>
      <c r="PVD26" s="235"/>
      <c r="PVE26" s="235"/>
      <c r="PVF26" s="235"/>
      <c r="PVG26" s="235"/>
      <c r="PVH26" s="235"/>
      <c r="PVI26" s="235"/>
      <c r="PVJ26" s="235"/>
      <c r="PVK26" s="235"/>
      <c r="PVL26" s="235"/>
      <c r="PVM26" s="235"/>
      <c r="PVN26" s="235"/>
      <c r="PVO26" s="235"/>
      <c r="PVP26" s="235"/>
      <c r="PVQ26" s="235"/>
      <c r="PVR26" s="235"/>
      <c r="PVS26" s="235"/>
      <c r="PVT26" s="235"/>
      <c r="PVU26" s="235"/>
      <c r="PVV26" s="235"/>
      <c r="PVW26" s="235"/>
      <c r="PVX26" s="235"/>
      <c r="PVY26" s="235"/>
      <c r="PVZ26" s="235"/>
      <c r="PWA26" s="235"/>
      <c r="PWB26" s="235"/>
      <c r="PWC26" s="235"/>
      <c r="PWD26" s="235"/>
      <c r="PWE26" s="235"/>
      <c r="PWF26" s="235"/>
      <c r="PWG26" s="235"/>
      <c r="PWH26" s="235"/>
      <c r="PWI26" s="235"/>
      <c r="PWJ26" s="235"/>
      <c r="PWK26" s="235"/>
      <c r="PWL26" s="235"/>
      <c r="PWM26" s="235"/>
      <c r="PWN26" s="235"/>
      <c r="PWO26" s="235"/>
      <c r="PWP26" s="235"/>
      <c r="PWQ26" s="235"/>
      <c r="PWR26" s="235"/>
      <c r="PWS26" s="235"/>
      <c r="PWT26" s="235"/>
      <c r="PWU26" s="235"/>
      <c r="PWV26" s="235"/>
      <c r="PWW26" s="235"/>
      <c r="PWX26" s="235"/>
      <c r="PWY26" s="235"/>
      <c r="PWZ26" s="235"/>
      <c r="PXA26" s="235"/>
      <c r="PXB26" s="235"/>
      <c r="PXC26" s="235"/>
      <c r="PXD26" s="235"/>
      <c r="PXE26" s="235"/>
      <c r="PXF26" s="235"/>
      <c r="PXG26" s="235"/>
      <c r="PXH26" s="235"/>
      <c r="PXI26" s="235"/>
      <c r="PXJ26" s="235"/>
      <c r="PXK26" s="235"/>
      <c r="PXL26" s="235"/>
      <c r="PXM26" s="235"/>
      <c r="PXN26" s="235"/>
      <c r="PXO26" s="235"/>
      <c r="PXP26" s="235"/>
      <c r="PXQ26" s="235"/>
      <c r="PXR26" s="235"/>
      <c r="PXS26" s="235"/>
      <c r="PXT26" s="235"/>
      <c r="PXU26" s="235"/>
      <c r="PXV26" s="235"/>
      <c r="PXW26" s="235"/>
      <c r="PXX26" s="235"/>
      <c r="PXY26" s="235"/>
      <c r="PXZ26" s="235"/>
      <c r="PYA26" s="235"/>
      <c r="PYB26" s="235"/>
      <c r="PYC26" s="235"/>
      <c r="PYD26" s="235"/>
      <c r="PYE26" s="235"/>
      <c r="PYF26" s="235"/>
      <c r="PYG26" s="235"/>
      <c r="PYH26" s="235"/>
      <c r="PYI26" s="235"/>
      <c r="PYJ26" s="235"/>
      <c r="PYK26" s="235"/>
      <c r="PYL26" s="235"/>
      <c r="PYM26" s="235"/>
      <c r="PYN26" s="235"/>
      <c r="PYO26" s="235"/>
      <c r="PYP26" s="235"/>
      <c r="PYQ26" s="235"/>
      <c r="PYR26" s="235"/>
      <c r="PYS26" s="235"/>
      <c r="PYT26" s="235"/>
      <c r="PYU26" s="235"/>
      <c r="PYV26" s="235"/>
      <c r="PYW26" s="235"/>
      <c r="PYX26" s="235"/>
      <c r="PYY26" s="235"/>
      <c r="PYZ26" s="235"/>
      <c r="PZA26" s="235"/>
      <c r="PZB26" s="235"/>
      <c r="PZC26" s="235"/>
      <c r="PZD26" s="235"/>
      <c r="PZE26" s="235"/>
      <c r="PZF26" s="235"/>
      <c r="PZG26" s="235"/>
      <c r="PZH26" s="235"/>
      <c r="PZI26" s="235"/>
      <c r="PZJ26" s="235"/>
      <c r="PZK26" s="235"/>
      <c r="PZL26" s="235"/>
      <c r="PZM26" s="235"/>
      <c r="PZN26" s="235"/>
      <c r="PZO26" s="235"/>
      <c r="PZP26" s="235"/>
      <c r="PZQ26" s="235"/>
      <c r="PZR26" s="235"/>
      <c r="PZS26" s="235"/>
      <c r="PZT26" s="235"/>
      <c r="PZU26" s="235"/>
      <c r="PZV26" s="235"/>
      <c r="PZW26" s="235"/>
      <c r="PZX26" s="235"/>
      <c r="PZY26" s="235"/>
      <c r="PZZ26" s="235"/>
      <c r="QAA26" s="235"/>
      <c r="QAB26" s="235"/>
      <c r="QAC26" s="235"/>
      <c r="QAD26" s="235"/>
      <c r="QAE26" s="235"/>
      <c r="QAF26" s="235"/>
      <c r="QAG26" s="235"/>
      <c r="QAH26" s="235"/>
      <c r="QAI26" s="235"/>
      <c r="QAJ26" s="235"/>
      <c r="QAK26" s="235"/>
      <c r="QAL26" s="235"/>
      <c r="QAM26" s="235"/>
      <c r="QAN26" s="235"/>
      <c r="QAO26" s="235"/>
      <c r="QAP26" s="235"/>
      <c r="QAQ26" s="235"/>
      <c r="QAR26" s="235"/>
      <c r="QAS26" s="235"/>
      <c r="QAT26" s="235"/>
      <c r="QAU26" s="235"/>
      <c r="QAV26" s="235"/>
      <c r="QAW26" s="235"/>
      <c r="QAX26" s="235"/>
      <c r="QAY26" s="235"/>
      <c r="QAZ26" s="235"/>
      <c r="QBA26" s="235"/>
      <c r="QBB26" s="235"/>
      <c r="QBC26" s="235"/>
      <c r="QBD26" s="235"/>
      <c r="QBE26" s="235"/>
      <c r="QBF26" s="235"/>
      <c r="QBG26" s="235"/>
      <c r="QBH26" s="235"/>
      <c r="QBI26" s="235"/>
      <c r="QBJ26" s="235"/>
      <c r="QBK26" s="235"/>
      <c r="QBL26" s="235"/>
      <c r="QBM26" s="235"/>
      <c r="QBN26" s="235"/>
      <c r="QBO26" s="235"/>
      <c r="QBP26" s="235"/>
      <c r="QBQ26" s="235"/>
      <c r="QBR26" s="235"/>
      <c r="QBS26" s="235"/>
      <c r="QBT26" s="235"/>
      <c r="QBU26" s="235"/>
      <c r="QBV26" s="235"/>
      <c r="QBW26" s="235"/>
      <c r="QBX26" s="235"/>
      <c r="QBY26" s="235"/>
      <c r="QBZ26" s="235"/>
      <c r="QCA26" s="235"/>
      <c r="QCB26" s="235"/>
      <c r="QCC26" s="235"/>
      <c r="QCD26" s="235"/>
      <c r="QCE26" s="235"/>
      <c r="QCF26" s="235"/>
      <c r="QCG26" s="235"/>
      <c r="QCH26" s="235"/>
      <c r="QCI26" s="235"/>
      <c r="QCJ26" s="235"/>
      <c r="QCK26" s="235"/>
      <c r="QCL26" s="235"/>
      <c r="QCM26" s="235"/>
      <c r="QCN26" s="235"/>
      <c r="QCO26" s="235"/>
      <c r="QCP26" s="235"/>
      <c r="QCQ26" s="235"/>
      <c r="QCR26" s="235"/>
      <c r="QCS26" s="235"/>
      <c r="QCT26" s="235"/>
      <c r="QCU26" s="235"/>
      <c r="QCV26" s="235"/>
      <c r="QCW26" s="235"/>
      <c r="QCX26" s="235"/>
      <c r="QCY26" s="235"/>
      <c r="QCZ26" s="235"/>
      <c r="QDA26" s="235"/>
      <c r="QDB26" s="235"/>
      <c r="QDC26" s="235"/>
      <c r="QDD26" s="235"/>
      <c r="QDE26" s="235"/>
      <c r="QDF26" s="235"/>
      <c r="QDG26" s="235"/>
      <c r="QDH26" s="235"/>
      <c r="QDI26" s="235"/>
      <c r="QDJ26" s="235"/>
      <c r="QDK26" s="235"/>
      <c r="QDL26" s="235"/>
      <c r="QDM26" s="235"/>
      <c r="QDN26" s="235"/>
      <c r="QDO26" s="235"/>
      <c r="QDP26" s="235"/>
      <c r="QDQ26" s="235"/>
      <c r="QDR26" s="235"/>
      <c r="QDS26" s="235"/>
      <c r="QDT26" s="235"/>
      <c r="QDU26" s="235"/>
      <c r="QDV26" s="235"/>
      <c r="QDW26" s="235"/>
      <c r="QDX26" s="235"/>
      <c r="QDY26" s="235"/>
      <c r="QDZ26" s="235"/>
      <c r="QEA26" s="235"/>
      <c r="QEB26" s="235"/>
      <c r="QEC26" s="235"/>
      <c r="QED26" s="235"/>
      <c r="QEE26" s="235"/>
      <c r="QEF26" s="235"/>
      <c r="QEG26" s="235"/>
      <c r="QEH26" s="235"/>
      <c r="QEI26" s="235"/>
      <c r="QEJ26" s="235"/>
      <c r="QEK26" s="235"/>
      <c r="QEL26" s="235"/>
      <c r="QEM26" s="235"/>
      <c r="QEN26" s="235"/>
      <c r="QEO26" s="235"/>
      <c r="QEP26" s="235"/>
      <c r="QEQ26" s="235"/>
      <c r="QER26" s="235"/>
      <c r="QES26" s="235"/>
      <c r="QET26" s="235"/>
      <c r="QEU26" s="235"/>
      <c r="QEV26" s="235"/>
      <c r="QEW26" s="235"/>
      <c r="QEX26" s="235"/>
      <c r="QEY26" s="235"/>
      <c r="QEZ26" s="235"/>
      <c r="QFA26" s="235"/>
      <c r="QFB26" s="235"/>
      <c r="QFC26" s="235"/>
      <c r="QFD26" s="235"/>
      <c r="QFE26" s="235"/>
      <c r="QFF26" s="235"/>
      <c r="QFG26" s="235"/>
      <c r="QFH26" s="235"/>
      <c r="QFI26" s="235"/>
      <c r="QFJ26" s="235"/>
      <c r="QFK26" s="235"/>
      <c r="QFL26" s="235"/>
      <c r="QFM26" s="235"/>
      <c r="QFN26" s="235"/>
      <c r="QFO26" s="235"/>
      <c r="QFP26" s="235"/>
      <c r="QFQ26" s="235"/>
      <c r="QFR26" s="235"/>
      <c r="QFS26" s="235"/>
      <c r="QFT26" s="235"/>
      <c r="QFU26" s="235"/>
      <c r="QFV26" s="235"/>
      <c r="QFW26" s="235"/>
      <c r="QFX26" s="235"/>
      <c r="QFY26" s="235"/>
      <c r="QFZ26" s="235"/>
      <c r="QGA26" s="235"/>
      <c r="QGB26" s="235"/>
      <c r="QGC26" s="235"/>
      <c r="QGD26" s="235"/>
      <c r="QGE26" s="235"/>
      <c r="QGF26" s="235"/>
      <c r="QGG26" s="235"/>
      <c r="QGH26" s="235"/>
      <c r="QGI26" s="235"/>
      <c r="QGJ26" s="235"/>
      <c r="QGK26" s="235"/>
      <c r="QGL26" s="235"/>
      <c r="QGM26" s="235"/>
      <c r="QGN26" s="235"/>
      <c r="QGO26" s="235"/>
      <c r="QGP26" s="235"/>
      <c r="QGQ26" s="235"/>
      <c r="QGR26" s="235"/>
      <c r="QGS26" s="235"/>
      <c r="QGT26" s="235"/>
      <c r="QGU26" s="235"/>
      <c r="QGV26" s="235"/>
      <c r="QGW26" s="235"/>
      <c r="QGX26" s="235"/>
      <c r="QGY26" s="235"/>
      <c r="QGZ26" s="235"/>
      <c r="QHA26" s="235"/>
      <c r="QHB26" s="235"/>
      <c r="QHC26" s="235"/>
      <c r="QHD26" s="235"/>
      <c r="QHE26" s="235"/>
      <c r="QHF26" s="235"/>
      <c r="QHG26" s="235"/>
      <c r="QHH26" s="235"/>
      <c r="QHI26" s="235"/>
      <c r="QHJ26" s="235"/>
      <c r="QHK26" s="235"/>
      <c r="QHL26" s="235"/>
      <c r="QHM26" s="235"/>
      <c r="QHN26" s="235"/>
      <c r="QHO26" s="235"/>
      <c r="QHP26" s="235"/>
      <c r="QHQ26" s="235"/>
      <c r="QHR26" s="235"/>
      <c r="QHS26" s="235"/>
      <c r="QHT26" s="235"/>
      <c r="QHU26" s="235"/>
      <c r="QHV26" s="235"/>
      <c r="QHW26" s="235"/>
      <c r="QHX26" s="235"/>
      <c r="QHY26" s="235"/>
      <c r="QHZ26" s="235"/>
      <c r="QIA26" s="235"/>
      <c r="QIB26" s="235"/>
      <c r="QIC26" s="235"/>
      <c r="QID26" s="235"/>
      <c r="QIE26" s="235"/>
      <c r="QIF26" s="235"/>
      <c r="QIG26" s="235"/>
      <c r="QIH26" s="235"/>
      <c r="QII26" s="235"/>
      <c r="QIJ26" s="235"/>
      <c r="QIK26" s="235"/>
      <c r="QIL26" s="235"/>
      <c r="QIM26" s="235"/>
      <c r="QIN26" s="235"/>
      <c r="QIO26" s="235"/>
      <c r="QIP26" s="235"/>
      <c r="QIQ26" s="235"/>
      <c r="QIR26" s="235"/>
      <c r="QIS26" s="235"/>
      <c r="QIT26" s="235"/>
      <c r="QIU26" s="235"/>
      <c r="QIV26" s="235"/>
      <c r="QIW26" s="235"/>
      <c r="QIX26" s="235"/>
      <c r="QIY26" s="235"/>
      <c r="QIZ26" s="235"/>
      <c r="QJA26" s="235"/>
      <c r="QJB26" s="235"/>
      <c r="QJC26" s="235"/>
      <c r="QJD26" s="235"/>
      <c r="QJE26" s="235"/>
      <c r="QJF26" s="235"/>
      <c r="QJG26" s="235"/>
      <c r="QJH26" s="235"/>
      <c r="QJI26" s="235"/>
      <c r="QJJ26" s="235"/>
      <c r="QJK26" s="235"/>
      <c r="QJL26" s="235"/>
      <c r="QJM26" s="235"/>
      <c r="QJN26" s="235"/>
      <c r="QJO26" s="235"/>
      <c r="QJP26" s="235"/>
      <c r="QJQ26" s="235"/>
      <c r="QJR26" s="235"/>
      <c r="QJS26" s="235"/>
      <c r="QJT26" s="235"/>
      <c r="QJU26" s="235"/>
      <c r="QJV26" s="235"/>
      <c r="QJW26" s="235"/>
      <c r="QJX26" s="235"/>
      <c r="QJY26" s="235"/>
      <c r="QJZ26" s="235"/>
      <c r="QKA26" s="235"/>
      <c r="QKB26" s="235"/>
      <c r="QKC26" s="235"/>
      <c r="QKD26" s="235"/>
      <c r="QKE26" s="235"/>
      <c r="QKF26" s="235"/>
      <c r="QKG26" s="235"/>
      <c r="QKH26" s="235"/>
      <c r="QKI26" s="235"/>
      <c r="QKJ26" s="235"/>
      <c r="QKK26" s="235"/>
      <c r="QKL26" s="235"/>
      <c r="QKM26" s="235"/>
      <c r="QKN26" s="235"/>
      <c r="QKO26" s="235"/>
      <c r="QKP26" s="235"/>
      <c r="QKQ26" s="235"/>
      <c r="QKR26" s="235"/>
      <c r="QKS26" s="235"/>
      <c r="QKT26" s="235"/>
      <c r="QKU26" s="235"/>
      <c r="QKV26" s="235"/>
      <c r="QKW26" s="235"/>
      <c r="QKX26" s="235"/>
      <c r="QKY26" s="235"/>
      <c r="QKZ26" s="235"/>
      <c r="QLA26" s="235"/>
      <c r="QLB26" s="235"/>
      <c r="QLC26" s="235"/>
      <c r="QLD26" s="235"/>
      <c r="QLE26" s="235"/>
      <c r="QLF26" s="235"/>
      <c r="QLG26" s="235"/>
      <c r="QLH26" s="235"/>
      <c r="QLI26" s="235"/>
      <c r="QLJ26" s="235"/>
      <c r="QLK26" s="235"/>
      <c r="QLL26" s="235"/>
      <c r="QLM26" s="235"/>
      <c r="QLN26" s="235"/>
      <c r="QLO26" s="235"/>
      <c r="QLP26" s="235"/>
      <c r="QLQ26" s="235"/>
      <c r="QLR26" s="235"/>
      <c r="QLS26" s="235"/>
      <c r="QLT26" s="235"/>
      <c r="QLU26" s="235"/>
      <c r="QLV26" s="235"/>
      <c r="QLW26" s="235"/>
      <c r="QLX26" s="235"/>
      <c r="QLY26" s="235"/>
      <c r="QLZ26" s="235"/>
      <c r="QMA26" s="235"/>
      <c r="QMB26" s="235"/>
      <c r="QMC26" s="235"/>
      <c r="QMD26" s="235"/>
      <c r="QME26" s="235"/>
      <c r="QMF26" s="235"/>
      <c r="QMG26" s="235"/>
      <c r="QMH26" s="235"/>
      <c r="QMI26" s="235"/>
      <c r="QMJ26" s="235"/>
      <c r="QMK26" s="235"/>
      <c r="QML26" s="235"/>
      <c r="QMM26" s="235"/>
      <c r="QMN26" s="235"/>
      <c r="QMO26" s="235"/>
      <c r="QMP26" s="235"/>
      <c r="QMQ26" s="235"/>
      <c r="QMR26" s="235"/>
      <c r="QMS26" s="235"/>
      <c r="QMT26" s="235"/>
      <c r="QMU26" s="235"/>
      <c r="QMV26" s="235"/>
      <c r="QMW26" s="235"/>
      <c r="QMX26" s="235"/>
      <c r="QMY26" s="235"/>
      <c r="QMZ26" s="235"/>
      <c r="QNA26" s="235"/>
      <c r="QNB26" s="235"/>
      <c r="QNC26" s="235"/>
      <c r="QND26" s="235"/>
      <c r="QNE26" s="235"/>
      <c r="QNF26" s="235"/>
      <c r="QNG26" s="235"/>
      <c r="QNH26" s="235"/>
      <c r="QNI26" s="235"/>
      <c r="QNJ26" s="235"/>
      <c r="QNK26" s="235"/>
      <c r="QNL26" s="235"/>
      <c r="QNM26" s="235"/>
      <c r="QNN26" s="235"/>
      <c r="QNO26" s="235"/>
      <c r="QNP26" s="235"/>
      <c r="QNQ26" s="235"/>
      <c r="QNR26" s="235"/>
      <c r="QNS26" s="235"/>
      <c r="QNT26" s="235"/>
      <c r="QNU26" s="235"/>
      <c r="QNV26" s="235"/>
      <c r="QNW26" s="235"/>
      <c r="QNX26" s="235"/>
      <c r="QNY26" s="235"/>
      <c r="QNZ26" s="235"/>
      <c r="QOA26" s="235"/>
      <c r="QOB26" s="235"/>
      <c r="QOC26" s="235"/>
      <c r="QOD26" s="235"/>
      <c r="QOE26" s="235"/>
      <c r="QOF26" s="235"/>
      <c r="QOG26" s="235"/>
      <c r="QOH26" s="235"/>
      <c r="QOI26" s="235"/>
      <c r="QOJ26" s="235"/>
      <c r="QOK26" s="235"/>
      <c r="QOL26" s="235"/>
      <c r="QOM26" s="235"/>
      <c r="QON26" s="235"/>
      <c r="QOO26" s="235"/>
      <c r="QOP26" s="235"/>
      <c r="QOQ26" s="235"/>
      <c r="QOR26" s="235"/>
      <c r="QOS26" s="235"/>
      <c r="QOT26" s="235"/>
      <c r="QOU26" s="235"/>
      <c r="QOV26" s="235"/>
      <c r="QOW26" s="235"/>
      <c r="QOX26" s="235"/>
      <c r="QOY26" s="235"/>
      <c r="QOZ26" s="235"/>
      <c r="QPA26" s="235"/>
      <c r="QPB26" s="235"/>
      <c r="QPC26" s="235"/>
      <c r="QPD26" s="235"/>
      <c r="QPE26" s="235"/>
      <c r="QPF26" s="235"/>
      <c r="QPG26" s="235"/>
      <c r="QPH26" s="235"/>
      <c r="QPI26" s="235"/>
      <c r="QPJ26" s="235"/>
      <c r="QPK26" s="235"/>
      <c r="QPL26" s="235"/>
      <c r="QPM26" s="235"/>
      <c r="QPN26" s="235"/>
      <c r="QPO26" s="235"/>
      <c r="QPP26" s="235"/>
      <c r="QPQ26" s="235"/>
      <c r="QPR26" s="235"/>
      <c r="QPS26" s="235"/>
      <c r="QPT26" s="235"/>
      <c r="QPU26" s="235"/>
      <c r="QPV26" s="235"/>
      <c r="QPW26" s="235"/>
      <c r="QPX26" s="235"/>
      <c r="QPY26" s="235"/>
      <c r="QPZ26" s="235"/>
      <c r="QQA26" s="235"/>
      <c r="QQB26" s="235"/>
      <c r="QQC26" s="235"/>
      <c r="QQD26" s="235"/>
      <c r="QQE26" s="235"/>
      <c r="QQF26" s="235"/>
      <c r="QQG26" s="235"/>
      <c r="QQH26" s="235"/>
      <c r="QQI26" s="235"/>
      <c r="QQJ26" s="235"/>
      <c r="QQK26" s="235"/>
      <c r="QQL26" s="235"/>
      <c r="QQM26" s="235"/>
      <c r="QQN26" s="235"/>
      <c r="QQO26" s="235"/>
      <c r="QQP26" s="235"/>
      <c r="QQQ26" s="235"/>
      <c r="QQR26" s="235"/>
      <c r="QQS26" s="235"/>
      <c r="QQT26" s="235"/>
      <c r="QQU26" s="235"/>
      <c r="QQV26" s="235"/>
      <c r="QQW26" s="235"/>
      <c r="QQX26" s="235"/>
      <c r="QQY26" s="235"/>
      <c r="QQZ26" s="235"/>
      <c r="QRA26" s="235"/>
      <c r="QRB26" s="235"/>
      <c r="QRC26" s="235"/>
      <c r="QRD26" s="235"/>
      <c r="QRE26" s="235"/>
      <c r="QRF26" s="235"/>
      <c r="QRG26" s="235"/>
      <c r="QRH26" s="235"/>
      <c r="QRI26" s="235"/>
      <c r="QRJ26" s="235"/>
      <c r="QRK26" s="235"/>
      <c r="QRL26" s="235"/>
      <c r="QRM26" s="235"/>
      <c r="QRN26" s="235"/>
      <c r="QRO26" s="235"/>
      <c r="QRP26" s="235"/>
      <c r="QRQ26" s="235"/>
      <c r="QRR26" s="235"/>
      <c r="QRS26" s="235"/>
      <c r="QRT26" s="235"/>
      <c r="QRU26" s="235"/>
      <c r="QRV26" s="235"/>
      <c r="QRW26" s="235"/>
      <c r="QRX26" s="235"/>
      <c r="QRY26" s="235"/>
      <c r="QRZ26" s="235"/>
      <c r="QSA26" s="235"/>
      <c r="QSB26" s="235"/>
      <c r="QSC26" s="235"/>
      <c r="QSD26" s="235"/>
      <c r="QSE26" s="235"/>
      <c r="QSF26" s="235"/>
      <c r="QSG26" s="235"/>
      <c r="QSH26" s="235"/>
      <c r="QSI26" s="235"/>
      <c r="QSJ26" s="235"/>
      <c r="QSK26" s="235"/>
      <c r="QSL26" s="235"/>
      <c r="QSM26" s="235"/>
      <c r="QSN26" s="235"/>
      <c r="QSO26" s="235"/>
      <c r="QSP26" s="235"/>
      <c r="QSQ26" s="235"/>
      <c r="QSR26" s="235"/>
      <c r="QSS26" s="235"/>
      <c r="QST26" s="235"/>
      <c r="QSU26" s="235"/>
      <c r="QSV26" s="235"/>
      <c r="QSW26" s="235"/>
      <c r="QSX26" s="235"/>
      <c r="QSY26" s="235"/>
      <c r="QSZ26" s="235"/>
      <c r="QTA26" s="235"/>
      <c r="QTB26" s="235"/>
      <c r="QTC26" s="235"/>
      <c r="QTD26" s="235"/>
      <c r="QTE26" s="235"/>
      <c r="QTF26" s="235"/>
      <c r="QTG26" s="235"/>
      <c r="QTH26" s="235"/>
      <c r="QTI26" s="235"/>
      <c r="QTJ26" s="235"/>
      <c r="QTK26" s="235"/>
      <c r="QTL26" s="235"/>
      <c r="QTM26" s="235"/>
      <c r="QTN26" s="235"/>
      <c r="QTO26" s="235"/>
      <c r="QTP26" s="235"/>
      <c r="QTQ26" s="235"/>
      <c r="QTR26" s="235"/>
      <c r="QTS26" s="235"/>
      <c r="QTT26" s="235"/>
      <c r="QTU26" s="235"/>
      <c r="QTV26" s="235"/>
      <c r="QTW26" s="235"/>
      <c r="QTX26" s="235"/>
      <c r="QTY26" s="235"/>
      <c r="QTZ26" s="235"/>
      <c r="QUA26" s="235"/>
      <c r="QUB26" s="235"/>
      <c r="QUC26" s="235"/>
      <c r="QUD26" s="235"/>
      <c r="QUE26" s="235"/>
      <c r="QUF26" s="235"/>
      <c r="QUG26" s="235"/>
      <c r="QUH26" s="235"/>
      <c r="QUI26" s="235"/>
      <c r="QUJ26" s="235"/>
      <c r="QUK26" s="235"/>
      <c r="QUL26" s="235"/>
      <c r="QUM26" s="235"/>
      <c r="QUN26" s="235"/>
      <c r="QUO26" s="235"/>
      <c r="QUP26" s="235"/>
      <c r="QUQ26" s="235"/>
      <c r="QUR26" s="235"/>
      <c r="QUS26" s="235"/>
      <c r="QUT26" s="235"/>
      <c r="QUU26" s="235"/>
      <c r="QUV26" s="235"/>
      <c r="QUW26" s="235"/>
      <c r="QUX26" s="235"/>
      <c r="QUY26" s="235"/>
      <c r="QUZ26" s="235"/>
      <c r="QVA26" s="235"/>
      <c r="QVB26" s="235"/>
      <c r="QVC26" s="235"/>
      <c r="QVD26" s="235"/>
      <c r="QVE26" s="235"/>
      <c r="QVF26" s="235"/>
      <c r="QVG26" s="235"/>
      <c r="QVH26" s="235"/>
      <c r="QVI26" s="235"/>
      <c r="QVJ26" s="235"/>
      <c r="QVK26" s="235"/>
      <c r="QVL26" s="235"/>
      <c r="QVM26" s="235"/>
      <c r="QVN26" s="235"/>
      <c r="QVO26" s="235"/>
      <c r="QVP26" s="235"/>
      <c r="QVQ26" s="235"/>
      <c r="QVR26" s="235"/>
      <c r="QVS26" s="235"/>
      <c r="QVT26" s="235"/>
      <c r="QVU26" s="235"/>
      <c r="QVV26" s="235"/>
      <c r="QVW26" s="235"/>
      <c r="QVX26" s="235"/>
      <c r="QVY26" s="235"/>
      <c r="QVZ26" s="235"/>
      <c r="QWA26" s="235"/>
      <c r="QWB26" s="235"/>
      <c r="QWC26" s="235"/>
      <c r="QWD26" s="235"/>
      <c r="QWE26" s="235"/>
      <c r="QWF26" s="235"/>
      <c r="QWG26" s="235"/>
      <c r="QWH26" s="235"/>
      <c r="QWI26" s="235"/>
      <c r="QWJ26" s="235"/>
      <c r="QWK26" s="235"/>
      <c r="QWL26" s="235"/>
      <c r="QWM26" s="235"/>
      <c r="QWN26" s="235"/>
      <c r="QWO26" s="235"/>
      <c r="QWP26" s="235"/>
      <c r="QWQ26" s="235"/>
      <c r="QWR26" s="235"/>
      <c r="QWS26" s="235"/>
      <c r="QWT26" s="235"/>
      <c r="QWU26" s="235"/>
      <c r="QWV26" s="235"/>
      <c r="QWW26" s="235"/>
      <c r="QWX26" s="235"/>
      <c r="QWY26" s="235"/>
      <c r="QWZ26" s="235"/>
      <c r="QXA26" s="235"/>
      <c r="QXB26" s="235"/>
      <c r="QXC26" s="235"/>
      <c r="QXD26" s="235"/>
      <c r="QXE26" s="235"/>
      <c r="QXF26" s="235"/>
      <c r="QXG26" s="235"/>
      <c r="QXH26" s="235"/>
      <c r="QXI26" s="235"/>
      <c r="QXJ26" s="235"/>
      <c r="QXK26" s="235"/>
      <c r="QXL26" s="235"/>
      <c r="QXM26" s="235"/>
      <c r="QXN26" s="235"/>
      <c r="QXO26" s="235"/>
      <c r="QXP26" s="235"/>
      <c r="QXQ26" s="235"/>
      <c r="QXR26" s="235"/>
      <c r="QXS26" s="235"/>
      <c r="QXT26" s="235"/>
      <c r="QXU26" s="235"/>
      <c r="QXV26" s="235"/>
      <c r="QXW26" s="235"/>
      <c r="QXX26" s="235"/>
      <c r="QXY26" s="235"/>
      <c r="QXZ26" s="235"/>
      <c r="QYA26" s="235"/>
      <c r="QYB26" s="235"/>
      <c r="QYC26" s="235"/>
      <c r="QYD26" s="235"/>
      <c r="QYE26" s="235"/>
      <c r="QYF26" s="235"/>
      <c r="QYG26" s="235"/>
      <c r="QYH26" s="235"/>
      <c r="QYI26" s="235"/>
      <c r="QYJ26" s="235"/>
      <c r="QYK26" s="235"/>
      <c r="QYL26" s="235"/>
      <c r="QYM26" s="235"/>
      <c r="QYN26" s="235"/>
      <c r="QYO26" s="235"/>
      <c r="QYP26" s="235"/>
      <c r="QYQ26" s="235"/>
      <c r="QYR26" s="235"/>
      <c r="QYS26" s="235"/>
      <c r="QYT26" s="235"/>
      <c r="QYU26" s="235"/>
      <c r="QYV26" s="235"/>
      <c r="QYW26" s="235"/>
      <c r="QYX26" s="235"/>
      <c r="QYY26" s="235"/>
      <c r="QYZ26" s="235"/>
      <c r="QZA26" s="235"/>
      <c r="QZB26" s="235"/>
      <c r="QZC26" s="235"/>
      <c r="QZD26" s="235"/>
      <c r="QZE26" s="235"/>
      <c r="QZF26" s="235"/>
      <c r="QZG26" s="235"/>
      <c r="QZH26" s="235"/>
      <c r="QZI26" s="235"/>
      <c r="QZJ26" s="235"/>
      <c r="QZK26" s="235"/>
      <c r="QZL26" s="235"/>
      <c r="QZM26" s="235"/>
      <c r="QZN26" s="235"/>
      <c r="QZO26" s="235"/>
      <c r="QZP26" s="235"/>
      <c r="QZQ26" s="235"/>
      <c r="QZR26" s="235"/>
      <c r="QZS26" s="235"/>
      <c r="QZT26" s="235"/>
      <c r="QZU26" s="235"/>
      <c r="QZV26" s="235"/>
      <c r="QZW26" s="235"/>
      <c r="QZX26" s="235"/>
      <c r="QZY26" s="235"/>
      <c r="QZZ26" s="235"/>
      <c r="RAA26" s="235"/>
      <c r="RAB26" s="235"/>
      <c r="RAC26" s="235"/>
      <c r="RAD26" s="235"/>
      <c r="RAE26" s="235"/>
      <c r="RAF26" s="235"/>
      <c r="RAG26" s="235"/>
      <c r="RAH26" s="235"/>
      <c r="RAI26" s="235"/>
      <c r="RAJ26" s="235"/>
      <c r="RAK26" s="235"/>
      <c r="RAL26" s="235"/>
      <c r="RAM26" s="235"/>
      <c r="RAN26" s="235"/>
      <c r="RAO26" s="235"/>
      <c r="RAP26" s="235"/>
      <c r="RAQ26" s="235"/>
      <c r="RAR26" s="235"/>
      <c r="RAS26" s="235"/>
      <c r="RAT26" s="235"/>
      <c r="RAU26" s="235"/>
      <c r="RAV26" s="235"/>
      <c r="RAW26" s="235"/>
      <c r="RAX26" s="235"/>
      <c r="RAY26" s="235"/>
      <c r="RAZ26" s="235"/>
      <c r="RBA26" s="235"/>
      <c r="RBB26" s="235"/>
      <c r="RBC26" s="235"/>
      <c r="RBD26" s="235"/>
      <c r="RBE26" s="235"/>
      <c r="RBF26" s="235"/>
      <c r="RBG26" s="235"/>
      <c r="RBH26" s="235"/>
      <c r="RBI26" s="235"/>
      <c r="RBJ26" s="235"/>
      <c r="RBK26" s="235"/>
      <c r="RBL26" s="235"/>
      <c r="RBM26" s="235"/>
      <c r="RBN26" s="235"/>
      <c r="RBO26" s="235"/>
      <c r="RBP26" s="235"/>
      <c r="RBQ26" s="235"/>
      <c r="RBR26" s="235"/>
      <c r="RBS26" s="235"/>
      <c r="RBT26" s="235"/>
      <c r="RBU26" s="235"/>
      <c r="RBV26" s="235"/>
      <c r="RBW26" s="235"/>
      <c r="RBX26" s="235"/>
      <c r="RBY26" s="235"/>
      <c r="RBZ26" s="235"/>
      <c r="RCA26" s="235"/>
      <c r="RCB26" s="235"/>
      <c r="RCC26" s="235"/>
      <c r="RCD26" s="235"/>
      <c r="RCE26" s="235"/>
      <c r="RCF26" s="235"/>
      <c r="RCG26" s="235"/>
      <c r="RCH26" s="235"/>
      <c r="RCI26" s="235"/>
      <c r="RCJ26" s="235"/>
      <c r="RCK26" s="235"/>
      <c r="RCL26" s="235"/>
      <c r="RCM26" s="235"/>
      <c r="RCN26" s="235"/>
      <c r="RCO26" s="235"/>
      <c r="RCP26" s="235"/>
      <c r="RCQ26" s="235"/>
      <c r="RCR26" s="235"/>
      <c r="RCS26" s="235"/>
      <c r="RCT26" s="235"/>
      <c r="RCU26" s="235"/>
      <c r="RCV26" s="235"/>
      <c r="RCW26" s="235"/>
      <c r="RCX26" s="235"/>
      <c r="RCY26" s="235"/>
      <c r="RCZ26" s="235"/>
      <c r="RDA26" s="235"/>
      <c r="RDB26" s="235"/>
      <c r="RDC26" s="235"/>
      <c r="RDD26" s="235"/>
      <c r="RDE26" s="235"/>
      <c r="RDF26" s="235"/>
      <c r="RDG26" s="235"/>
      <c r="RDH26" s="235"/>
      <c r="RDI26" s="235"/>
      <c r="RDJ26" s="235"/>
      <c r="RDK26" s="235"/>
      <c r="RDL26" s="235"/>
      <c r="RDM26" s="235"/>
      <c r="RDN26" s="235"/>
      <c r="RDO26" s="235"/>
      <c r="RDP26" s="235"/>
      <c r="RDQ26" s="235"/>
      <c r="RDR26" s="235"/>
      <c r="RDS26" s="235"/>
      <c r="RDT26" s="235"/>
      <c r="RDU26" s="235"/>
      <c r="RDV26" s="235"/>
      <c r="RDW26" s="235"/>
      <c r="RDX26" s="235"/>
      <c r="RDY26" s="235"/>
      <c r="RDZ26" s="235"/>
      <c r="REA26" s="235"/>
      <c r="REB26" s="235"/>
      <c r="REC26" s="235"/>
      <c r="RED26" s="235"/>
      <c r="REE26" s="235"/>
      <c r="REF26" s="235"/>
      <c r="REG26" s="235"/>
      <c r="REH26" s="235"/>
      <c r="REI26" s="235"/>
      <c r="REJ26" s="235"/>
      <c r="REK26" s="235"/>
      <c r="REL26" s="235"/>
      <c r="REM26" s="235"/>
      <c r="REN26" s="235"/>
      <c r="REO26" s="235"/>
      <c r="REP26" s="235"/>
      <c r="REQ26" s="235"/>
      <c r="RER26" s="235"/>
      <c r="RES26" s="235"/>
      <c r="RET26" s="235"/>
      <c r="REU26" s="235"/>
      <c r="REV26" s="235"/>
      <c r="REW26" s="235"/>
      <c r="REX26" s="235"/>
      <c r="REY26" s="235"/>
      <c r="REZ26" s="235"/>
      <c r="RFA26" s="235"/>
      <c r="RFB26" s="235"/>
      <c r="RFC26" s="235"/>
      <c r="RFD26" s="235"/>
      <c r="RFE26" s="235"/>
      <c r="RFF26" s="235"/>
      <c r="RFG26" s="235"/>
      <c r="RFH26" s="235"/>
      <c r="RFI26" s="235"/>
      <c r="RFJ26" s="235"/>
      <c r="RFK26" s="235"/>
      <c r="RFL26" s="235"/>
      <c r="RFM26" s="235"/>
      <c r="RFN26" s="235"/>
      <c r="RFO26" s="235"/>
      <c r="RFP26" s="235"/>
      <c r="RFQ26" s="235"/>
      <c r="RFR26" s="235"/>
      <c r="RFS26" s="235"/>
      <c r="RFT26" s="235"/>
      <c r="RFU26" s="235"/>
      <c r="RFV26" s="235"/>
      <c r="RFW26" s="235"/>
      <c r="RFX26" s="235"/>
      <c r="RFY26" s="235"/>
      <c r="RFZ26" s="235"/>
      <c r="RGA26" s="235"/>
      <c r="RGB26" s="235"/>
      <c r="RGC26" s="235"/>
      <c r="RGD26" s="235"/>
      <c r="RGE26" s="235"/>
      <c r="RGF26" s="235"/>
      <c r="RGG26" s="235"/>
      <c r="RGH26" s="235"/>
      <c r="RGI26" s="235"/>
      <c r="RGJ26" s="235"/>
      <c r="RGK26" s="235"/>
      <c r="RGL26" s="235"/>
      <c r="RGM26" s="235"/>
      <c r="RGN26" s="235"/>
      <c r="RGO26" s="235"/>
      <c r="RGP26" s="235"/>
      <c r="RGQ26" s="235"/>
      <c r="RGR26" s="235"/>
      <c r="RGS26" s="235"/>
      <c r="RGT26" s="235"/>
      <c r="RGU26" s="235"/>
      <c r="RGV26" s="235"/>
      <c r="RGW26" s="235"/>
      <c r="RGX26" s="235"/>
      <c r="RGY26" s="235"/>
      <c r="RGZ26" s="235"/>
      <c r="RHA26" s="235"/>
      <c r="RHB26" s="235"/>
      <c r="RHC26" s="235"/>
      <c r="RHD26" s="235"/>
      <c r="RHE26" s="235"/>
      <c r="RHF26" s="235"/>
      <c r="RHG26" s="235"/>
      <c r="RHH26" s="235"/>
      <c r="RHI26" s="235"/>
      <c r="RHJ26" s="235"/>
      <c r="RHK26" s="235"/>
      <c r="RHL26" s="235"/>
      <c r="RHM26" s="235"/>
      <c r="RHN26" s="235"/>
      <c r="RHO26" s="235"/>
      <c r="RHP26" s="235"/>
      <c r="RHQ26" s="235"/>
      <c r="RHR26" s="235"/>
      <c r="RHS26" s="235"/>
      <c r="RHT26" s="235"/>
      <c r="RHU26" s="235"/>
      <c r="RHV26" s="235"/>
      <c r="RHW26" s="235"/>
      <c r="RHX26" s="235"/>
      <c r="RHY26" s="235"/>
      <c r="RHZ26" s="235"/>
      <c r="RIA26" s="235"/>
      <c r="RIB26" s="235"/>
      <c r="RIC26" s="235"/>
      <c r="RID26" s="235"/>
      <c r="RIE26" s="235"/>
      <c r="RIF26" s="235"/>
      <c r="RIG26" s="235"/>
      <c r="RIH26" s="235"/>
      <c r="RII26" s="235"/>
      <c r="RIJ26" s="235"/>
      <c r="RIK26" s="235"/>
      <c r="RIL26" s="235"/>
      <c r="RIM26" s="235"/>
      <c r="RIN26" s="235"/>
      <c r="RIO26" s="235"/>
      <c r="RIP26" s="235"/>
      <c r="RIQ26" s="235"/>
      <c r="RIR26" s="235"/>
      <c r="RIS26" s="235"/>
      <c r="RIT26" s="235"/>
      <c r="RIU26" s="235"/>
      <c r="RIV26" s="235"/>
      <c r="RIW26" s="235"/>
      <c r="RIX26" s="235"/>
      <c r="RIY26" s="235"/>
      <c r="RIZ26" s="235"/>
      <c r="RJA26" s="235"/>
      <c r="RJB26" s="235"/>
      <c r="RJC26" s="235"/>
      <c r="RJD26" s="235"/>
      <c r="RJE26" s="235"/>
      <c r="RJF26" s="235"/>
      <c r="RJG26" s="235"/>
      <c r="RJH26" s="235"/>
      <c r="RJI26" s="235"/>
      <c r="RJJ26" s="235"/>
      <c r="RJK26" s="235"/>
      <c r="RJL26" s="235"/>
      <c r="RJM26" s="235"/>
      <c r="RJN26" s="235"/>
      <c r="RJO26" s="235"/>
      <c r="RJP26" s="235"/>
      <c r="RJQ26" s="235"/>
      <c r="RJR26" s="235"/>
      <c r="RJS26" s="235"/>
      <c r="RJT26" s="235"/>
      <c r="RJU26" s="235"/>
      <c r="RJV26" s="235"/>
      <c r="RJW26" s="235"/>
      <c r="RJX26" s="235"/>
      <c r="RJY26" s="235"/>
      <c r="RJZ26" s="235"/>
      <c r="RKA26" s="235"/>
      <c r="RKB26" s="235"/>
      <c r="RKC26" s="235"/>
      <c r="RKD26" s="235"/>
      <c r="RKE26" s="235"/>
      <c r="RKF26" s="235"/>
      <c r="RKG26" s="235"/>
      <c r="RKH26" s="235"/>
      <c r="RKI26" s="235"/>
      <c r="RKJ26" s="235"/>
      <c r="RKK26" s="235"/>
      <c r="RKL26" s="235"/>
      <c r="RKM26" s="235"/>
      <c r="RKN26" s="235"/>
      <c r="RKO26" s="235"/>
      <c r="RKP26" s="235"/>
      <c r="RKQ26" s="235"/>
      <c r="RKR26" s="235"/>
      <c r="RKS26" s="235"/>
      <c r="RKT26" s="235"/>
      <c r="RKU26" s="235"/>
      <c r="RKV26" s="235"/>
      <c r="RKW26" s="235"/>
      <c r="RKX26" s="235"/>
      <c r="RKY26" s="235"/>
      <c r="RKZ26" s="235"/>
      <c r="RLA26" s="235"/>
      <c r="RLB26" s="235"/>
      <c r="RLC26" s="235"/>
      <c r="RLD26" s="235"/>
      <c r="RLE26" s="235"/>
      <c r="RLF26" s="235"/>
      <c r="RLG26" s="235"/>
      <c r="RLH26" s="235"/>
      <c r="RLI26" s="235"/>
      <c r="RLJ26" s="235"/>
      <c r="RLK26" s="235"/>
      <c r="RLL26" s="235"/>
      <c r="RLM26" s="235"/>
      <c r="RLN26" s="235"/>
      <c r="RLO26" s="235"/>
      <c r="RLP26" s="235"/>
      <c r="RLQ26" s="235"/>
      <c r="RLR26" s="235"/>
      <c r="RLS26" s="235"/>
      <c r="RLT26" s="235"/>
      <c r="RLU26" s="235"/>
      <c r="RLV26" s="235"/>
      <c r="RLW26" s="235"/>
      <c r="RLX26" s="235"/>
      <c r="RLY26" s="235"/>
      <c r="RLZ26" s="235"/>
      <c r="RMA26" s="235"/>
      <c r="RMB26" s="235"/>
      <c r="RMC26" s="235"/>
      <c r="RMD26" s="235"/>
      <c r="RME26" s="235"/>
      <c r="RMF26" s="235"/>
      <c r="RMG26" s="235"/>
      <c r="RMH26" s="235"/>
      <c r="RMI26" s="235"/>
      <c r="RMJ26" s="235"/>
      <c r="RMK26" s="235"/>
      <c r="RML26" s="235"/>
      <c r="RMM26" s="235"/>
      <c r="RMN26" s="235"/>
      <c r="RMO26" s="235"/>
      <c r="RMP26" s="235"/>
      <c r="RMQ26" s="235"/>
      <c r="RMR26" s="235"/>
      <c r="RMS26" s="235"/>
      <c r="RMT26" s="235"/>
      <c r="RMU26" s="235"/>
      <c r="RMV26" s="235"/>
      <c r="RMW26" s="235"/>
      <c r="RMX26" s="235"/>
      <c r="RMY26" s="235"/>
      <c r="RMZ26" s="235"/>
      <c r="RNA26" s="235"/>
      <c r="RNB26" s="235"/>
      <c r="RNC26" s="235"/>
      <c r="RND26" s="235"/>
      <c r="RNE26" s="235"/>
      <c r="RNF26" s="235"/>
      <c r="RNG26" s="235"/>
      <c r="RNH26" s="235"/>
      <c r="RNI26" s="235"/>
      <c r="RNJ26" s="235"/>
      <c r="RNK26" s="235"/>
      <c r="RNL26" s="235"/>
      <c r="RNM26" s="235"/>
      <c r="RNN26" s="235"/>
      <c r="RNO26" s="235"/>
      <c r="RNP26" s="235"/>
      <c r="RNQ26" s="235"/>
      <c r="RNR26" s="235"/>
      <c r="RNS26" s="235"/>
      <c r="RNT26" s="235"/>
      <c r="RNU26" s="235"/>
      <c r="RNV26" s="235"/>
      <c r="RNW26" s="235"/>
      <c r="RNX26" s="235"/>
      <c r="RNY26" s="235"/>
      <c r="RNZ26" s="235"/>
      <c r="ROA26" s="235"/>
      <c r="ROB26" s="235"/>
      <c r="ROC26" s="235"/>
      <c r="ROD26" s="235"/>
      <c r="ROE26" s="235"/>
      <c r="ROF26" s="235"/>
      <c r="ROG26" s="235"/>
      <c r="ROH26" s="235"/>
      <c r="ROI26" s="235"/>
      <c r="ROJ26" s="235"/>
      <c r="ROK26" s="235"/>
      <c r="ROL26" s="235"/>
      <c r="ROM26" s="235"/>
      <c r="RON26" s="235"/>
      <c r="ROO26" s="235"/>
      <c r="ROP26" s="235"/>
      <c r="ROQ26" s="235"/>
      <c r="ROR26" s="235"/>
      <c r="ROS26" s="235"/>
      <c r="ROT26" s="235"/>
      <c r="ROU26" s="235"/>
      <c r="ROV26" s="235"/>
      <c r="ROW26" s="235"/>
      <c r="ROX26" s="235"/>
      <c r="ROY26" s="235"/>
      <c r="ROZ26" s="235"/>
      <c r="RPA26" s="235"/>
      <c r="RPB26" s="235"/>
      <c r="RPC26" s="235"/>
      <c r="RPD26" s="235"/>
      <c r="RPE26" s="235"/>
      <c r="RPF26" s="235"/>
      <c r="RPG26" s="235"/>
      <c r="RPH26" s="235"/>
      <c r="RPI26" s="235"/>
      <c r="RPJ26" s="235"/>
      <c r="RPK26" s="235"/>
      <c r="RPL26" s="235"/>
      <c r="RPM26" s="235"/>
      <c r="RPN26" s="235"/>
      <c r="RPO26" s="235"/>
      <c r="RPP26" s="235"/>
      <c r="RPQ26" s="235"/>
      <c r="RPR26" s="235"/>
      <c r="RPS26" s="235"/>
      <c r="RPT26" s="235"/>
      <c r="RPU26" s="235"/>
      <c r="RPV26" s="235"/>
      <c r="RPW26" s="235"/>
      <c r="RPX26" s="235"/>
      <c r="RPY26" s="235"/>
      <c r="RPZ26" s="235"/>
      <c r="RQA26" s="235"/>
      <c r="RQB26" s="235"/>
      <c r="RQC26" s="235"/>
      <c r="RQD26" s="235"/>
      <c r="RQE26" s="235"/>
      <c r="RQF26" s="235"/>
      <c r="RQG26" s="235"/>
      <c r="RQH26" s="235"/>
      <c r="RQI26" s="235"/>
      <c r="RQJ26" s="235"/>
      <c r="RQK26" s="235"/>
      <c r="RQL26" s="235"/>
      <c r="RQM26" s="235"/>
      <c r="RQN26" s="235"/>
      <c r="RQO26" s="235"/>
      <c r="RQP26" s="235"/>
      <c r="RQQ26" s="235"/>
      <c r="RQR26" s="235"/>
      <c r="RQS26" s="235"/>
      <c r="RQT26" s="235"/>
      <c r="RQU26" s="235"/>
      <c r="RQV26" s="235"/>
      <c r="RQW26" s="235"/>
      <c r="RQX26" s="235"/>
      <c r="RQY26" s="235"/>
      <c r="RQZ26" s="235"/>
      <c r="RRA26" s="235"/>
      <c r="RRB26" s="235"/>
      <c r="RRC26" s="235"/>
      <c r="RRD26" s="235"/>
      <c r="RRE26" s="235"/>
      <c r="RRF26" s="235"/>
      <c r="RRG26" s="235"/>
      <c r="RRH26" s="235"/>
      <c r="RRI26" s="235"/>
      <c r="RRJ26" s="235"/>
      <c r="RRK26" s="235"/>
      <c r="RRL26" s="235"/>
      <c r="RRM26" s="235"/>
      <c r="RRN26" s="235"/>
      <c r="RRO26" s="235"/>
      <c r="RRP26" s="235"/>
      <c r="RRQ26" s="235"/>
      <c r="RRR26" s="235"/>
      <c r="RRS26" s="235"/>
      <c r="RRT26" s="235"/>
      <c r="RRU26" s="235"/>
      <c r="RRV26" s="235"/>
      <c r="RRW26" s="235"/>
      <c r="RRX26" s="235"/>
      <c r="RRY26" s="235"/>
      <c r="RRZ26" s="235"/>
      <c r="RSA26" s="235"/>
      <c r="RSB26" s="235"/>
      <c r="RSC26" s="235"/>
      <c r="RSD26" s="235"/>
      <c r="RSE26" s="235"/>
      <c r="RSF26" s="235"/>
      <c r="RSG26" s="235"/>
      <c r="RSH26" s="235"/>
      <c r="RSI26" s="235"/>
      <c r="RSJ26" s="235"/>
      <c r="RSK26" s="235"/>
      <c r="RSL26" s="235"/>
      <c r="RSM26" s="235"/>
      <c r="RSN26" s="235"/>
      <c r="RSO26" s="235"/>
      <c r="RSP26" s="235"/>
      <c r="RSQ26" s="235"/>
      <c r="RSR26" s="235"/>
      <c r="RSS26" s="235"/>
      <c r="RST26" s="235"/>
      <c r="RSU26" s="235"/>
      <c r="RSV26" s="235"/>
      <c r="RSW26" s="235"/>
      <c r="RSX26" s="235"/>
      <c r="RSY26" s="235"/>
      <c r="RSZ26" s="235"/>
      <c r="RTA26" s="235"/>
      <c r="RTB26" s="235"/>
      <c r="RTC26" s="235"/>
      <c r="RTD26" s="235"/>
      <c r="RTE26" s="235"/>
      <c r="RTF26" s="235"/>
      <c r="RTG26" s="235"/>
      <c r="RTH26" s="235"/>
      <c r="RTI26" s="235"/>
      <c r="RTJ26" s="235"/>
      <c r="RTK26" s="235"/>
      <c r="RTL26" s="235"/>
      <c r="RTM26" s="235"/>
      <c r="RTN26" s="235"/>
      <c r="RTO26" s="235"/>
      <c r="RTP26" s="235"/>
      <c r="RTQ26" s="235"/>
      <c r="RTR26" s="235"/>
      <c r="RTS26" s="235"/>
      <c r="RTT26" s="235"/>
      <c r="RTU26" s="235"/>
      <c r="RTV26" s="235"/>
      <c r="RTW26" s="235"/>
      <c r="RTX26" s="235"/>
      <c r="RTY26" s="235"/>
      <c r="RTZ26" s="235"/>
      <c r="RUA26" s="235"/>
      <c r="RUB26" s="235"/>
      <c r="RUC26" s="235"/>
      <c r="RUD26" s="235"/>
      <c r="RUE26" s="235"/>
      <c r="RUF26" s="235"/>
      <c r="RUG26" s="235"/>
      <c r="RUH26" s="235"/>
      <c r="RUI26" s="235"/>
      <c r="RUJ26" s="235"/>
      <c r="RUK26" s="235"/>
      <c r="RUL26" s="235"/>
      <c r="RUM26" s="235"/>
      <c r="RUN26" s="235"/>
      <c r="RUO26" s="235"/>
      <c r="RUP26" s="235"/>
      <c r="RUQ26" s="235"/>
      <c r="RUR26" s="235"/>
      <c r="RUS26" s="235"/>
      <c r="RUT26" s="235"/>
      <c r="RUU26" s="235"/>
      <c r="RUV26" s="235"/>
      <c r="RUW26" s="235"/>
      <c r="RUX26" s="235"/>
      <c r="RUY26" s="235"/>
      <c r="RUZ26" s="235"/>
      <c r="RVA26" s="235"/>
      <c r="RVB26" s="235"/>
      <c r="RVC26" s="235"/>
      <c r="RVD26" s="235"/>
      <c r="RVE26" s="235"/>
      <c r="RVF26" s="235"/>
      <c r="RVG26" s="235"/>
      <c r="RVH26" s="235"/>
      <c r="RVI26" s="235"/>
      <c r="RVJ26" s="235"/>
      <c r="RVK26" s="235"/>
      <c r="RVL26" s="235"/>
      <c r="RVM26" s="235"/>
      <c r="RVN26" s="235"/>
      <c r="RVO26" s="235"/>
      <c r="RVP26" s="235"/>
      <c r="RVQ26" s="235"/>
      <c r="RVR26" s="235"/>
      <c r="RVS26" s="235"/>
      <c r="RVT26" s="235"/>
      <c r="RVU26" s="235"/>
      <c r="RVV26" s="235"/>
      <c r="RVW26" s="235"/>
      <c r="RVX26" s="235"/>
      <c r="RVY26" s="235"/>
      <c r="RVZ26" s="235"/>
      <c r="RWA26" s="235"/>
      <c r="RWB26" s="235"/>
      <c r="RWC26" s="235"/>
      <c r="RWD26" s="235"/>
      <c r="RWE26" s="235"/>
      <c r="RWF26" s="235"/>
      <c r="RWG26" s="235"/>
      <c r="RWH26" s="235"/>
      <c r="RWI26" s="235"/>
      <c r="RWJ26" s="235"/>
      <c r="RWK26" s="235"/>
      <c r="RWL26" s="235"/>
      <c r="RWM26" s="235"/>
      <c r="RWN26" s="235"/>
      <c r="RWO26" s="235"/>
      <c r="RWP26" s="235"/>
      <c r="RWQ26" s="235"/>
      <c r="RWR26" s="235"/>
      <c r="RWS26" s="235"/>
      <c r="RWT26" s="235"/>
      <c r="RWU26" s="235"/>
      <c r="RWV26" s="235"/>
      <c r="RWW26" s="235"/>
      <c r="RWX26" s="235"/>
      <c r="RWY26" s="235"/>
      <c r="RWZ26" s="235"/>
      <c r="RXA26" s="235"/>
      <c r="RXB26" s="235"/>
      <c r="RXC26" s="235"/>
      <c r="RXD26" s="235"/>
      <c r="RXE26" s="235"/>
      <c r="RXF26" s="235"/>
      <c r="RXG26" s="235"/>
      <c r="RXH26" s="235"/>
      <c r="RXI26" s="235"/>
      <c r="RXJ26" s="235"/>
      <c r="RXK26" s="235"/>
      <c r="RXL26" s="235"/>
      <c r="RXM26" s="235"/>
      <c r="RXN26" s="235"/>
      <c r="RXO26" s="235"/>
      <c r="RXP26" s="235"/>
      <c r="RXQ26" s="235"/>
      <c r="RXR26" s="235"/>
      <c r="RXS26" s="235"/>
      <c r="RXT26" s="235"/>
      <c r="RXU26" s="235"/>
      <c r="RXV26" s="235"/>
      <c r="RXW26" s="235"/>
      <c r="RXX26" s="235"/>
      <c r="RXY26" s="235"/>
      <c r="RXZ26" s="235"/>
      <c r="RYA26" s="235"/>
      <c r="RYB26" s="235"/>
      <c r="RYC26" s="235"/>
      <c r="RYD26" s="235"/>
      <c r="RYE26" s="235"/>
      <c r="RYF26" s="235"/>
      <c r="RYG26" s="235"/>
      <c r="RYH26" s="235"/>
      <c r="RYI26" s="235"/>
      <c r="RYJ26" s="235"/>
      <c r="RYK26" s="235"/>
      <c r="RYL26" s="235"/>
      <c r="RYM26" s="235"/>
      <c r="RYN26" s="235"/>
      <c r="RYO26" s="235"/>
      <c r="RYP26" s="235"/>
      <c r="RYQ26" s="235"/>
      <c r="RYR26" s="235"/>
      <c r="RYS26" s="235"/>
      <c r="RYT26" s="235"/>
      <c r="RYU26" s="235"/>
      <c r="RYV26" s="235"/>
      <c r="RYW26" s="235"/>
      <c r="RYX26" s="235"/>
      <c r="RYY26" s="235"/>
      <c r="RYZ26" s="235"/>
      <c r="RZA26" s="235"/>
      <c r="RZB26" s="235"/>
      <c r="RZC26" s="235"/>
      <c r="RZD26" s="235"/>
      <c r="RZE26" s="235"/>
      <c r="RZF26" s="235"/>
      <c r="RZG26" s="235"/>
      <c r="RZH26" s="235"/>
      <c r="RZI26" s="235"/>
      <c r="RZJ26" s="235"/>
      <c r="RZK26" s="235"/>
      <c r="RZL26" s="235"/>
      <c r="RZM26" s="235"/>
      <c r="RZN26" s="235"/>
      <c r="RZO26" s="235"/>
      <c r="RZP26" s="235"/>
      <c r="RZQ26" s="235"/>
      <c r="RZR26" s="235"/>
      <c r="RZS26" s="235"/>
      <c r="RZT26" s="235"/>
      <c r="RZU26" s="235"/>
      <c r="RZV26" s="235"/>
      <c r="RZW26" s="235"/>
      <c r="RZX26" s="235"/>
      <c r="RZY26" s="235"/>
      <c r="RZZ26" s="235"/>
      <c r="SAA26" s="235"/>
      <c r="SAB26" s="235"/>
      <c r="SAC26" s="235"/>
      <c r="SAD26" s="235"/>
      <c r="SAE26" s="235"/>
      <c r="SAF26" s="235"/>
      <c r="SAG26" s="235"/>
      <c r="SAH26" s="235"/>
      <c r="SAI26" s="235"/>
      <c r="SAJ26" s="235"/>
      <c r="SAK26" s="235"/>
      <c r="SAL26" s="235"/>
      <c r="SAM26" s="235"/>
      <c r="SAN26" s="235"/>
      <c r="SAO26" s="235"/>
      <c r="SAP26" s="235"/>
      <c r="SAQ26" s="235"/>
      <c r="SAR26" s="235"/>
      <c r="SAS26" s="235"/>
      <c r="SAT26" s="235"/>
      <c r="SAU26" s="235"/>
      <c r="SAV26" s="235"/>
      <c r="SAW26" s="235"/>
      <c r="SAX26" s="235"/>
      <c r="SAY26" s="235"/>
      <c r="SAZ26" s="235"/>
      <c r="SBA26" s="235"/>
      <c r="SBB26" s="235"/>
      <c r="SBC26" s="235"/>
      <c r="SBD26" s="235"/>
      <c r="SBE26" s="235"/>
      <c r="SBF26" s="235"/>
      <c r="SBG26" s="235"/>
      <c r="SBH26" s="235"/>
      <c r="SBI26" s="235"/>
      <c r="SBJ26" s="235"/>
      <c r="SBK26" s="235"/>
      <c r="SBL26" s="235"/>
      <c r="SBM26" s="235"/>
      <c r="SBN26" s="235"/>
      <c r="SBO26" s="235"/>
      <c r="SBP26" s="235"/>
      <c r="SBQ26" s="235"/>
      <c r="SBR26" s="235"/>
      <c r="SBS26" s="235"/>
      <c r="SBT26" s="235"/>
      <c r="SBU26" s="235"/>
      <c r="SBV26" s="235"/>
      <c r="SBW26" s="235"/>
      <c r="SBX26" s="235"/>
      <c r="SBY26" s="235"/>
      <c r="SBZ26" s="235"/>
      <c r="SCA26" s="235"/>
      <c r="SCB26" s="235"/>
      <c r="SCC26" s="235"/>
      <c r="SCD26" s="235"/>
      <c r="SCE26" s="235"/>
      <c r="SCF26" s="235"/>
      <c r="SCG26" s="235"/>
      <c r="SCH26" s="235"/>
      <c r="SCI26" s="235"/>
      <c r="SCJ26" s="235"/>
      <c r="SCK26" s="235"/>
      <c r="SCL26" s="235"/>
      <c r="SCM26" s="235"/>
      <c r="SCN26" s="235"/>
      <c r="SCO26" s="235"/>
      <c r="SCP26" s="235"/>
      <c r="SCQ26" s="235"/>
      <c r="SCR26" s="235"/>
      <c r="SCS26" s="235"/>
      <c r="SCT26" s="235"/>
      <c r="SCU26" s="235"/>
      <c r="SCV26" s="235"/>
      <c r="SCW26" s="235"/>
      <c r="SCX26" s="235"/>
      <c r="SCY26" s="235"/>
      <c r="SCZ26" s="235"/>
      <c r="SDA26" s="235"/>
      <c r="SDB26" s="235"/>
      <c r="SDC26" s="235"/>
      <c r="SDD26" s="235"/>
      <c r="SDE26" s="235"/>
      <c r="SDF26" s="235"/>
      <c r="SDG26" s="235"/>
      <c r="SDH26" s="235"/>
      <c r="SDI26" s="235"/>
      <c r="SDJ26" s="235"/>
      <c r="SDK26" s="235"/>
      <c r="SDL26" s="235"/>
      <c r="SDM26" s="235"/>
      <c r="SDN26" s="235"/>
      <c r="SDO26" s="235"/>
      <c r="SDP26" s="235"/>
      <c r="SDQ26" s="235"/>
      <c r="SDR26" s="235"/>
      <c r="SDS26" s="235"/>
      <c r="SDT26" s="235"/>
      <c r="SDU26" s="235"/>
      <c r="SDV26" s="235"/>
      <c r="SDW26" s="235"/>
      <c r="SDX26" s="235"/>
      <c r="SDY26" s="235"/>
      <c r="SDZ26" s="235"/>
      <c r="SEA26" s="235"/>
      <c r="SEB26" s="235"/>
      <c r="SEC26" s="235"/>
      <c r="SED26" s="235"/>
      <c r="SEE26" s="235"/>
      <c r="SEF26" s="235"/>
      <c r="SEG26" s="235"/>
      <c r="SEH26" s="235"/>
      <c r="SEI26" s="235"/>
      <c r="SEJ26" s="235"/>
      <c r="SEK26" s="235"/>
      <c r="SEL26" s="235"/>
      <c r="SEM26" s="235"/>
      <c r="SEN26" s="235"/>
      <c r="SEO26" s="235"/>
      <c r="SEP26" s="235"/>
      <c r="SEQ26" s="235"/>
      <c r="SER26" s="235"/>
      <c r="SES26" s="235"/>
      <c r="SET26" s="235"/>
      <c r="SEU26" s="235"/>
      <c r="SEV26" s="235"/>
      <c r="SEW26" s="235"/>
      <c r="SEX26" s="235"/>
      <c r="SEY26" s="235"/>
      <c r="SEZ26" s="235"/>
      <c r="SFA26" s="235"/>
      <c r="SFB26" s="235"/>
      <c r="SFC26" s="235"/>
      <c r="SFD26" s="235"/>
      <c r="SFE26" s="235"/>
      <c r="SFF26" s="235"/>
      <c r="SFG26" s="235"/>
      <c r="SFH26" s="235"/>
      <c r="SFI26" s="235"/>
      <c r="SFJ26" s="235"/>
      <c r="SFK26" s="235"/>
      <c r="SFL26" s="235"/>
      <c r="SFM26" s="235"/>
      <c r="SFN26" s="235"/>
      <c r="SFO26" s="235"/>
      <c r="SFP26" s="235"/>
      <c r="SFQ26" s="235"/>
      <c r="SFR26" s="235"/>
      <c r="SFS26" s="235"/>
      <c r="SFT26" s="235"/>
      <c r="SFU26" s="235"/>
      <c r="SFV26" s="235"/>
      <c r="SFW26" s="235"/>
      <c r="SFX26" s="235"/>
      <c r="SFY26" s="235"/>
      <c r="SFZ26" s="235"/>
      <c r="SGA26" s="235"/>
      <c r="SGB26" s="235"/>
      <c r="SGC26" s="235"/>
      <c r="SGD26" s="235"/>
      <c r="SGE26" s="235"/>
      <c r="SGF26" s="235"/>
      <c r="SGG26" s="235"/>
      <c r="SGH26" s="235"/>
      <c r="SGI26" s="235"/>
      <c r="SGJ26" s="235"/>
      <c r="SGK26" s="235"/>
      <c r="SGL26" s="235"/>
      <c r="SGM26" s="235"/>
      <c r="SGN26" s="235"/>
      <c r="SGO26" s="235"/>
      <c r="SGP26" s="235"/>
      <c r="SGQ26" s="235"/>
      <c r="SGR26" s="235"/>
      <c r="SGS26" s="235"/>
      <c r="SGT26" s="235"/>
      <c r="SGU26" s="235"/>
      <c r="SGV26" s="235"/>
      <c r="SGW26" s="235"/>
      <c r="SGX26" s="235"/>
      <c r="SGY26" s="235"/>
      <c r="SGZ26" s="235"/>
      <c r="SHA26" s="235"/>
      <c r="SHB26" s="235"/>
      <c r="SHC26" s="235"/>
      <c r="SHD26" s="235"/>
      <c r="SHE26" s="235"/>
      <c r="SHF26" s="235"/>
      <c r="SHG26" s="235"/>
      <c r="SHH26" s="235"/>
      <c r="SHI26" s="235"/>
      <c r="SHJ26" s="235"/>
      <c r="SHK26" s="235"/>
      <c r="SHL26" s="235"/>
      <c r="SHM26" s="235"/>
      <c r="SHN26" s="235"/>
      <c r="SHO26" s="235"/>
      <c r="SHP26" s="235"/>
      <c r="SHQ26" s="235"/>
      <c r="SHR26" s="235"/>
      <c r="SHS26" s="235"/>
      <c r="SHT26" s="235"/>
      <c r="SHU26" s="235"/>
      <c r="SHV26" s="235"/>
      <c r="SHW26" s="235"/>
      <c r="SHX26" s="235"/>
      <c r="SHY26" s="235"/>
      <c r="SHZ26" s="235"/>
      <c r="SIA26" s="235"/>
      <c r="SIB26" s="235"/>
      <c r="SIC26" s="235"/>
      <c r="SID26" s="235"/>
      <c r="SIE26" s="235"/>
      <c r="SIF26" s="235"/>
      <c r="SIG26" s="235"/>
      <c r="SIH26" s="235"/>
      <c r="SII26" s="235"/>
      <c r="SIJ26" s="235"/>
      <c r="SIK26" s="235"/>
      <c r="SIL26" s="235"/>
      <c r="SIM26" s="235"/>
      <c r="SIN26" s="235"/>
      <c r="SIO26" s="235"/>
      <c r="SIP26" s="235"/>
      <c r="SIQ26" s="235"/>
      <c r="SIR26" s="235"/>
      <c r="SIS26" s="235"/>
      <c r="SIT26" s="235"/>
      <c r="SIU26" s="235"/>
      <c r="SIV26" s="235"/>
      <c r="SIW26" s="235"/>
      <c r="SIX26" s="235"/>
      <c r="SIY26" s="235"/>
      <c r="SIZ26" s="235"/>
      <c r="SJA26" s="235"/>
      <c r="SJB26" s="235"/>
      <c r="SJC26" s="235"/>
      <c r="SJD26" s="235"/>
      <c r="SJE26" s="235"/>
      <c r="SJF26" s="235"/>
      <c r="SJG26" s="235"/>
      <c r="SJH26" s="235"/>
      <c r="SJI26" s="235"/>
      <c r="SJJ26" s="235"/>
      <c r="SJK26" s="235"/>
      <c r="SJL26" s="235"/>
      <c r="SJM26" s="235"/>
      <c r="SJN26" s="235"/>
      <c r="SJO26" s="235"/>
      <c r="SJP26" s="235"/>
      <c r="SJQ26" s="235"/>
      <c r="SJR26" s="235"/>
      <c r="SJS26" s="235"/>
      <c r="SJT26" s="235"/>
      <c r="SJU26" s="235"/>
      <c r="SJV26" s="235"/>
      <c r="SJW26" s="235"/>
      <c r="SJX26" s="235"/>
      <c r="SJY26" s="235"/>
      <c r="SJZ26" s="235"/>
      <c r="SKA26" s="235"/>
      <c r="SKB26" s="235"/>
      <c r="SKC26" s="235"/>
      <c r="SKD26" s="235"/>
      <c r="SKE26" s="235"/>
      <c r="SKF26" s="235"/>
      <c r="SKG26" s="235"/>
      <c r="SKH26" s="235"/>
      <c r="SKI26" s="235"/>
      <c r="SKJ26" s="235"/>
      <c r="SKK26" s="235"/>
      <c r="SKL26" s="235"/>
      <c r="SKM26" s="235"/>
      <c r="SKN26" s="235"/>
      <c r="SKO26" s="235"/>
      <c r="SKP26" s="235"/>
      <c r="SKQ26" s="235"/>
      <c r="SKR26" s="235"/>
      <c r="SKS26" s="235"/>
      <c r="SKT26" s="235"/>
      <c r="SKU26" s="235"/>
      <c r="SKV26" s="235"/>
      <c r="SKW26" s="235"/>
      <c r="SKX26" s="235"/>
      <c r="SKY26" s="235"/>
      <c r="SKZ26" s="235"/>
      <c r="SLA26" s="235"/>
      <c r="SLB26" s="235"/>
      <c r="SLC26" s="235"/>
      <c r="SLD26" s="235"/>
      <c r="SLE26" s="235"/>
      <c r="SLF26" s="235"/>
      <c r="SLG26" s="235"/>
      <c r="SLH26" s="235"/>
      <c r="SLI26" s="235"/>
      <c r="SLJ26" s="235"/>
      <c r="SLK26" s="235"/>
      <c r="SLL26" s="235"/>
      <c r="SLM26" s="235"/>
      <c r="SLN26" s="235"/>
      <c r="SLO26" s="235"/>
      <c r="SLP26" s="235"/>
      <c r="SLQ26" s="235"/>
      <c r="SLR26" s="235"/>
      <c r="SLS26" s="235"/>
      <c r="SLT26" s="235"/>
      <c r="SLU26" s="235"/>
      <c r="SLV26" s="235"/>
      <c r="SLW26" s="235"/>
      <c r="SLX26" s="235"/>
      <c r="SLY26" s="235"/>
      <c r="SLZ26" s="235"/>
      <c r="SMA26" s="235"/>
      <c r="SMB26" s="235"/>
      <c r="SMC26" s="235"/>
      <c r="SMD26" s="235"/>
      <c r="SME26" s="235"/>
      <c r="SMF26" s="235"/>
      <c r="SMG26" s="235"/>
      <c r="SMH26" s="235"/>
      <c r="SMI26" s="235"/>
      <c r="SMJ26" s="235"/>
      <c r="SMK26" s="235"/>
      <c r="SML26" s="235"/>
      <c r="SMM26" s="235"/>
      <c r="SMN26" s="235"/>
      <c r="SMO26" s="235"/>
      <c r="SMP26" s="235"/>
      <c r="SMQ26" s="235"/>
      <c r="SMR26" s="235"/>
      <c r="SMS26" s="235"/>
      <c r="SMT26" s="235"/>
      <c r="SMU26" s="235"/>
      <c r="SMV26" s="235"/>
      <c r="SMW26" s="235"/>
      <c r="SMX26" s="235"/>
      <c r="SMY26" s="235"/>
      <c r="SMZ26" s="235"/>
      <c r="SNA26" s="235"/>
      <c r="SNB26" s="235"/>
      <c r="SNC26" s="235"/>
      <c r="SND26" s="235"/>
      <c r="SNE26" s="235"/>
      <c r="SNF26" s="235"/>
      <c r="SNG26" s="235"/>
      <c r="SNH26" s="235"/>
      <c r="SNI26" s="235"/>
      <c r="SNJ26" s="235"/>
      <c r="SNK26" s="235"/>
      <c r="SNL26" s="235"/>
      <c r="SNM26" s="235"/>
      <c r="SNN26" s="235"/>
      <c r="SNO26" s="235"/>
      <c r="SNP26" s="235"/>
      <c r="SNQ26" s="235"/>
      <c r="SNR26" s="235"/>
      <c r="SNS26" s="235"/>
      <c r="SNT26" s="235"/>
      <c r="SNU26" s="235"/>
      <c r="SNV26" s="235"/>
      <c r="SNW26" s="235"/>
      <c r="SNX26" s="235"/>
      <c r="SNY26" s="235"/>
      <c r="SNZ26" s="235"/>
      <c r="SOA26" s="235"/>
      <c r="SOB26" s="235"/>
      <c r="SOC26" s="235"/>
      <c r="SOD26" s="235"/>
      <c r="SOE26" s="235"/>
      <c r="SOF26" s="235"/>
      <c r="SOG26" s="235"/>
      <c r="SOH26" s="235"/>
      <c r="SOI26" s="235"/>
      <c r="SOJ26" s="235"/>
      <c r="SOK26" s="235"/>
      <c r="SOL26" s="235"/>
      <c r="SOM26" s="235"/>
      <c r="SON26" s="235"/>
      <c r="SOO26" s="235"/>
      <c r="SOP26" s="235"/>
      <c r="SOQ26" s="235"/>
      <c r="SOR26" s="235"/>
      <c r="SOS26" s="235"/>
      <c r="SOT26" s="235"/>
      <c r="SOU26" s="235"/>
      <c r="SOV26" s="235"/>
      <c r="SOW26" s="235"/>
      <c r="SOX26" s="235"/>
      <c r="SOY26" s="235"/>
      <c r="SOZ26" s="235"/>
      <c r="SPA26" s="235"/>
      <c r="SPB26" s="235"/>
      <c r="SPC26" s="235"/>
      <c r="SPD26" s="235"/>
      <c r="SPE26" s="235"/>
      <c r="SPF26" s="235"/>
      <c r="SPG26" s="235"/>
      <c r="SPH26" s="235"/>
      <c r="SPI26" s="235"/>
      <c r="SPJ26" s="235"/>
      <c r="SPK26" s="235"/>
      <c r="SPL26" s="235"/>
      <c r="SPM26" s="235"/>
      <c r="SPN26" s="235"/>
      <c r="SPO26" s="235"/>
      <c r="SPP26" s="235"/>
      <c r="SPQ26" s="235"/>
      <c r="SPR26" s="235"/>
      <c r="SPS26" s="235"/>
      <c r="SPT26" s="235"/>
      <c r="SPU26" s="235"/>
      <c r="SPV26" s="235"/>
      <c r="SPW26" s="235"/>
      <c r="SPX26" s="235"/>
      <c r="SPY26" s="235"/>
      <c r="SPZ26" s="235"/>
      <c r="SQA26" s="235"/>
      <c r="SQB26" s="235"/>
      <c r="SQC26" s="235"/>
      <c r="SQD26" s="235"/>
      <c r="SQE26" s="235"/>
      <c r="SQF26" s="235"/>
      <c r="SQG26" s="235"/>
      <c r="SQH26" s="235"/>
      <c r="SQI26" s="235"/>
      <c r="SQJ26" s="235"/>
      <c r="SQK26" s="235"/>
      <c r="SQL26" s="235"/>
      <c r="SQM26" s="235"/>
      <c r="SQN26" s="235"/>
      <c r="SQO26" s="235"/>
      <c r="SQP26" s="235"/>
      <c r="SQQ26" s="235"/>
      <c r="SQR26" s="235"/>
      <c r="SQS26" s="235"/>
      <c r="SQT26" s="235"/>
      <c r="SQU26" s="235"/>
      <c r="SQV26" s="235"/>
      <c r="SQW26" s="235"/>
      <c r="SQX26" s="235"/>
      <c r="SQY26" s="235"/>
      <c r="SQZ26" s="235"/>
      <c r="SRA26" s="235"/>
      <c r="SRB26" s="235"/>
      <c r="SRC26" s="235"/>
      <c r="SRD26" s="235"/>
      <c r="SRE26" s="235"/>
      <c r="SRF26" s="235"/>
      <c r="SRG26" s="235"/>
      <c r="SRH26" s="235"/>
      <c r="SRI26" s="235"/>
      <c r="SRJ26" s="235"/>
      <c r="SRK26" s="235"/>
      <c r="SRL26" s="235"/>
      <c r="SRM26" s="235"/>
      <c r="SRN26" s="235"/>
      <c r="SRO26" s="235"/>
      <c r="SRP26" s="235"/>
      <c r="SRQ26" s="235"/>
      <c r="SRR26" s="235"/>
      <c r="SRS26" s="235"/>
      <c r="SRT26" s="235"/>
      <c r="SRU26" s="235"/>
      <c r="SRV26" s="235"/>
      <c r="SRW26" s="235"/>
      <c r="SRX26" s="235"/>
      <c r="SRY26" s="235"/>
      <c r="SRZ26" s="235"/>
      <c r="SSA26" s="235"/>
      <c r="SSB26" s="235"/>
      <c r="SSC26" s="235"/>
      <c r="SSD26" s="235"/>
      <c r="SSE26" s="235"/>
      <c r="SSF26" s="235"/>
      <c r="SSG26" s="235"/>
      <c r="SSH26" s="235"/>
      <c r="SSI26" s="235"/>
      <c r="SSJ26" s="235"/>
      <c r="SSK26" s="235"/>
      <c r="SSL26" s="235"/>
      <c r="SSM26" s="235"/>
      <c r="SSN26" s="235"/>
      <c r="SSO26" s="235"/>
      <c r="SSP26" s="235"/>
      <c r="SSQ26" s="235"/>
      <c r="SSR26" s="235"/>
      <c r="SSS26" s="235"/>
      <c r="SST26" s="235"/>
      <c r="SSU26" s="235"/>
      <c r="SSV26" s="235"/>
      <c r="SSW26" s="235"/>
      <c r="SSX26" s="235"/>
      <c r="SSY26" s="235"/>
      <c r="SSZ26" s="235"/>
      <c r="STA26" s="235"/>
      <c r="STB26" s="235"/>
      <c r="STC26" s="235"/>
      <c r="STD26" s="235"/>
      <c r="STE26" s="235"/>
      <c r="STF26" s="235"/>
      <c r="STG26" s="235"/>
      <c r="STH26" s="235"/>
      <c r="STI26" s="235"/>
      <c r="STJ26" s="235"/>
      <c r="STK26" s="235"/>
      <c r="STL26" s="235"/>
      <c r="STM26" s="235"/>
      <c r="STN26" s="235"/>
      <c r="STO26" s="235"/>
      <c r="STP26" s="235"/>
      <c r="STQ26" s="235"/>
      <c r="STR26" s="235"/>
      <c r="STS26" s="235"/>
      <c r="STT26" s="235"/>
      <c r="STU26" s="235"/>
      <c r="STV26" s="235"/>
      <c r="STW26" s="235"/>
      <c r="STX26" s="235"/>
      <c r="STY26" s="235"/>
      <c r="STZ26" s="235"/>
      <c r="SUA26" s="235"/>
      <c r="SUB26" s="235"/>
      <c r="SUC26" s="235"/>
      <c r="SUD26" s="235"/>
      <c r="SUE26" s="235"/>
      <c r="SUF26" s="235"/>
      <c r="SUG26" s="235"/>
      <c r="SUH26" s="235"/>
      <c r="SUI26" s="235"/>
      <c r="SUJ26" s="235"/>
      <c r="SUK26" s="235"/>
      <c r="SUL26" s="235"/>
      <c r="SUM26" s="235"/>
      <c r="SUN26" s="235"/>
      <c r="SUO26" s="235"/>
      <c r="SUP26" s="235"/>
      <c r="SUQ26" s="235"/>
      <c r="SUR26" s="235"/>
      <c r="SUS26" s="235"/>
      <c r="SUT26" s="235"/>
      <c r="SUU26" s="235"/>
      <c r="SUV26" s="235"/>
      <c r="SUW26" s="235"/>
      <c r="SUX26" s="235"/>
      <c r="SUY26" s="235"/>
      <c r="SUZ26" s="235"/>
      <c r="SVA26" s="235"/>
      <c r="SVB26" s="235"/>
      <c r="SVC26" s="235"/>
      <c r="SVD26" s="235"/>
      <c r="SVE26" s="235"/>
      <c r="SVF26" s="235"/>
      <c r="SVG26" s="235"/>
      <c r="SVH26" s="235"/>
      <c r="SVI26" s="235"/>
      <c r="SVJ26" s="235"/>
      <c r="SVK26" s="235"/>
      <c r="SVL26" s="235"/>
      <c r="SVM26" s="235"/>
      <c r="SVN26" s="235"/>
      <c r="SVO26" s="235"/>
      <c r="SVP26" s="235"/>
      <c r="SVQ26" s="235"/>
      <c r="SVR26" s="235"/>
      <c r="SVS26" s="235"/>
      <c r="SVT26" s="235"/>
      <c r="SVU26" s="235"/>
      <c r="SVV26" s="235"/>
      <c r="SVW26" s="235"/>
      <c r="SVX26" s="235"/>
      <c r="SVY26" s="235"/>
      <c r="SVZ26" s="235"/>
      <c r="SWA26" s="235"/>
      <c r="SWB26" s="235"/>
      <c r="SWC26" s="235"/>
      <c r="SWD26" s="235"/>
      <c r="SWE26" s="235"/>
      <c r="SWF26" s="235"/>
      <c r="SWG26" s="235"/>
      <c r="SWH26" s="235"/>
      <c r="SWI26" s="235"/>
      <c r="SWJ26" s="235"/>
      <c r="SWK26" s="235"/>
      <c r="SWL26" s="235"/>
      <c r="SWM26" s="235"/>
      <c r="SWN26" s="235"/>
      <c r="SWO26" s="235"/>
      <c r="SWP26" s="235"/>
      <c r="SWQ26" s="235"/>
      <c r="SWR26" s="235"/>
      <c r="SWS26" s="235"/>
      <c r="SWT26" s="235"/>
      <c r="SWU26" s="235"/>
      <c r="SWV26" s="235"/>
      <c r="SWW26" s="235"/>
      <c r="SWX26" s="235"/>
      <c r="SWY26" s="235"/>
      <c r="SWZ26" s="235"/>
      <c r="SXA26" s="235"/>
      <c r="SXB26" s="235"/>
      <c r="SXC26" s="235"/>
      <c r="SXD26" s="235"/>
      <c r="SXE26" s="235"/>
      <c r="SXF26" s="235"/>
      <c r="SXG26" s="235"/>
      <c r="SXH26" s="235"/>
      <c r="SXI26" s="235"/>
      <c r="SXJ26" s="235"/>
      <c r="SXK26" s="235"/>
      <c r="SXL26" s="235"/>
      <c r="SXM26" s="235"/>
      <c r="SXN26" s="235"/>
      <c r="SXO26" s="235"/>
      <c r="SXP26" s="235"/>
      <c r="SXQ26" s="235"/>
      <c r="SXR26" s="235"/>
      <c r="SXS26" s="235"/>
      <c r="SXT26" s="235"/>
      <c r="SXU26" s="235"/>
      <c r="SXV26" s="235"/>
      <c r="SXW26" s="235"/>
      <c r="SXX26" s="235"/>
      <c r="SXY26" s="235"/>
      <c r="SXZ26" s="235"/>
      <c r="SYA26" s="235"/>
      <c r="SYB26" s="235"/>
      <c r="SYC26" s="235"/>
      <c r="SYD26" s="235"/>
      <c r="SYE26" s="235"/>
      <c r="SYF26" s="235"/>
      <c r="SYG26" s="235"/>
      <c r="SYH26" s="235"/>
      <c r="SYI26" s="235"/>
      <c r="SYJ26" s="235"/>
      <c r="SYK26" s="235"/>
      <c r="SYL26" s="235"/>
      <c r="SYM26" s="235"/>
      <c r="SYN26" s="235"/>
      <c r="SYO26" s="235"/>
      <c r="SYP26" s="235"/>
      <c r="SYQ26" s="235"/>
      <c r="SYR26" s="235"/>
      <c r="SYS26" s="235"/>
      <c r="SYT26" s="235"/>
      <c r="SYU26" s="235"/>
      <c r="SYV26" s="235"/>
      <c r="SYW26" s="235"/>
      <c r="SYX26" s="235"/>
      <c r="SYY26" s="235"/>
      <c r="SYZ26" s="235"/>
      <c r="SZA26" s="235"/>
      <c r="SZB26" s="235"/>
      <c r="SZC26" s="235"/>
      <c r="SZD26" s="235"/>
      <c r="SZE26" s="235"/>
      <c r="SZF26" s="235"/>
      <c r="SZG26" s="235"/>
      <c r="SZH26" s="235"/>
      <c r="SZI26" s="235"/>
      <c r="SZJ26" s="235"/>
      <c r="SZK26" s="235"/>
      <c r="SZL26" s="235"/>
      <c r="SZM26" s="235"/>
      <c r="SZN26" s="235"/>
      <c r="SZO26" s="235"/>
      <c r="SZP26" s="235"/>
      <c r="SZQ26" s="235"/>
      <c r="SZR26" s="235"/>
      <c r="SZS26" s="235"/>
      <c r="SZT26" s="235"/>
      <c r="SZU26" s="235"/>
      <c r="SZV26" s="235"/>
      <c r="SZW26" s="235"/>
      <c r="SZX26" s="235"/>
      <c r="SZY26" s="235"/>
      <c r="SZZ26" s="235"/>
      <c r="TAA26" s="235"/>
      <c r="TAB26" s="235"/>
      <c r="TAC26" s="235"/>
      <c r="TAD26" s="235"/>
      <c r="TAE26" s="235"/>
      <c r="TAF26" s="235"/>
      <c r="TAG26" s="235"/>
      <c r="TAH26" s="235"/>
      <c r="TAI26" s="235"/>
      <c r="TAJ26" s="235"/>
      <c r="TAK26" s="235"/>
      <c r="TAL26" s="235"/>
      <c r="TAM26" s="235"/>
      <c r="TAN26" s="235"/>
      <c r="TAO26" s="235"/>
      <c r="TAP26" s="235"/>
      <c r="TAQ26" s="235"/>
      <c r="TAR26" s="235"/>
      <c r="TAS26" s="235"/>
      <c r="TAT26" s="235"/>
      <c r="TAU26" s="235"/>
      <c r="TAV26" s="235"/>
      <c r="TAW26" s="235"/>
      <c r="TAX26" s="235"/>
      <c r="TAY26" s="235"/>
      <c r="TAZ26" s="235"/>
      <c r="TBA26" s="235"/>
      <c r="TBB26" s="235"/>
      <c r="TBC26" s="235"/>
      <c r="TBD26" s="235"/>
      <c r="TBE26" s="235"/>
      <c r="TBF26" s="235"/>
      <c r="TBG26" s="235"/>
      <c r="TBH26" s="235"/>
      <c r="TBI26" s="235"/>
      <c r="TBJ26" s="235"/>
      <c r="TBK26" s="235"/>
      <c r="TBL26" s="235"/>
      <c r="TBM26" s="235"/>
      <c r="TBN26" s="235"/>
      <c r="TBO26" s="235"/>
      <c r="TBP26" s="235"/>
      <c r="TBQ26" s="235"/>
      <c r="TBR26" s="235"/>
      <c r="TBS26" s="235"/>
      <c r="TBT26" s="235"/>
      <c r="TBU26" s="235"/>
      <c r="TBV26" s="235"/>
      <c r="TBW26" s="235"/>
      <c r="TBX26" s="235"/>
      <c r="TBY26" s="235"/>
      <c r="TBZ26" s="235"/>
      <c r="TCA26" s="235"/>
      <c r="TCB26" s="235"/>
      <c r="TCC26" s="235"/>
      <c r="TCD26" s="235"/>
      <c r="TCE26" s="235"/>
      <c r="TCF26" s="235"/>
      <c r="TCG26" s="235"/>
      <c r="TCH26" s="235"/>
      <c r="TCI26" s="235"/>
      <c r="TCJ26" s="235"/>
      <c r="TCK26" s="235"/>
      <c r="TCL26" s="235"/>
      <c r="TCM26" s="235"/>
      <c r="TCN26" s="235"/>
      <c r="TCO26" s="235"/>
      <c r="TCP26" s="235"/>
      <c r="TCQ26" s="235"/>
      <c r="TCR26" s="235"/>
      <c r="TCS26" s="235"/>
      <c r="TCT26" s="235"/>
      <c r="TCU26" s="235"/>
      <c r="TCV26" s="235"/>
      <c r="TCW26" s="235"/>
      <c r="TCX26" s="235"/>
      <c r="TCY26" s="235"/>
      <c r="TCZ26" s="235"/>
      <c r="TDA26" s="235"/>
      <c r="TDB26" s="235"/>
      <c r="TDC26" s="235"/>
      <c r="TDD26" s="235"/>
      <c r="TDE26" s="235"/>
      <c r="TDF26" s="235"/>
      <c r="TDG26" s="235"/>
      <c r="TDH26" s="235"/>
      <c r="TDI26" s="235"/>
      <c r="TDJ26" s="235"/>
      <c r="TDK26" s="235"/>
      <c r="TDL26" s="235"/>
      <c r="TDM26" s="235"/>
      <c r="TDN26" s="235"/>
      <c r="TDO26" s="235"/>
      <c r="TDP26" s="235"/>
      <c r="TDQ26" s="235"/>
      <c r="TDR26" s="235"/>
      <c r="TDS26" s="235"/>
      <c r="TDT26" s="235"/>
      <c r="TDU26" s="235"/>
      <c r="TDV26" s="235"/>
      <c r="TDW26" s="235"/>
      <c r="TDX26" s="235"/>
      <c r="TDY26" s="235"/>
      <c r="TDZ26" s="235"/>
      <c r="TEA26" s="235"/>
      <c r="TEB26" s="235"/>
      <c r="TEC26" s="235"/>
      <c r="TED26" s="235"/>
      <c r="TEE26" s="235"/>
      <c r="TEF26" s="235"/>
      <c r="TEG26" s="235"/>
      <c r="TEH26" s="235"/>
      <c r="TEI26" s="235"/>
      <c r="TEJ26" s="235"/>
      <c r="TEK26" s="235"/>
      <c r="TEL26" s="235"/>
      <c r="TEM26" s="235"/>
      <c r="TEN26" s="235"/>
      <c r="TEO26" s="235"/>
      <c r="TEP26" s="235"/>
      <c r="TEQ26" s="235"/>
      <c r="TER26" s="235"/>
      <c r="TES26" s="235"/>
      <c r="TET26" s="235"/>
      <c r="TEU26" s="235"/>
      <c r="TEV26" s="235"/>
      <c r="TEW26" s="235"/>
      <c r="TEX26" s="235"/>
      <c r="TEY26" s="235"/>
      <c r="TEZ26" s="235"/>
      <c r="TFA26" s="235"/>
      <c r="TFB26" s="235"/>
      <c r="TFC26" s="235"/>
      <c r="TFD26" s="235"/>
      <c r="TFE26" s="235"/>
      <c r="TFF26" s="235"/>
      <c r="TFG26" s="235"/>
      <c r="TFH26" s="235"/>
      <c r="TFI26" s="235"/>
      <c r="TFJ26" s="235"/>
      <c r="TFK26" s="235"/>
      <c r="TFL26" s="235"/>
      <c r="TFM26" s="235"/>
      <c r="TFN26" s="235"/>
      <c r="TFO26" s="235"/>
      <c r="TFP26" s="235"/>
      <c r="TFQ26" s="235"/>
      <c r="TFR26" s="235"/>
      <c r="TFS26" s="235"/>
      <c r="TFT26" s="235"/>
      <c r="TFU26" s="235"/>
      <c r="TFV26" s="235"/>
      <c r="TFW26" s="235"/>
      <c r="TFX26" s="235"/>
      <c r="TFY26" s="235"/>
      <c r="TFZ26" s="235"/>
      <c r="TGA26" s="235"/>
      <c r="TGB26" s="235"/>
      <c r="TGC26" s="235"/>
      <c r="TGD26" s="235"/>
      <c r="TGE26" s="235"/>
      <c r="TGF26" s="235"/>
      <c r="TGG26" s="235"/>
      <c r="TGH26" s="235"/>
      <c r="TGI26" s="235"/>
      <c r="TGJ26" s="235"/>
      <c r="TGK26" s="235"/>
      <c r="TGL26" s="235"/>
      <c r="TGM26" s="235"/>
      <c r="TGN26" s="235"/>
      <c r="TGO26" s="235"/>
      <c r="TGP26" s="235"/>
      <c r="TGQ26" s="235"/>
      <c r="TGR26" s="235"/>
      <c r="TGS26" s="235"/>
      <c r="TGT26" s="235"/>
      <c r="TGU26" s="235"/>
      <c r="TGV26" s="235"/>
      <c r="TGW26" s="235"/>
      <c r="TGX26" s="235"/>
      <c r="TGY26" s="235"/>
      <c r="TGZ26" s="235"/>
      <c r="THA26" s="235"/>
      <c r="THB26" s="235"/>
      <c r="THC26" s="235"/>
      <c r="THD26" s="235"/>
      <c r="THE26" s="235"/>
      <c r="THF26" s="235"/>
      <c r="THG26" s="235"/>
      <c r="THH26" s="235"/>
      <c r="THI26" s="235"/>
      <c r="THJ26" s="235"/>
      <c r="THK26" s="235"/>
      <c r="THL26" s="235"/>
      <c r="THM26" s="235"/>
      <c r="THN26" s="235"/>
      <c r="THO26" s="235"/>
      <c r="THP26" s="235"/>
      <c r="THQ26" s="235"/>
      <c r="THR26" s="235"/>
      <c r="THS26" s="235"/>
      <c r="THT26" s="235"/>
      <c r="THU26" s="235"/>
      <c r="THV26" s="235"/>
      <c r="THW26" s="235"/>
      <c r="THX26" s="235"/>
      <c r="THY26" s="235"/>
      <c r="THZ26" s="235"/>
      <c r="TIA26" s="235"/>
      <c r="TIB26" s="235"/>
      <c r="TIC26" s="235"/>
      <c r="TID26" s="235"/>
      <c r="TIE26" s="235"/>
      <c r="TIF26" s="235"/>
      <c r="TIG26" s="235"/>
      <c r="TIH26" s="235"/>
      <c r="TII26" s="235"/>
      <c r="TIJ26" s="235"/>
      <c r="TIK26" s="235"/>
      <c r="TIL26" s="235"/>
      <c r="TIM26" s="235"/>
      <c r="TIN26" s="235"/>
      <c r="TIO26" s="235"/>
      <c r="TIP26" s="235"/>
      <c r="TIQ26" s="235"/>
      <c r="TIR26" s="235"/>
      <c r="TIS26" s="235"/>
      <c r="TIT26" s="235"/>
      <c r="TIU26" s="235"/>
      <c r="TIV26" s="235"/>
      <c r="TIW26" s="235"/>
      <c r="TIX26" s="235"/>
      <c r="TIY26" s="235"/>
      <c r="TIZ26" s="235"/>
      <c r="TJA26" s="235"/>
      <c r="TJB26" s="235"/>
      <c r="TJC26" s="235"/>
      <c r="TJD26" s="235"/>
      <c r="TJE26" s="235"/>
      <c r="TJF26" s="235"/>
      <c r="TJG26" s="235"/>
      <c r="TJH26" s="235"/>
      <c r="TJI26" s="235"/>
      <c r="TJJ26" s="235"/>
      <c r="TJK26" s="235"/>
      <c r="TJL26" s="235"/>
      <c r="TJM26" s="235"/>
      <c r="TJN26" s="235"/>
      <c r="TJO26" s="235"/>
      <c r="TJP26" s="235"/>
      <c r="TJQ26" s="235"/>
      <c r="TJR26" s="235"/>
      <c r="TJS26" s="235"/>
      <c r="TJT26" s="235"/>
      <c r="TJU26" s="235"/>
      <c r="TJV26" s="235"/>
      <c r="TJW26" s="235"/>
      <c r="TJX26" s="235"/>
      <c r="TJY26" s="235"/>
      <c r="TJZ26" s="235"/>
      <c r="TKA26" s="235"/>
      <c r="TKB26" s="235"/>
      <c r="TKC26" s="235"/>
      <c r="TKD26" s="235"/>
      <c r="TKE26" s="235"/>
      <c r="TKF26" s="235"/>
      <c r="TKG26" s="235"/>
      <c r="TKH26" s="235"/>
      <c r="TKI26" s="235"/>
      <c r="TKJ26" s="235"/>
      <c r="TKK26" s="235"/>
      <c r="TKL26" s="235"/>
      <c r="TKM26" s="235"/>
      <c r="TKN26" s="235"/>
      <c r="TKO26" s="235"/>
      <c r="TKP26" s="235"/>
      <c r="TKQ26" s="235"/>
      <c r="TKR26" s="235"/>
      <c r="TKS26" s="235"/>
      <c r="TKT26" s="235"/>
      <c r="TKU26" s="235"/>
      <c r="TKV26" s="235"/>
      <c r="TKW26" s="235"/>
      <c r="TKX26" s="235"/>
      <c r="TKY26" s="235"/>
      <c r="TKZ26" s="235"/>
      <c r="TLA26" s="235"/>
      <c r="TLB26" s="235"/>
      <c r="TLC26" s="235"/>
      <c r="TLD26" s="235"/>
      <c r="TLE26" s="235"/>
      <c r="TLF26" s="235"/>
      <c r="TLG26" s="235"/>
      <c r="TLH26" s="235"/>
      <c r="TLI26" s="235"/>
      <c r="TLJ26" s="235"/>
      <c r="TLK26" s="235"/>
      <c r="TLL26" s="235"/>
      <c r="TLM26" s="235"/>
      <c r="TLN26" s="235"/>
      <c r="TLO26" s="235"/>
      <c r="TLP26" s="235"/>
      <c r="TLQ26" s="235"/>
      <c r="TLR26" s="235"/>
      <c r="TLS26" s="235"/>
      <c r="TLT26" s="235"/>
      <c r="TLU26" s="235"/>
      <c r="TLV26" s="235"/>
      <c r="TLW26" s="235"/>
      <c r="TLX26" s="235"/>
      <c r="TLY26" s="235"/>
      <c r="TLZ26" s="235"/>
      <c r="TMA26" s="235"/>
      <c r="TMB26" s="235"/>
      <c r="TMC26" s="235"/>
      <c r="TMD26" s="235"/>
      <c r="TME26" s="235"/>
      <c r="TMF26" s="235"/>
      <c r="TMG26" s="235"/>
      <c r="TMH26" s="235"/>
      <c r="TMI26" s="235"/>
      <c r="TMJ26" s="235"/>
      <c r="TMK26" s="235"/>
      <c r="TML26" s="235"/>
      <c r="TMM26" s="235"/>
      <c r="TMN26" s="235"/>
      <c r="TMO26" s="235"/>
      <c r="TMP26" s="235"/>
      <c r="TMQ26" s="235"/>
      <c r="TMR26" s="235"/>
      <c r="TMS26" s="235"/>
      <c r="TMT26" s="235"/>
      <c r="TMU26" s="235"/>
      <c r="TMV26" s="235"/>
      <c r="TMW26" s="235"/>
      <c r="TMX26" s="235"/>
      <c r="TMY26" s="235"/>
      <c r="TMZ26" s="235"/>
      <c r="TNA26" s="235"/>
      <c r="TNB26" s="235"/>
      <c r="TNC26" s="235"/>
      <c r="TND26" s="235"/>
      <c r="TNE26" s="235"/>
      <c r="TNF26" s="235"/>
      <c r="TNG26" s="235"/>
      <c r="TNH26" s="235"/>
      <c r="TNI26" s="235"/>
      <c r="TNJ26" s="235"/>
      <c r="TNK26" s="235"/>
      <c r="TNL26" s="235"/>
      <c r="TNM26" s="235"/>
      <c r="TNN26" s="235"/>
      <c r="TNO26" s="235"/>
      <c r="TNP26" s="235"/>
      <c r="TNQ26" s="235"/>
      <c r="TNR26" s="235"/>
      <c r="TNS26" s="235"/>
      <c r="TNT26" s="235"/>
      <c r="TNU26" s="235"/>
      <c r="TNV26" s="235"/>
      <c r="TNW26" s="235"/>
      <c r="TNX26" s="235"/>
      <c r="TNY26" s="235"/>
      <c r="TNZ26" s="235"/>
      <c r="TOA26" s="235"/>
      <c r="TOB26" s="235"/>
      <c r="TOC26" s="235"/>
      <c r="TOD26" s="235"/>
      <c r="TOE26" s="235"/>
      <c r="TOF26" s="235"/>
      <c r="TOG26" s="235"/>
      <c r="TOH26" s="235"/>
      <c r="TOI26" s="235"/>
      <c r="TOJ26" s="235"/>
      <c r="TOK26" s="235"/>
      <c r="TOL26" s="235"/>
      <c r="TOM26" s="235"/>
      <c r="TON26" s="235"/>
      <c r="TOO26" s="235"/>
      <c r="TOP26" s="235"/>
      <c r="TOQ26" s="235"/>
      <c r="TOR26" s="235"/>
      <c r="TOS26" s="235"/>
      <c r="TOT26" s="235"/>
      <c r="TOU26" s="235"/>
      <c r="TOV26" s="235"/>
      <c r="TOW26" s="235"/>
      <c r="TOX26" s="235"/>
      <c r="TOY26" s="235"/>
      <c r="TOZ26" s="235"/>
      <c r="TPA26" s="235"/>
      <c r="TPB26" s="235"/>
      <c r="TPC26" s="235"/>
      <c r="TPD26" s="235"/>
      <c r="TPE26" s="235"/>
      <c r="TPF26" s="235"/>
      <c r="TPG26" s="235"/>
      <c r="TPH26" s="235"/>
      <c r="TPI26" s="235"/>
      <c r="TPJ26" s="235"/>
      <c r="TPK26" s="235"/>
      <c r="TPL26" s="235"/>
      <c r="TPM26" s="235"/>
      <c r="TPN26" s="235"/>
      <c r="TPO26" s="235"/>
      <c r="TPP26" s="235"/>
      <c r="TPQ26" s="235"/>
      <c r="TPR26" s="235"/>
      <c r="TPS26" s="235"/>
      <c r="TPT26" s="235"/>
      <c r="TPU26" s="235"/>
      <c r="TPV26" s="235"/>
      <c r="TPW26" s="235"/>
      <c r="TPX26" s="235"/>
      <c r="TPY26" s="235"/>
      <c r="TPZ26" s="235"/>
      <c r="TQA26" s="235"/>
      <c r="TQB26" s="235"/>
      <c r="TQC26" s="235"/>
      <c r="TQD26" s="235"/>
      <c r="TQE26" s="235"/>
      <c r="TQF26" s="235"/>
      <c r="TQG26" s="235"/>
      <c r="TQH26" s="235"/>
      <c r="TQI26" s="235"/>
      <c r="TQJ26" s="235"/>
      <c r="TQK26" s="235"/>
      <c r="TQL26" s="235"/>
      <c r="TQM26" s="235"/>
      <c r="TQN26" s="235"/>
      <c r="TQO26" s="235"/>
      <c r="TQP26" s="235"/>
      <c r="TQQ26" s="235"/>
      <c r="TQR26" s="235"/>
      <c r="TQS26" s="235"/>
      <c r="TQT26" s="235"/>
      <c r="TQU26" s="235"/>
      <c r="TQV26" s="235"/>
      <c r="TQW26" s="235"/>
      <c r="TQX26" s="235"/>
      <c r="TQY26" s="235"/>
      <c r="TQZ26" s="235"/>
      <c r="TRA26" s="235"/>
      <c r="TRB26" s="235"/>
      <c r="TRC26" s="235"/>
      <c r="TRD26" s="235"/>
      <c r="TRE26" s="235"/>
      <c r="TRF26" s="235"/>
      <c r="TRG26" s="235"/>
      <c r="TRH26" s="235"/>
      <c r="TRI26" s="235"/>
      <c r="TRJ26" s="235"/>
      <c r="TRK26" s="235"/>
      <c r="TRL26" s="235"/>
      <c r="TRM26" s="235"/>
      <c r="TRN26" s="235"/>
      <c r="TRO26" s="235"/>
      <c r="TRP26" s="235"/>
      <c r="TRQ26" s="235"/>
      <c r="TRR26" s="235"/>
      <c r="TRS26" s="235"/>
      <c r="TRT26" s="235"/>
      <c r="TRU26" s="235"/>
      <c r="TRV26" s="235"/>
      <c r="TRW26" s="235"/>
      <c r="TRX26" s="235"/>
      <c r="TRY26" s="235"/>
      <c r="TRZ26" s="235"/>
      <c r="TSA26" s="235"/>
      <c r="TSB26" s="235"/>
      <c r="TSC26" s="235"/>
      <c r="TSD26" s="235"/>
      <c r="TSE26" s="235"/>
      <c r="TSF26" s="235"/>
      <c r="TSG26" s="235"/>
      <c r="TSH26" s="235"/>
      <c r="TSI26" s="235"/>
      <c r="TSJ26" s="235"/>
      <c r="TSK26" s="235"/>
      <c r="TSL26" s="235"/>
      <c r="TSM26" s="235"/>
      <c r="TSN26" s="235"/>
      <c r="TSO26" s="235"/>
      <c r="TSP26" s="235"/>
      <c r="TSQ26" s="235"/>
      <c r="TSR26" s="235"/>
      <c r="TSS26" s="235"/>
      <c r="TST26" s="235"/>
      <c r="TSU26" s="235"/>
      <c r="TSV26" s="235"/>
      <c r="TSW26" s="235"/>
      <c r="TSX26" s="235"/>
      <c r="TSY26" s="235"/>
      <c r="TSZ26" s="235"/>
      <c r="TTA26" s="235"/>
      <c r="TTB26" s="235"/>
      <c r="TTC26" s="235"/>
      <c r="TTD26" s="235"/>
      <c r="TTE26" s="235"/>
      <c r="TTF26" s="235"/>
      <c r="TTG26" s="235"/>
      <c r="TTH26" s="235"/>
      <c r="TTI26" s="235"/>
      <c r="TTJ26" s="235"/>
      <c r="TTK26" s="235"/>
      <c r="TTL26" s="235"/>
      <c r="TTM26" s="235"/>
      <c r="TTN26" s="235"/>
      <c r="TTO26" s="235"/>
      <c r="TTP26" s="235"/>
      <c r="TTQ26" s="235"/>
      <c r="TTR26" s="235"/>
      <c r="TTS26" s="235"/>
      <c r="TTT26" s="235"/>
      <c r="TTU26" s="235"/>
      <c r="TTV26" s="235"/>
      <c r="TTW26" s="235"/>
      <c r="TTX26" s="235"/>
      <c r="TTY26" s="235"/>
      <c r="TTZ26" s="235"/>
      <c r="TUA26" s="235"/>
      <c r="TUB26" s="235"/>
      <c r="TUC26" s="235"/>
      <c r="TUD26" s="235"/>
      <c r="TUE26" s="235"/>
      <c r="TUF26" s="235"/>
      <c r="TUG26" s="235"/>
      <c r="TUH26" s="235"/>
      <c r="TUI26" s="235"/>
      <c r="TUJ26" s="235"/>
      <c r="TUK26" s="235"/>
      <c r="TUL26" s="235"/>
      <c r="TUM26" s="235"/>
      <c r="TUN26" s="235"/>
      <c r="TUO26" s="235"/>
      <c r="TUP26" s="235"/>
      <c r="TUQ26" s="235"/>
      <c r="TUR26" s="235"/>
      <c r="TUS26" s="235"/>
      <c r="TUT26" s="235"/>
      <c r="TUU26" s="235"/>
      <c r="TUV26" s="235"/>
      <c r="TUW26" s="235"/>
      <c r="TUX26" s="235"/>
      <c r="TUY26" s="235"/>
      <c r="TUZ26" s="235"/>
      <c r="TVA26" s="235"/>
      <c r="TVB26" s="235"/>
      <c r="TVC26" s="235"/>
      <c r="TVD26" s="235"/>
      <c r="TVE26" s="235"/>
      <c r="TVF26" s="235"/>
      <c r="TVG26" s="235"/>
      <c r="TVH26" s="235"/>
      <c r="TVI26" s="235"/>
      <c r="TVJ26" s="235"/>
      <c r="TVK26" s="235"/>
      <c r="TVL26" s="235"/>
      <c r="TVM26" s="235"/>
      <c r="TVN26" s="235"/>
      <c r="TVO26" s="235"/>
      <c r="TVP26" s="235"/>
      <c r="TVQ26" s="235"/>
      <c r="TVR26" s="235"/>
      <c r="TVS26" s="235"/>
      <c r="TVT26" s="235"/>
      <c r="TVU26" s="235"/>
      <c r="TVV26" s="235"/>
      <c r="TVW26" s="235"/>
      <c r="TVX26" s="235"/>
      <c r="TVY26" s="235"/>
      <c r="TVZ26" s="235"/>
      <c r="TWA26" s="235"/>
      <c r="TWB26" s="235"/>
      <c r="TWC26" s="235"/>
      <c r="TWD26" s="235"/>
      <c r="TWE26" s="235"/>
      <c r="TWF26" s="235"/>
      <c r="TWG26" s="235"/>
      <c r="TWH26" s="235"/>
      <c r="TWI26" s="235"/>
      <c r="TWJ26" s="235"/>
      <c r="TWK26" s="235"/>
      <c r="TWL26" s="235"/>
      <c r="TWM26" s="235"/>
      <c r="TWN26" s="235"/>
      <c r="TWO26" s="235"/>
      <c r="TWP26" s="235"/>
      <c r="TWQ26" s="235"/>
      <c r="TWR26" s="235"/>
      <c r="TWS26" s="235"/>
      <c r="TWT26" s="235"/>
      <c r="TWU26" s="235"/>
      <c r="TWV26" s="235"/>
      <c r="TWW26" s="235"/>
      <c r="TWX26" s="235"/>
      <c r="TWY26" s="235"/>
      <c r="TWZ26" s="235"/>
      <c r="TXA26" s="235"/>
      <c r="TXB26" s="235"/>
      <c r="TXC26" s="235"/>
      <c r="TXD26" s="235"/>
      <c r="TXE26" s="235"/>
      <c r="TXF26" s="235"/>
      <c r="TXG26" s="235"/>
      <c r="TXH26" s="235"/>
      <c r="TXI26" s="235"/>
      <c r="TXJ26" s="235"/>
      <c r="TXK26" s="235"/>
      <c r="TXL26" s="235"/>
      <c r="TXM26" s="235"/>
      <c r="TXN26" s="235"/>
      <c r="TXO26" s="235"/>
      <c r="TXP26" s="235"/>
      <c r="TXQ26" s="235"/>
      <c r="TXR26" s="235"/>
      <c r="TXS26" s="235"/>
      <c r="TXT26" s="235"/>
      <c r="TXU26" s="235"/>
      <c r="TXV26" s="235"/>
      <c r="TXW26" s="235"/>
      <c r="TXX26" s="235"/>
      <c r="TXY26" s="235"/>
      <c r="TXZ26" s="235"/>
      <c r="TYA26" s="235"/>
      <c r="TYB26" s="235"/>
      <c r="TYC26" s="235"/>
      <c r="TYD26" s="235"/>
      <c r="TYE26" s="235"/>
      <c r="TYF26" s="235"/>
      <c r="TYG26" s="235"/>
      <c r="TYH26" s="235"/>
      <c r="TYI26" s="235"/>
      <c r="TYJ26" s="235"/>
      <c r="TYK26" s="235"/>
      <c r="TYL26" s="235"/>
      <c r="TYM26" s="235"/>
      <c r="TYN26" s="235"/>
      <c r="TYO26" s="235"/>
      <c r="TYP26" s="235"/>
      <c r="TYQ26" s="235"/>
      <c r="TYR26" s="235"/>
      <c r="TYS26" s="235"/>
      <c r="TYT26" s="235"/>
      <c r="TYU26" s="235"/>
      <c r="TYV26" s="235"/>
      <c r="TYW26" s="235"/>
      <c r="TYX26" s="235"/>
      <c r="TYY26" s="235"/>
      <c r="TYZ26" s="235"/>
      <c r="TZA26" s="235"/>
      <c r="TZB26" s="235"/>
      <c r="TZC26" s="235"/>
      <c r="TZD26" s="235"/>
      <c r="TZE26" s="235"/>
      <c r="TZF26" s="235"/>
      <c r="TZG26" s="235"/>
      <c r="TZH26" s="235"/>
      <c r="TZI26" s="235"/>
      <c r="TZJ26" s="235"/>
      <c r="TZK26" s="235"/>
      <c r="TZL26" s="235"/>
      <c r="TZM26" s="235"/>
      <c r="TZN26" s="235"/>
      <c r="TZO26" s="235"/>
      <c r="TZP26" s="235"/>
      <c r="TZQ26" s="235"/>
      <c r="TZR26" s="235"/>
      <c r="TZS26" s="235"/>
      <c r="TZT26" s="235"/>
      <c r="TZU26" s="235"/>
      <c r="TZV26" s="235"/>
      <c r="TZW26" s="235"/>
      <c r="TZX26" s="235"/>
      <c r="TZY26" s="235"/>
      <c r="TZZ26" s="235"/>
      <c r="UAA26" s="235"/>
      <c r="UAB26" s="235"/>
      <c r="UAC26" s="235"/>
      <c r="UAD26" s="235"/>
      <c r="UAE26" s="235"/>
      <c r="UAF26" s="235"/>
      <c r="UAG26" s="235"/>
      <c r="UAH26" s="235"/>
      <c r="UAI26" s="235"/>
      <c r="UAJ26" s="235"/>
      <c r="UAK26" s="235"/>
      <c r="UAL26" s="235"/>
      <c r="UAM26" s="235"/>
      <c r="UAN26" s="235"/>
      <c r="UAO26" s="235"/>
      <c r="UAP26" s="235"/>
      <c r="UAQ26" s="235"/>
      <c r="UAR26" s="235"/>
      <c r="UAS26" s="235"/>
      <c r="UAT26" s="235"/>
      <c r="UAU26" s="235"/>
      <c r="UAV26" s="235"/>
      <c r="UAW26" s="235"/>
      <c r="UAX26" s="235"/>
      <c r="UAY26" s="235"/>
      <c r="UAZ26" s="235"/>
      <c r="UBA26" s="235"/>
      <c r="UBB26" s="235"/>
      <c r="UBC26" s="235"/>
      <c r="UBD26" s="235"/>
      <c r="UBE26" s="235"/>
      <c r="UBF26" s="235"/>
      <c r="UBG26" s="235"/>
      <c r="UBH26" s="235"/>
      <c r="UBI26" s="235"/>
      <c r="UBJ26" s="235"/>
      <c r="UBK26" s="235"/>
      <c r="UBL26" s="235"/>
      <c r="UBM26" s="235"/>
      <c r="UBN26" s="235"/>
      <c r="UBO26" s="235"/>
      <c r="UBP26" s="235"/>
      <c r="UBQ26" s="235"/>
      <c r="UBR26" s="235"/>
      <c r="UBS26" s="235"/>
      <c r="UBT26" s="235"/>
      <c r="UBU26" s="235"/>
      <c r="UBV26" s="235"/>
      <c r="UBW26" s="235"/>
      <c r="UBX26" s="235"/>
      <c r="UBY26" s="235"/>
      <c r="UBZ26" s="235"/>
      <c r="UCA26" s="235"/>
      <c r="UCB26" s="235"/>
      <c r="UCC26" s="235"/>
      <c r="UCD26" s="235"/>
      <c r="UCE26" s="235"/>
      <c r="UCF26" s="235"/>
      <c r="UCG26" s="235"/>
      <c r="UCH26" s="235"/>
      <c r="UCI26" s="235"/>
      <c r="UCJ26" s="235"/>
      <c r="UCK26" s="235"/>
      <c r="UCL26" s="235"/>
      <c r="UCM26" s="235"/>
      <c r="UCN26" s="235"/>
      <c r="UCO26" s="235"/>
      <c r="UCP26" s="235"/>
      <c r="UCQ26" s="235"/>
      <c r="UCR26" s="235"/>
      <c r="UCS26" s="235"/>
      <c r="UCT26" s="235"/>
      <c r="UCU26" s="235"/>
      <c r="UCV26" s="235"/>
      <c r="UCW26" s="235"/>
      <c r="UCX26" s="235"/>
      <c r="UCY26" s="235"/>
      <c r="UCZ26" s="235"/>
      <c r="UDA26" s="235"/>
      <c r="UDB26" s="235"/>
      <c r="UDC26" s="235"/>
      <c r="UDD26" s="235"/>
      <c r="UDE26" s="235"/>
      <c r="UDF26" s="235"/>
      <c r="UDG26" s="235"/>
      <c r="UDH26" s="235"/>
      <c r="UDI26" s="235"/>
      <c r="UDJ26" s="235"/>
      <c r="UDK26" s="235"/>
      <c r="UDL26" s="235"/>
      <c r="UDM26" s="235"/>
      <c r="UDN26" s="235"/>
      <c r="UDO26" s="235"/>
      <c r="UDP26" s="235"/>
      <c r="UDQ26" s="235"/>
      <c r="UDR26" s="235"/>
      <c r="UDS26" s="235"/>
      <c r="UDT26" s="235"/>
      <c r="UDU26" s="235"/>
      <c r="UDV26" s="235"/>
      <c r="UDW26" s="235"/>
      <c r="UDX26" s="235"/>
      <c r="UDY26" s="235"/>
      <c r="UDZ26" s="235"/>
      <c r="UEA26" s="235"/>
      <c r="UEB26" s="235"/>
      <c r="UEC26" s="235"/>
      <c r="UED26" s="235"/>
      <c r="UEE26" s="235"/>
      <c r="UEF26" s="235"/>
      <c r="UEG26" s="235"/>
      <c r="UEH26" s="235"/>
      <c r="UEI26" s="235"/>
      <c r="UEJ26" s="235"/>
      <c r="UEK26" s="235"/>
      <c r="UEL26" s="235"/>
      <c r="UEM26" s="235"/>
      <c r="UEN26" s="235"/>
      <c r="UEO26" s="235"/>
      <c r="UEP26" s="235"/>
      <c r="UEQ26" s="235"/>
      <c r="UER26" s="235"/>
      <c r="UES26" s="235"/>
      <c r="UET26" s="235"/>
      <c r="UEU26" s="235"/>
      <c r="UEV26" s="235"/>
      <c r="UEW26" s="235"/>
      <c r="UEX26" s="235"/>
      <c r="UEY26" s="235"/>
      <c r="UEZ26" s="235"/>
      <c r="UFA26" s="235"/>
      <c r="UFB26" s="235"/>
      <c r="UFC26" s="235"/>
      <c r="UFD26" s="235"/>
      <c r="UFE26" s="235"/>
      <c r="UFF26" s="235"/>
      <c r="UFG26" s="235"/>
      <c r="UFH26" s="235"/>
      <c r="UFI26" s="235"/>
      <c r="UFJ26" s="235"/>
      <c r="UFK26" s="235"/>
      <c r="UFL26" s="235"/>
      <c r="UFM26" s="235"/>
      <c r="UFN26" s="235"/>
      <c r="UFO26" s="235"/>
      <c r="UFP26" s="235"/>
      <c r="UFQ26" s="235"/>
      <c r="UFR26" s="235"/>
      <c r="UFS26" s="235"/>
      <c r="UFT26" s="235"/>
      <c r="UFU26" s="235"/>
      <c r="UFV26" s="235"/>
      <c r="UFW26" s="235"/>
      <c r="UFX26" s="235"/>
      <c r="UFY26" s="235"/>
      <c r="UFZ26" s="235"/>
      <c r="UGA26" s="235"/>
      <c r="UGB26" s="235"/>
      <c r="UGC26" s="235"/>
      <c r="UGD26" s="235"/>
      <c r="UGE26" s="235"/>
      <c r="UGF26" s="235"/>
      <c r="UGG26" s="235"/>
      <c r="UGH26" s="235"/>
      <c r="UGI26" s="235"/>
      <c r="UGJ26" s="235"/>
      <c r="UGK26" s="235"/>
      <c r="UGL26" s="235"/>
      <c r="UGM26" s="235"/>
      <c r="UGN26" s="235"/>
      <c r="UGO26" s="235"/>
      <c r="UGP26" s="235"/>
      <c r="UGQ26" s="235"/>
      <c r="UGR26" s="235"/>
      <c r="UGS26" s="235"/>
      <c r="UGT26" s="235"/>
      <c r="UGU26" s="235"/>
      <c r="UGV26" s="235"/>
      <c r="UGW26" s="235"/>
      <c r="UGX26" s="235"/>
      <c r="UGY26" s="235"/>
      <c r="UGZ26" s="235"/>
      <c r="UHA26" s="235"/>
      <c r="UHB26" s="235"/>
      <c r="UHC26" s="235"/>
      <c r="UHD26" s="235"/>
      <c r="UHE26" s="235"/>
      <c r="UHF26" s="235"/>
      <c r="UHG26" s="235"/>
      <c r="UHH26" s="235"/>
      <c r="UHI26" s="235"/>
      <c r="UHJ26" s="235"/>
      <c r="UHK26" s="235"/>
      <c r="UHL26" s="235"/>
      <c r="UHM26" s="235"/>
      <c r="UHN26" s="235"/>
      <c r="UHO26" s="235"/>
      <c r="UHP26" s="235"/>
      <c r="UHQ26" s="235"/>
      <c r="UHR26" s="235"/>
      <c r="UHS26" s="235"/>
      <c r="UHT26" s="235"/>
      <c r="UHU26" s="235"/>
      <c r="UHV26" s="235"/>
      <c r="UHW26" s="235"/>
      <c r="UHX26" s="235"/>
      <c r="UHY26" s="235"/>
      <c r="UHZ26" s="235"/>
      <c r="UIA26" s="235"/>
      <c r="UIB26" s="235"/>
      <c r="UIC26" s="235"/>
      <c r="UID26" s="235"/>
      <c r="UIE26" s="235"/>
      <c r="UIF26" s="235"/>
      <c r="UIG26" s="235"/>
      <c r="UIH26" s="235"/>
      <c r="UII26" s="235"/>
      <c r="UIJ26" s="235"/>
      <c r="UIK26" s="235"/>
      <c r="UIL26" s="235"/>
      <c r="UIM26" s="235"/>
      <c r="UIN26" s="235"/>
      <c r="UIO26" s="235"/>
      <c r="UIP26" s="235"/>
      <c r="UIQ26" s="235"/>
      <c r="UIR26" s="235"/>
      <c r="UIS26" s="235"/>
      <c r="UIT26" s="235"/>
      <c r="UIU26" s="235"/>
      <c r="UIV26" s="235"/>
      <c r="UIW26" s="235"/>
      <c r="UIX26" s="235"/>
      <c r="UIY26" s="235"/>
      <c r="UIZ26" s="235"/>
      <c r="UJA26" s="235"/>
      <c r="UJB26" s="235"/>
      <c r="UJC26" s="235"/>
      <c r="UJD26" s="235"/>
      <c r="UJE26" s="235"/>
      <c r="UJF26" s="235"/>
      <c r="UJG26" s="235"/>
      <c r="UJH26" s="235"/>
      <c r="UJI26" s="235"/>
      <c r="UJJ26" s="235"/>
      <c r="UJK26" s="235"/>
      <c r="UJL26" s="235"/>
      <c r="UJM26" s="235"/>
      <c r="UJN26" s="235"/>
      <c r="UJO26" s="235"/>
      <c r="UJP26" s="235"/>
      <c r="UJQ26" s="235"/>
      <c r="UJR26" s="235"/>
      <c r="UJS26" s="235"/>
      <c r="UJT26" s="235"/>
      <c r="UJU26" s="235"/>
      <c r="UJV26" s="235"/>
      <c r="UJW26" s="235"/>
      <c r="UJX26" s="235"/>
      <c r="UJY26" s="235"/>
      <c r="UJZ26" s="235"/>
      <c r="UKA26" s="235"/>
      <c r="UKB26" s="235"/>
      <c r="UKC26" s="235"/>
      <c r="UKD26" s="235"/>
      <c r="UKE26" s="235"/>
      <c r="UKF26" s="235"/>
      <c r="UKG26" s="235"/>
      <c r="UKH26" s="235"/>
      <c r="UKI26" s="235"/>
      <c r="UKJ26" s="235"/>
      <c r="UKK26" s="235"/>
      <c r="UKL26" s="235"/>
      <c r="UKM26" s="235"/>
      <c r="UKN26" s="235"/>
      <c r="UKO26" s="235"/>
      <c r="UKP26" s="235"/>
      <c r="UKQ26" s="235"/>
      <c r="UKR26" s="235"/>
      <c r="UKS26" s="235"/>
      <c r="UKT26" s="235"/>
      <c r="UKU26" s="235"/>
      <c r="UKV26" s="235"/>
      <c r="UKW26" s="235"/>
      <c r="UKX26" s="235"/>
      <c r="UKY26" s="235"/>
      <c r="UKZ26" s="235"/>
      <c r="ULA26" s="235"/>
      <c r="ULB26" s="235"/>
      <c r="ULC26" s="235"/>
      <c r="ULD26" s="235"/>
      <c r="ULE26" s="235"/>
      <c r="ULF26" s="235"/>
      <c r="ULG26" s="235"/>
      <c r="ULH26" s="235"/>
      <c r="ULI26" s="235"/>
      <c r="ULJ26" s="235"/>
      <c r="ULK26" s="235"/>
      <c r="ULL26" s="235"/>
      <c r="ULM26" s="235"/>
      <c r="ULN26" s="235"/>
      <c r="ULO26" s="235"/>
      <c r="ULP26" s="235"/>
      <c r="ULQ26" s="235"/>
      <c r="ULR26" s="235"/>
      <c r="ULS26" s="235"/>
      <c r="ULT26" s="235"/>
      <c r="ULU26" s="235"/>
      <c r="ULV26" s="235"/>
      <c r="ULW26" s="235"/>
      <c r="ULX26" s="235"/>
      <c r="ULY26" s="235"/>
      <c r="ULZ26" s="235"/>
      <c r="UMA26" s="235"/>
      <c r="UMB26" s="235"/>
      <c r="UMC26" s="235"/>
      <c r="UMD26" s="235"/>
      <c r="UME26" s="235"/>
      <c r="UMF26" s="235"/>
      <c r="UMG26" s="235"/>
      <c r="UMH26" s="235"/>
      <c r="UMI26" s="235"/>
      <c r="UMJ26" s="235"/>
      <c r="UMK26" s="235"/>
      <c r="UML26" s="235"/>
      <c r="UMM26" s="235"/>
      <c r="UMN26" s="235"/>
      <c r="UMO26" s="235"/>
      <c r="UMP26" s="235"/>
      <c r="UMQ26" s="235"/>
      <c r="UMR26" s="235"/>
      <c r="UMS26" s="235"/>
      <c r="UMT26" s="235"/>
      <c r="UMU26" s="235"/>
      <c r="UMV26" s="235"/>
      <c r="UMW26" s="235"/>
      <c r="UMX26" s="235"/>
      <c r="UMY26" s="235"/>
      <c r="UMZ26" s="235"/>
      <c r="UNA26" s="235"/>
      <c r="UNB26" s="235"/>
      <c r="UNC26" s="235"/>
      <c r="UND26" s="235"/>
      <c r="UNE26" s="235"/>
      <c r="UNF26" s="235"/>
      <c r="UNG26" s="235"/>
      <c r="UNH26" s="235"/>
      <c r="UNI26" s="235"/>
      <c r="UNJ26" s="235"/>
      <c r="UNK26" s="235"/>
      <c r="UNL26" s="235"/>
      <c r="UNM26" s="235"/>
      <c r="UNN26" s="235"/>
      <c r="UNO26" s="235"/>
      <c r="UNP26" s="235"/>
      <c r="UNQ26" s="235"/>
      <c r="UNR26" s="235"/>
      <c r="UNS26" s="235"/>
      <c r="UNT26" s="235"/>
      <c r="UNU26" s="235"/>
      <c r="UNV26" s="235"/>
      <c r="UNW26" s="235"/>
      <c r="UNX26" s="235"/>
      <c r="UNY26" s="235"/>
      <c r="UNZ26" s="235"/>
      <c r="UOA26" s="235"/>
      <c r="UOB26" s="235"/>
      <c r="UOC26" s="235"/>
      <c r="UOD26" s="235"/>
      <c r="UOE26" s="235"/>
      <c r="UOF26" s="235"/>
      <c r="UOG26" s="235"/>
      <c r="UOH26" s="235"/>
      <c r="UOI26" s="235"/>
      <c r="UOJ26" s="235"/>
      <c r="UOK26" s="235"/>
      <c r="UOL26" s="235"/>
      <c r="UOM26" s="235"/>
      <c r="UON26" s="235"/>
      <c r="UOO26" s="235"/>
      <c r="UOP26" s="235"/>
      <c r="UOQ26" s="235"/>
      <c r="UOR26" s="235"/>
      <c r="UOS26" s="235"/>
      <c r="UOT26" s="235"/>
      <c r="UOU26" s="235"/>
      <c r="UOV26" s="235"/>
      <c r="UOW26" s="235"/>
      <c r="UOX26" s="235"/>
      <c r="UOY26" s="235"/>
      <c r="UOZ26" s="235"/>
      <c r="UPA26" s="235"/>
      <c r="UPB26" s="235"/>
      <c r="UPC26" s="235"/>
      <c r="UPD26" s="235"/>
      <c r="UPE26" s="235"/>
      <c r="UPF26" s="235"/>
      <c r="UPG26" s="235"/>
      <c r="UPH26" s="235"/>
      <c r="UPI26" s="235"/>
      <c r="UPJ26" s="235"/>
      <c r="UPK26" s="235"/>
      <c r="UPL26" s="235"/>
      <c r="UPM26" s="235"/>
      <c r="UPN26" s="235"/>
      <c r="UPO26" s="235"/>
      <c r="UPP26" s="235"/>
      <c r="UPQ26" s="235"/>
      <c r="UPR26" s="235"/>
      <c r="UPS26" s="235"/>
      <c r="UPT26" s="235"/>
      <c r="UPU26" s="235"/>
      <c r="UPV26" s="235"/>
      <c r="UPW26" s="235"/>
      <c r="UPX26" s="235"/>
      <c r="UPY26" s="235"/>
      <c r="UPZ26" s="235"/>
      <c r="UQA26" s="235"/>
      <c r="UQB26" s="235"/>
      <c r="UQC26" s="235"/>
      <c r="UQD26" s="235"/>
      <c r="UQE26" s="235"/>
      <c r="UQF26" s="235"/>
      <c r="UQG26" s="235"/>
      <c r="UQH26" s="235"/>
      <c r="UQI26" s="235"/>
      <c r="UQJ26" s="235"/>
      <c r="UQK26" s="235"/>
      <c r="UQL26" s="235"/>
      <c r="UQM26" s="235"/>
      <c r="UQN26" s="235"/>
      <c r="UQO26" s="235"/>
      <c r="UQP26" s="235"/>
      <c r="UQQ26" s="235"/>
      <c r="UQR26" s="235"/>
      <c r="UQS26" s="235"/>
      <c r="UQT26" s="235"/>
      <c r="UQU26" s="235"/>
      <c r="UQV26" s="235"/>
      <c r="UQW26" s="235"/>
      <c r="UQX26" s="235"/>
      <c r="UQY26" s="235"/>
      <c r="UQZ26" s="235"/>
      <c r="URA26" s="235"/>
      <c r="URB26" s="235"/>
      <c r="URC26" s="235"/>
      <c r="URD26" s="235"/>
      <c r="URE26" s="235"/>
      <c r="URF26" s="235"/>
      <c r="URG26" s="235"/>
      <c r="URH26" s="235"/>
      <c r="URI26" s="235"/>
      <c r="URJ26" s="235"/>
      <c r="URK26" s="235"/>
      <c r="URL26" s="235"/>
      <c r="URM26" s="235"/>
      <c r="URN26" s="235"/>
      <c r="URO26" s="235"/>
      <c r="URP26" s="235"/>
      <c r="URQ26" s="235"/>
      <c r="URR26" s="235"/>
      <c r="URS26" s="235"/>
      <c r="URT26" s="235"/>
      <c r="URU26" s="235"/>
      <c r="URV26" s="235"/>
      <c r="URW26" s="235"/>
      <c r="URX26" s="235"/>
      <c r="URY26" s="235"/>
      <c r="URZ26" s="235"/>
      <c r="USA26" s="235"/>
      <c r="USB26" s="235"/>
      <c r="USC26" s="235"/>
      <c r="USD26" s="235"/>
      <c r="USE26" s="235"/>
      <c r="USF26" s="235"/>
      <c r="USG26" s="235"/>
      <c r="USH26" s="235"/>
      <c r="USI26" s="235"/>
      <c r="USJ26" s="235"/>
      <c r="USK26" s="235"/>
      <c r="USL26" s="235"/>
      <c r="USM26" s="235"/>
      <c r="USN26" s="235"/>
      <c r="USO26" s="235"/>
      <c r="USP26" s="235"/>
      <c r="USQ26" s="235"/>
      <c r="USR26" s="235"/>
      <c r="USS26" s="235"/>
      <c r="UST26" s="235"/>
      <c r="USU26" s="235"/>
      <c r="USV26" s="235"/>
      <c r="USW26" s="235"/>
      <c r="USX26" s="235"/>
      <c r="USY26" s="235"/>
      <c r="USZ26" s="235"/>
      <c r="UTA26" s="235"/>
      <c r="UTB26" s="235"/>
      <c r="UTC26" s="235"/>
      <c r="UTD26" s="235"/>
      <c r="UTE26" s="235"/>
      <c r="UTF26" s="235"/>
      <c r="UTG26" s="235"/>
      <c r="UTH26" s="235"/>
      <c r="UTI26" s="235"/>
      <c r="UTJ26" s="235"/>
      <c r="UTK26" s="235"/>
      <c r="UTL26" s="235"/>
      <c r="UTM26" s="235"/>
      <c r="UTN26" s="235"/>
      <c r="UTO26" s="235"/>
      <c r="UTP26" s="235"/>
      <c r="UTQ26" s="235"/>
      <c r="UTR26" s="235"/>
      <c r="UTS26" s="235"/>
      <c r="UTT26" s="235"/>
      <c r="UTU26" s="235"/>
      <c r="UTV26" s="235"/>
      <c r="UTW26" s="235"/>
      <c r="UTX26" s="235"/>
      <c r="UTY26" s="235"/>
      <c r="UTZ26" s="235"/>
      <c r="UUA26" s="235"/>
      <c r="UUB26" s="235"/>
      <c r="UUC26" s="235"/>
      <c r="UUD26" s="235"/>
      <c r="UUE26" s="235"/>
      <c r="UUF26" s="235"/>
      <c r="UUG26" s="235"/>
      <c r="UUH26" s="235"/>
      <c r="UUI26" s="235"/>
      <c r="UUJ26" s="235"/>
      <c r="UUK26" s="235"/>
      <c r="UUL26" s="235"/>
      <c r="UUM26" s="235"/>
      <c r="UUN26" s="235"/>
      <c r="UUO26" s="235"/>
      <c r="UUP26" s="235"/>
      <c r="UUQ26" s="235"/>
      <c r="UUR26" s="235"/>
      <c r="UUS26" s="235"/>
      <c r="UUT26" s="235"/>
      <c r="UUU26" s="235"/>
      <c r="UUV26" s="235"/>
      <c r="UUW26" s="235"/>
      <c r="UUX26" s="235"/>
      <c r="UUY26" s="235"/>
      <c r="UUZ26" s="235"/>
      <c r="UVA26" s="235"/>
      <c r="UVB26" s="235"/>
      <c r="UVC26" s="235"/>
      <c r="UVD26" s="235"/>
      <c r="UVE26" s="235"/>
      <c r="UVF26" s="235"/>
      <c r="UVG26" s="235"/>
      <c r="UVH26" s="235"/>
      <c r="UVI26" s="235"/>
      <c r="UVJ26" s="235"/>
      <c r="UVK26" s="235"/>
      <c r="UVL26" s="235"/>
      <c r="UVM26" s="235"/>
      <c r="UVN26" s="235"/>
      <c r="UVO26" s="235"/>
      <c r="UVP26" s="235"/>
      <c r="UVQ26" s="235"/>
      <c r="UVR26" s="235"/>
      <c r="UVS26" s="235"/>
      <c r="UVT26" s="235"/>
      <c r="UVU26" s="235"/>
      <c r="UVV26" s="235"/>
      <c r="UVW26" s="235"/>
      <c r="UVX26" s="235"/>
      <c r="UVY26" s="235"/>
      <c r="UVZ26" s="235"/>
      <c r="UWA26" s="235"/>
      <c r="UWB26" s="235"/>
      <c r="UWC26" s="235"/>
      <c r="UWD26" s="235"/>
      <c r="UWE26" s="235"/>
      <c r="UWF26" s="235"/>
      <c r="UWG26" s="235"/>
      <c r="UWH26" s="235"/>
      <c r="UWI26" s="235"/>
      <c r="UWJ26" s="235"/>
      <c r="UWK26" s="235"/>
      <c r="UWL26" s="235"/>
      <c r="UWM26" s="235"/>
      <c r="UWN26" s="235"/>
      <c r="UWO26" s="235"/>
      <c r="UWP26" s="235"/>
      <c r="UWQ26" s="235"/>
      <c r="UWR26" s="235"/>
      <c r="UWS26" s="235"/>
      <c r="UWT26" s="235"/>
      <c r="UWU26" s="235"/>
      <c r="UWV26" s="235"/>
      <c r="UWW26" s="235"/>
      <c r="UWX26" s="235"/>
      <c r="UWY26" s="235"/>
      <c r="UWZ26" s="235"/>
      <c r="UXA26" s="235"/>
      <c r="UXB26" s="235"/>
      <c r="UXC26" s="235"/>
      <c r="UXD26" s="235"/>
      <c r="UXE26" s="235"/>
      <c r="UXF26" s="235"/>
      <c r="UXG26" s="235"/>
      <c r="UXH26" s="235"/>
      <c r="UXI26" s="235"/>
      <c r="UXJ26" s="235"/>
      <c r="UXK26" s="235"/>
      <c r="UXL26" s="235"/>
      <c r="UXM26" s="235"/>
      <c r="UXN26" s="235"/>
      <c r="UXO26" s="235"/>
      <c r="UXP26" s="235"/>
      <c r="UXQ26" s="235"/>
      <c r="UXR26" s="235"/>
      <c r="UXS26" s="235"/>
      <c r="UXT26" s="235"/>
      <c r="UXU26" s="235"/>
      <c r="UXV26" s="235"/>
      <c r="UXW26" s="235"/>
      <c r="UXX26" s="235"/>
      <c r="UXY26" s="235"/>
      <c r="UXZ26" s="235"/>
      <c r="UYA26" s="235"/>
      <c r="UYB26" s="235"/>
      <c r="UYC26" s="235"/>
      <c r="UYD26" s="235"/>
      <c r="UYE26" s="235"/>
      <c r="UYF26" s="235"/>
      <c r="UYG26" s="235"/>
      <c r="UYH26" s="235"/>
      <c r="UYI26" s="235"/>
      <c r="UYJ26" s="235"/>
      <c r="UYK26" s="235"/>
      <c r="UYL26" s="235"/>
      <c r="UYM26" s="235"/>
      <c r="UYN26" s="235"/>
      <c r="UYO26" s="235"/>
      <c r="UYP26" s="235"/>
      <c r="UYQ26" s="235"/>
      <c r="UYR26" s="235"/>
      <c r="UYS26" s="235"/>
      <c r="UYT26" s="235"/>
      <c r="UYU26" s="235"/>
      <c r="UYV26" s="235"/>
      <c r="UYW26" s="235"/>
      <c r="UYX26" s="235"/>
      <c r="UYY26" s="235"/>
      <c r="UYZ26" s="235"/>
      <c r="UZA26" s="235"/>
      <c r="UZB26" s="235"/>
      <c r="UZC26" s="235"/>
      <c r="UZD26" s="235"/>
      <c r="UZE26" s="235"/>
      <c r="UZF26" s="235"/>
      <c r="UZG26" s="235"/>
      <c r="UZH26" s="235"/>
      <c r="UZI26" s="235"/>
      <c r="UZJ26" s="235"/>
      <c r="UZK26" s="235"/>
      <c r="UZL26" s="235"/>
      <c r="UZM26" s="235"/>
      <c r="UZN26" s="235"/>
      <c r="UZO26" s="235"/>
      <c r="UZP26" s="235"/>
      <c r="UZQ26" s="235"/>
      <c r="UZR26" s="235"/>
      <c r="UZS26" s="235"/>
      <c r="UZT26" s="235"/>
      <c r="UZU26" s="235"/>
      <c r="UZV26" s="235"/>
      <c r="UZW26" s="235"/>
      <c r="UZX26" s="235"/>
      <c r="UZY26" s="235"/>
      <c r="UZZ26" s="235"/>
      <c r="VAA26" s="235"/>
      <c r="VAB26" s="235"/>
      <c r="VAC26" s="235"/>
      <c r="VAD26" s="235"/>
      <c r="VAE26" s="235"/>
      <c r="VAF26" s="235"/>
      <c r="VAG26" s="235"/>
      <c r="VAH26" s="235"/>
      <c r="VAI26" s="235"/>
      <c r="VAJ26" s="235"/>
      <c r="VAK26" s="235"/>
      <c r="VAL26" s="235"/>
      <c r="VAM26" s="235"/>
      <c r="VAN26" s="235"/>
      <c r="VAO26" s="235"/>
      <c r="VAP26" s="235"/>
      <c r="VAQ26" s="235"/>
      <c r="VAR26" s="235"/>
      <c r="VAS26" s="235"/>
      <c r="VAT26" s="235"/>
      <c r="VAU26" s="235"/>
      <c r="VAV26" s="235"/>
      <c r="VAW26" s="235"/>
      <c r="VAX26" s="235"/>
      <c r="VAY26" s="235"/>
      <c r="VAZ26" s="235"/>
      <c r="VBA26" s="235"/>
      <c r="VBB26" s="235"/>
      <c r="VBC26" s="235"/>
      <c r="VBD26" s="235"/>
      <c r="VBE26" s="235"/>
      <c r="VBF26" s="235"/>
      <c r="VBG26" s="235"/>
      <c r="VBH26" s="235"/>
      <c r="VBI26" s="235"/>
      <c r="VBJ26" s="235"/>
      <c r="VBK26" s="235"/>
      <c r="VBL26" s="235"/>
      <c r="VBM26" s="235"/>
      <c r="VBN26" s="235"/>
      <c r="VBO26" s="235"/>
      <c r="VBP26" s="235"/>
      <c r="VBQ26" s="235"/>
      <c r="VBR26" s="235"/>
      <c r="VBS26" s="235"/>
      <c r="VBT26" s="235"/>
      <c r="VBU26" s="235"/>
      <c r="VBV26" s="235"/>
      <c r="VBW26" s="235"/>
      <c r="VBX26" s="235"/>
      <c r="VBY26" s="235"/>
      <c r="VBZ26" s="235"/>
      <c r="VCA26" s="235"/>
      <c r="VCB26" s="235"/>
      <c r="VCC26" s="235"/>
      <c r="VCD26" s="235"/>
      <c r="VCE26" s="235"/>
      <c r="VCF26" s="235"/>
      <c r="VCG26" s="235"/>
      <c r="VCH26" s="235"/>
      <c r="VCI26" s="235"/>
      <c r="VCJ26" s="235"/>
      <c r="VCK26" s="235"/>
      <c r="VCL26" s="235"/>
      <c r="VCM26" s="235"/>
      <c r="VCN26" s="235"/>
      <c r="VCO26" s="235"/>
      <c r="VCP26" s="235"/>
      <c r="VCQ26" s="235"/>
      <c r="VCR26" s="235"/>
      <c r="VCS26" s="235"/>
      <c r="VCT26" s="235"/>
      <c r="VCU26" s="235"/>
      <c r="VCV26" s="235"/>
      <c r="VCW26" s="235"/>
      <c r="VCX26" s="235"/>
      <c r="VCY26" s="235"/>
      <c r="VCZ26" s="235"/>
      <c r="VDA26" s="235"/>
      <c r="VDB26" s="235"/>
      <c r="VDC26" s="235"/>
      <c r="VDD26" s="235"/>
      <c r="VDE26" s="235"/>
      <c r="VDF26" s="235"/>
      <c r="VDG26" s="235"/>
      <c r="VDH26" s="235"/>
      <c r="VDI26" s="235"/>
      <c r="VDJ26" s="235"/>
      <c r="VDK26" s="235"/>
      <c r="VDL26" s="235"/>
      <c r="VDM26" s="235"/>
      <c r="VDN26" s="235"/>
      <c r="VDO26" s="235"/>
      <c r="VDP26" s="235"/>
      <c r="VDQ26" s="235"/>
      <c r="VDR26" s="235"/>
      <c r="VDS26" s="235"/>
      <c r="VDT26" s="235"/>
      <c r="VDU26" s="235"/>
      <c r="VDV26" s="235"/>
      <c r="VDW26" s="235"/>
      <c r="VDX26" s="235"/>
      <c r="VDY26" s="235"/>
      <c r="VDZ26" s="235"/>
      <c r="VEA26" s="235"/>
      <c r="VEB26" s="235"/>
      <c r="VEC26" s="235"/>
      <c r="VED26" s="235"/>
      <c r="VEE26" s="235"/>
      <c r="VEF26" s="235"/>
      <c r="VEG26" s="235"/>
      <c r="VEH26" s="235"/>
      <c r="VEI26" s="235"/>
      <c r="VEJ26" s="235"/>
      <c r="VEK26" s="235"/>
      <c r="VEL26" s="235"/>
      <c r="VEM26" s="235"/>
      <c r="VEN26" s="235"/>
      <c r="VEO26" s="235"/>
      <c r="VEP26" s="235"/>
      <c r="VEQ26" s="235"/>
      <c r="VER26" s="235"/>
      <c r="VES26" s="235"/>
      <c r="VET26" s="235"/>
      <c r="VEU26" s="235"/>
      <c r="VEV26" s="235"/>
      <c r="VEW26" s="235"/>
      <c r="VEX26" s="235"/>
      <c r="VEY26" s="235"/>
      <c r="VEZ26" s="235"/>
      <c r="VFA26" s="235"/>
      <c r="VFB26" s="235"/>
      <c r="VFC26" s="235"/>
      <c r="VFD26" s="235"/>
      <c r="VFE26" s="235"/>
      <c r="VFF26" s="235"/>
      <c r="VFG26" s="235"/>
      <c r="VFH26" s="235"/>
      <c r="VFI26" s="235"/>
      <c r="VFJ26" s="235"/>
      <c r="VFK26" s="235"/>
      <c r="VFL26" s="235"/>
      <c r="VFM26" s="235"/>
      <c r="VFN26" s="235"/>
      <c r="VFO26" s="235"/>
      <c r="VFP26" s="235"/>
      <c r="VFQ26" s="235"/>
      <c r="VFR26" s="235"/>
      <c r="VFS26" s="235"/>
      <c r="VFT26" s="235"/>
      <c r="VFU26" s="235"/>
      <c r="VFV26" s="235"/>
      <c r="VFW26" s="235"/>
      <c r="VFX26" s="235"/>
      <c r="VFY26" s="235"/>
      <c r="VFZ26" s="235"/>
      <c r="VGA26" s="235"/>
      <c r="VGB26" s="235"/>
      <c r="VGC26" s="235"/>
      <c r="VGD26" s="235"/>
      <c r="VGE26" s="235"/>
      <c r="VGF26" s="235"/>
      <c r="VGG26" s="235"/>
      <c r="VGH26" s="235"/>
      <c r="VGI26" s="235"/>
      <c r="VGJ26" s="235"/>
      <c r="VGK26" s="235"/>
      <c r="VGL26" s="235"/>
      <c r="VGM26" s="235"/>
      <c r="VGN26" s="235"/>
      <c r="VGO26" s="235"/>
      <c r="VGP26" s="235"/>
      <c r="VGQ26" s="235"/>
      <c r="VGR26" s="235"/>
      <c r="VGS26" s="235"/>
      <c r="VGT26" s="235"/>
      <c r="VGU26" s="235"/>
      <c r="VGV26" s="235"/>
      <c r="VGW26" s="235"/>
      <c r="VGX26" s="235"/>
      <c r="VGY26" s="235"/>
      <c r="VGZ26" s="235"/>
      <c r="VHA26" s="235"/>
      <c r="VHB26" s="235"/>
      <c r="VHC26" s="235"/>
      <c r="VHD26" s="235"/>
      <c r="VHE26" s="235"/>
      <c r="VHF26" s="235"/>
      <c r="VHG26" s="235"/>
      <c r="VHH26" s="235"/>
      <c r="VHI26" s="235"/>
      <c r="VHJ26" s="235"/>
      <c r="VHK26" s="235"/>
      <c r="VHL26" s="235"/>
      <c r="VHM26" s="235"/>
      <c r="VHN26" s="235"/>
      <c r="VHO26" s="235"/>
      <c r="VHP26" s="235"/>
      <c r="VHQ26" s="235"/>
      <c r="VHR26" s="235"/>
      <c r="VHS26" s="235"/>
      <c r="VHT26" s="235"/>
      <c r="VHU26" s="235"/>
      <c r="VHV26" s="235"/>
      <c r="VHW26" s="235"/>
      <c r="VHX26" s="235"/>
      <c r="VHY26" s="235"/>
      <c r="VHZ26" s="235"/>
      <c r="VIA26" s="235"/>
      <c r="VIB26" s="235"/>
      <c r="VIC26" s="235"/>
      <c r="VID26" s="235"/>
      <c r="VIE26" s="235"/>
      <c r="VIF26" s="235"/>
      <c r="VIG26" s="235"/>
      <c r="VIH26" s="235"/>
      <c r="VII26" s="235"/>
      <c r="VIJ26" s="235"/>
      <c r="VIK26" s="235"/>
      <c r="VIL26" s="235"/>
      <c r="VIM26" s="235"/>
      <c r="VIN26" s="235"/>
      <c r="VIO26" s="235"/>
      <c r="VIP26" s="235"/>
      <c r="VIQ26" s="235"/>
      <c r="VIR26" s="235"/>
      <c r="VIS26" s="235"/>
      <c r="VIT26" s="235"/>
      <c r="VIU26" s="235"/>
      <c r="VIV26" s="235"/>
      <c r="VIW26" s="235"/>
      <c r="VIX26" s="235"/>
      <c r="VIY26" s="235"/>
      <c r="VIZ26" s="235"/>
      <c r="VJA26" s="235"/>
      <c r="VJB26" s="235"/>
      <c r="VJC26" s="235"/>
      <c r="VJD26" s="235"/>
      <c r="VJE26" s="235"/>
      <c r="VJF26" s="235"/>
      <c r="VJG26" s="235"/>
      <c r="VJH26" s="235"/>
      <c r="VJI26" s="235"/>
      <c r="VJJ26" s="235"/>
      <c r="VJK26" s="235"/>
      <c r="VJL26" s="235"/>
      <c r="VJM26" s="235"/>
      <c r="VJN26" s="235"/>
      <c r="VJO26" s="235"/>
      <c r="VJP26" s="235"/>
      <c r="VJQ26" s="235"/>
      <c r="VJR26" s="235"/>
      <c r="VJS26" s="235"/>
      <c r="VJT26" s="235"/>
      <c r="VJU26" s="235"/>
      <c r="VJV26" s="235"/>
      <c r="VJW26" s="235"/>
      <c r="VJX26" s="235"/>
      <c r="VJY26" s="235"/>
      <c r="VJZ26" s="235"/>
      <c r="VKA26" s="235"/>
      <c r="VKB26" s="235"/>
      <c r="VKC26" s="235"/>
      <c r="VKD26" s="235"/>
      <c r="VKE26" s="235"/>
      <c r="VKF26" s="235"/>
      <c r="VKG26" s="235"/>
      <c r="VKH26" s="235"/>
      <c r="VKI26" s="235"/>
      <c r="VKJ26" s="235"/>
      <c r="VKK26" s="235"/>
      <c r="VKL26" s="235"/>
      <c r="VKM26" s="235"/>
      <c r="VKN26" s="235"/>
      <c r="VKO26" s="235"/>
      <c r="VKP26" s="235"/>
      <c r="VKQ26" s="235"/>
      <c r="VKR26" s="235"/>
      <c r="VKS26" s="235"/>
      <c r="VKT26" s="235"/>
      <c r="VKU26" s="235"/>
      <c r="VKV26" s="235"/>
      <c r="VKW26" s="235"/>
      <c r="VKX26" s="235"/>
      <c r="VKY26" s="235"/>
      <c r="VKZ26" s="235"/>
      <c r="VLA26" s="235"/>
      <c r="VLB26" s="235"/>
      <c r="VLC26" s="235"/>
      <c r="VLD26" s="235"/>
      <c r="VLE26" s="235"/>
      <c r="VLF26" s="235"/>
      <c r="VLG26" s="235"/>
      <c r="VLH26" s="235"/>
      <c r="VLI26" s="235"/>
      <c r="VLJ26" s="235"/>
      <c r="VLK26" s="235"/>
      <c r="VLL26" s="235"/>
      <c r="VLM26" s="235"/>
      <c r="VLN26" s="235"/>
      <c r="VLO26" s="235"/>
      <c r="VLP26" s="235"/>
      <c r="VLQ26" s="235"/>
      <c r="VLR26" s="235"/>
      <c r="VLS26" s="235"/>
      <c r="VLT26" s="235"/>
      <c r="VLU26" s="235"/>
      <c r="VLV26" s="235"/>
      <c r="VLW26" s="235"/>
      <c r="VLX26" s="235"/>
      <c r="VLY26" s="235"/>
      <c r="VLZ26" s="235"/>
      <c r="VMA26" s="235"/>
      <c r="VMB26" s="235"/>
      <c r="VMC26" s="235"/>
      <c r="VMD26" s="235"/>
      <c r="VME26" s="235"/>
      <c r="VMF26" s="235"/>
      <c r="VMG26" s="235"/>
      <c r="VMH26" s="235"/>
      <c r="VMI26" s="235"/>
      <c r="VMJ26" s="235"/>
      <c r="VMK26" s="235"/>
      <c r="VML26" s="235"/>
      <c r="VMM26" s="235"/>
      <c r="VMN26" s="235"/>
      <c r="VMO26" s="235"/>
      <c r="VMP26" s="235"/>
      <c r="VMQ26" s="235"/>
      <c r="VMR26" s="235"/>
      <c r="VMS26" s="235"/>
      <c r="VMT26" s="235"/>
      <c r="VMU26" s="235"/>
      <c r="VMV26" s="235"/>
      <c r="VMW26" s="235"/>
      <c r="VMX26" s="235"/>
      <c r="VMY26" s="235"/>
      <c r="VMZ26" s="235"/>
      <c r="VNA26" s="235"/>
      <c r="VNB26" s="235"/>
      <c r="VNC26" s="235"/>
      <c r="VND26" s="235"/>
      <c r="VNE26" s="235"/>
      <c r="VNF26" s="235"/>
      <c r="VNG26" s="235"/>
      <c r="VNH26" s="235"/>
      <c r="VNI26" s="235"/>
      <c r="VNJ26" s="235"/>
      <c r="VNK26" s="235"/>
      <c r="VNL26" s="235"/>
      <c r="VNM26" s="235"/>
      <c r="VNN26" s="235"/>
      <c r="VNO26" s="235"/>
      <c r="VNP26" s="235"/>
      <c r="VNQ26" s="235"/>
      <c r="VNR26" s="235"/>
      <c r="VNS26" s="235"/>
      <c r="VNT26" s="235"/>
      <c r="VNU26" s="235"/>
      <c r="VNV26" s="235"/>
      <c r="VNW26" s="235"/>
      <c r="VNX26" s="235"/>
      <c r="VNY26" s="235"/>
      <c r="VNZ26" s="235"/>
      <c r="VOA26" s="235"/>
      <c r="VOB26" s="235"/>
      <c r="VOC26" s="235"/>
      <c r="VOD26" s="235"/>
      <c r="VOE26" s="235"/>
      <c r="VOF26" s="235"/>
      <c r="VOG26" s="235"/>
      <c r="VOH26" s="235"/>
      <c r="VOI26" s="235"/>
      <c r="VOJ26" s="235"/>
      <c r="VOK26" s="235"/>
      <c r="VOL26" s="235"/>
      <c r="VOM26" s="235"/>
      <c r="VON26" s="235"/>
      <c r="VOO26" s="235"/>
      <c r="VOP26" s="235"/>
      <c r="VOQ26" s="235"/>
      <c r="VOR26" s="235"/>
      <c r="VOS26" s="235"/>
      <c r="VOT26" s="235"/>
      <c r="VOU26" s="235"/>
      <c r="VOV26" s="235"/>
      <c r="VOW26" s="235"/>
      <c r="VOX26" s="235"/>
      <c r="VOY26" s="235"/>
      <c r="VOZ26" s="235"/>
      <c r="VPA26" s="235"/>
      <c r="VPB26" s="235"/>
      <c r="VPC26" s="235"/>
      <c r="VPD26" s="235"/>
      <c r="VPE26" s="235"/>
      <c r="VPF26" s="235"/>
      <c r="VPG26" s="235"/>
      <c r="VPH26" s="235"/>
      <c r="VPI26" s="235"/>
      <c r="VPJ26" s="235"/>
      <c r="VPK26" s="235"/>
      <c r="VPL26" s="235"/>
      <c r="VPM26" s="235"/>
      <c r="VPN26" s="235"/>
      <c r="VPO26" s="235"/>
      <c r="VPP26" s="235"/>
      <c r="VPQ26" s="235"/>
      <c r="VPR26" s="235"/>
      <c r="VPS26" s="235"/>
      <c r="VPT26" s="235"/>
      <c r="VPU26" s="235"/>
      <c r="VPV26" s="235"/>
      <c r="VPW26" s="235"/>
      <c r="VPX26" s="235"/>
      <c r="VPY26" s="235"/>
      <c r="VPZ26" s="235"/>
      <c r="VQA26" s="235"/>
      <c r="VQB26" s="235"/>
      <c r="VQC26" s="235"/>
      <c r="VQD26" s="235"/>
      <c r="VQE26" s="235"/>
      <c r="VQF26" s="235"/>
      <c r="VQG26" s="235"/>
      <c r="VQH26" s="235"/>
      <c r="VQI26" s="235"/>
      <c r="VQJ26" s="235"/>
      <c r="VQK26" s="235"/>
      <c r="VQL26" s="235"/>
      <c r="VQM26" s="235"/>
      <c r="VQN26" s="235"/>
      <c r="VQO26" s="235"/>
      <c r="VQP26" s="235"/>
      <c r="VQQ26" s="235"/>
      <c r="VQR26" s="235"/>
      <c r="VQS26" s="235"/>
      <c r="VQT26" s="235"/>
      <c r="VQU26" s="235"/>
      <c r="VQV26" s="235"/>
      <c r="VQW26" s="235"/>
      <c r="VQX26" s="235"/>
      <c r="VQY26" s="235"/>
      <c r="VQZ26" s="235"/>
      <c r="VRA26" s="235"/>
      <c r="VRB26" s="235"/>
      <c r="VRC26" s="235"/>
      <c r="VRD26" s="235"/>
      <c r="VRE26" s="235"/>
      <c r="VRF26" s="235"/>
      <c r="VRG26" s="235"/>
      <c r="VRH26" s="235"/>
      <c r="VRI26" s="235"/>
      <c r="VRJ26" s="235"/>
      <c r="VRK26" s="235"/>
      <c r="VRL26" s="235"/>
      <c r="VRM26" s="235"/>
      <c r="VRN26" s="235"/>
      <c r="VRO26" s="235"/>
      <c r="VRP26" s="235"/>
      <c r="VRQ26" s="235"/>
      <c r="VRR26" s="235"/>
      <c r="VRS26" s="235"/>
      <c r="VRT26" s="235"/>
      <c r="VRU26" s="235"/>
      <c r="VRV26" s="235"/>
      <c r="VRW26" s="235"/>
      <c r="VRX26" s="235"/>
      <c r="VRY26" s="235"/>
      <c r="VRZ26" s="235"/>
      <c r="VSA26" s="235"/>
      <c r="VSB26" s="235"/>
      <c r="VSC26" s="235"/>
      <c r="VSD26" s="235"/>
      <c r="VSE26" s="235"/>
      <c r="VSF26" s="235"/>
      <c r="VSG26" s="235"/>
      <c r="VSH26" s="235"/>
      <c r="VSI26" s="235"/>
      <c r="VSJ26" s="235"/>
      <c r="VSK26" s="235"/>
      <c r="VSL26" s="235"/>
      <c r="VSM26" s="235"/>
      <c r="VSN26" s="235"/>
      <c r="VSO26" s="235"/>
      <c r="VSP26" s="235"/>
      <c r="VSQ26" s="235"/>
      <c r="VSR26" s="235"/>
      <c r="VSS26" s="235"/>
      <c r="VST26" s="235"/>
      <c r="VSU26" s="235"/>
      <c r="VSV26" s="235"/>
      <c r="VSW26" s="235"/>
      <c r="VSX26" s="235"/>
      <c r="VSY26" s="235"/>
      <c r="VSZ26" s="235"/>
      <c r="VTA26" s="235"/>
      <c r="VTB26" s="235"/>
      <c r="VTC26" s="235"/>
      <c r="VTD26" s="235"/>
      <c r="VTE26" s="235"/>
      <c r="VTF26" s="235"/>
      <c r="VTG26" s="235"/>
      <c r="VTH26" s="235"/>
      <c r="VTI26" s="235"/>
      <c r="VTJ26" s="235"/>
      <c r="VTK26" s="235"/>
      <c r="VTL26" s="235"/>
      <c r="VTM26" s="235"/>
      <c r="VTN26" s="235"/>
      <c r="VTO26" s="235"/>
      <c r="VTP26" s="235"/>
      <c r="VTQ26" s="235"/>
      <c r="VTR26" s="235"/>
      <c r="VTS26" s="235"/>
      <c r="VTT26" s="235"/>
      <c r="VTU26" s="235"/>
      <c r="VTV26" s="235"/>
      <c r="VTW26" s="235"/>
      <c r="VTX26" s="235"/>
      <c r="VTY26" s="235"/>
      <c r="VTZ26" s="235"/>
      <c r="VUA26" s="235"/>
      <c r="VUB26" s="235"/>
      <c r="VUC26" s="235"/>
      <c r="VUD26" s="235"/>
      <c r="VUE26" s="235"/>
      <c r="VUF26" s="235"/>
      <c r="VUG26" s="235"/>
      <c r="VUH26" s="235"/>
      <c r="VUI26" s="235"/>
      <c r="VUJ26" s="235"/>
      <c r="VUK26" s="235"/>
      <c r="VUL26" s="235"/>
      <c r="VUM26" s="235"/>
      <c r="VUN26" s="235"/>
      <c r="VUO26" s="235"/>
      <c r="VUP26" s="235"/>
      <c r="VUQ26" s="235"/>
      <c r="VUR26" s="235"/>
      <c r="VUS26" s="235"/>
      <c r="VUT26" s="235"/>
      <c r="VUU26" s="235"/>
      <c r="VUV26" s="235"/>
      <c r="VUW26" s="235"/>
      <c r="VUX26" s="235"/>
      <c r="VUY26" s="235"/>
      <c r="VUZ26" s="235"/>
      <c r="VVA26" s="235"/>
      <c r="VVB26" s="235"/>
      <c r="VVC26" s="235"/>
      <c r="VVD26" s="235"/>
      <c r="VVE26" s="235"/>
      <c r="VVF26" s="235"/>
      <c r="VVG26" s="235"/>
      <c r="VVH26" s="235"/>
      <c r="VVI26" s="235"/>
      <c r="VVJ26" s="235"/>
      <c r="VVK26" s="235"/>
      <c r="VVL26" s="235"/>
      <c r="VVM26" s="235"/>
      <c r="VVN26" s="235"/>
      <c r="VVO26" s="235"/>
      <c r="VVP26" s="235"/>
      <c r="VVQ26" s="235"/>
      <c r="VVR26" s="235"/>
      <c r="VVS26" s="235"/>
      <c r="VVT26" s="235"/>
      <c r="VVU26" s="235"/>
      <c r="VVV26" s="235"/>
      <c r="VVW26" s="235"/>
      <c r="VVX26" s="235"/>
      <c r="VVY26" s="235"/>
      <c r="VVZ26" s="235"/>
      <c r="VWA26" s="235"/>
      <c r="VWB26" s="235"/>
      <c r="VWC26" s="235"/>
      <c r="VWD26" s="235"/>
      <c r="VWE26" s="235"/>
      <c r="VWF26" s="235"/>
      <c r="VWG26" s="235"/>
      <c r="VWH26" s="235"/>
      <c r="VWI26" s="235"/>
      <c r="VWJ26" s="235"/>
      <c r="VWK26" s="235"/>
      <c r="VWL26" s="235"/>
      <c r="VWM26" s="235"/>
      <c r="VWN26" s="235"/>
      <c r="VWO26" s="235"/>
      <c r="VWP26" s="235"/>
      <c r="VWQ26" s="235"/>
      <c r="VWR26" s="235"/>
      <c r="VWS26" s="235"/>
      <c r="VWT26" s="235"/>
      <c r="VWU26" s="235"/>
      <c r="VWV26" s="235"/>
      <c r="VWW26" s="235"/>
      <c r="VWX26" s="235"/>
      <c r="VWY26" s="235"/>
      <c r="VWZ26" s="235"/>
      <c r="VXA26" s="235"/>
      <c r="VXB26" s="235"/>
      <c r="VXC26" s="235"/>
      <c r="VXD26" s="235"/>
      <c r="VXE26" s="235"/>
      <c r="VXF26" s="235"/>
      <c r="VXG26" s="235"/>
      <c r="VXH26" s="235"/>
      <c r="VXI26" s="235"/>
      <c r="VXJ26" s="235"/>
      <c r="VXK26" s="235"/>
      <c r="VXL26" s="235"/>
      <c r="VXM26" s="235"/>
      <c r="VXN26" s="235"/>
      <c r="VXO26" s="235"/>
      <c r="VXP26" s="235"/>
      <c r="VXQ26" s="235"/>
      <c r="VXR26" s="235"/>
      <c r="VXS26" s="235"/>
      <c r="VXT26" s="235"/>
      <c r="VXU26" s="235"/>
      <c r="VXV26" s="235"/>
      <c r="VXW26" s="235"/>
      <c r="VXX26" s="235"/>
      <c r="VXY26" s="235"/>
      <c r="VXZ26" s="235"/>
      <c r="VYA26" s="235"/>
      <c r="VYB26" s="235"/>
      <c r="VYC26" s="235"/>
      <c r="VYD26" s="235"/>
      <c r="VYE26" s="235"/>
      <c r="VYF26" s="235"/>
      <c r="VYG26" s="235"/>
      <c r="VYH26" s="235"/>
      <c r="VYI26" s="235"/>
      <c r="VYJ26" s="235"/>
      <c r="VYK26" s="235"/>
      <c r="VYL26" s="235"/>
      <c r="VYM26" s="235"/>
      <c r="VYN26" s="235"/>
      <c r="VYO26" s="235"/>
      <c r="VYP26" s="235"/>
      <c r="VYQ26" s="235"/>
      <c r="VYR26" s="235"/>
      <c r="VYS26" s="235"/>
      <c r="VYT26" s="235"/>
      <c r="VYU26" s="235"/>
      <c r="VYV26" s="235"/>
      <c r="VYW26" s="235"/>
      <c r="VYX26" s="235"/>
      <c r="VYY26" s="235"/>
      <c r="VYZ26" s="235"/>
      <c r="VZA26" s="235"/>
      <c r="VZB26" s="235"/>
      <c r="VZC26" s="235"/>
      <c r="VZD26" s="235"/>
      <c r="VZE26" s="235"/>
      <c r="VZF26" s="235"/>
      <c r="VZG26" s="235"/>
      <c r="VZH26" s="235"/>
      <c r="VZI26" s="235"/>
      <c r="VZJ26" s="235"/>
      <c r="VZK26" s="235"/>
      <c r="VZL26" s="235"/>
      <c r="VZM26" s="235"/>
      <c r="VZN26" s="235"/>
      <c r="VZO26" s="235"/>
      <c r="VZP26" s="235"/>
      <c r="VZQ26" s="235"/>
      <c r="VZR26" s="235"/>
      <c r="VZS26" s="235"/>
      <c r="VZT26" s="235"/>
      <c r="VZU26" s="235"/>
      <c r="VZV26" s="235"/>
      <c r="VZW26" s="235"/>
      <c r="VZX26" s="235"/>
      <c r="VZY26" s="235"/>
      <c r="VZZ26" s="235"/>
      <c r="WAA26" s="235"/>
      <c r="WAB26" s="235"/>
      <c r="WAC26" s="235"/>
      <c r="WAD26" s="235"/>
      <c r="WAE26" s="235"/>
      <c r="WAF26" s="235"/>
      <c r="WAG26" s="235"/>
      <c r="WAH26" s="235"/>
      <c r="WAI26" s="235"/>
      <c r="WAJ26" s="235"/>
      <c r="WAK26" s="235"/>
      <c r="WAL26" s="235"/>
      <c r="WAM26" s="235"/>
      <c r="WAN26" s="235"/>
      <c r="WAO26" s="235"/>
      <c r="WAP26" s="235"/>
      <c r="WAQ26" s="235"/>
      <c r="WAR26" s="235"/>
      <c r="WAS26" s="235"/>
      <c r="WAT26" s="235"/>
      <c r="WAU26" s="235"/>
      <c r="WAV26" s="235"/>
      <c r="WAW26" s="235"/>
      <c r="WAX26" s="235"/>
      <c r="WAY26" s="235"/>
      <c r="WAZ26" s="235"/>
      <c r="WBA26" s="235"/>
      <c r="WBB26" s="235"/>
      <c r="WBC26" s="235"/>
      <c r="WBD26" s="235"/>
      <c r="WBE26" s="235"/>
      <c r="WBF26" s="235"/>
      <c r="WBG26" s="235"/>
      <c r="WBH26" s="235"/>
      <c r="WBI26" s="235"/>
      <c r="WBJ26" s="235"/>
      <c r="WBK26" s="235"/>
      <c r="WBL26" s="235"/>
      <c r="WBM26" s="235"/>
      <c r="WBN26" s="235"/>
      <c r="WBO26" s="235"/>
      <c r="WBP26" s="235"/>
      <c r="WBQ26" s="235"/>
      <c r="WBR26" s="235"/>
      <c r="WBS26" s="235"/>
      <c r="WBT26" s="235"/>
      <c r="WBU26" s="235"/>
      <c r="WBV26" s="235"/>
      <c r="WBW26" s="235"/>
      <c r="WBX26" s="235"/>
      <c r="WBY26" s="235"/>
      <c r="WBZ26" s="235"/>
      <c r="WCA26" s="235"/>
      <c r="WCB26" s="235"/>
      <c r="WCC26" s="235"/>
      <c r="WCD26" s="235"/>
      <c r="WCE26" s="235"/>
      <c r="WCF26" s="235"/>
      <c r="WCG26" s="235"/>
      <c r="WCH26" s="235"/>
      <c r="WCI26" s="235"/>
      <c r="WCJ26" s="235"/>
      <c r="WCK26" s="235"/>
      <c r="WCL26" s="235"/>
      <c r="WCM26" s="235"/>
      <c r="WCN26" s="235"/>
      <c r="WCO26" s="235"/>
      <c r="WCP26" s="235"/>
      <c r="WCQ26" s="235"/>
      <c r="WCR26" s="235"/>
      <c r="WCS26" s="235"/>
      <c r="WCT26" s="235"/>
      <c r="WCU26" s="235"/>
      <c r="WCV26" s="235"/>
      <c r="WCW26" s="235"/>
      <c r="WCX26" s="235"/>
      <c r="WCY26" s="235"/>
      <c r="WCZ26" s="235"/>
      <c r="WDA26" s="235"/>
      <c r="WDB26" s="235"/>
      <c r="WDC26" s="235"/>
      <c r="WDD26" s="235"/>
      <c r="WDE26" s="235"/>
      <c r="WDF26" s="235"/>
      <c r="WDG26" s="235"/>
      <c r="WDH26" s="235"/>
      <c r="WDI26" s="235"/>
      <c r="WDJ26" s="235"/>
      <c r="WDK26" s="235"/>
      <c r="WDL26" s="235"/>
      <c r="WDM26" s="235"/>
      <c r="WDN26" s="235"/>
      <c r="WDO26" s="235"/>
      <c r="WDP26" s="235"/>
      <c r="WDQ26" s="235"/>
      <c r="WDR26" s="235"/>
      <c r="WDS26" s="235"/>
      <c r="WDT26" s="235"/>
      <c r="WDU26" s="235"/>
      <c r="WDV26" s="235"/>
      <c r="WDW26" s="235"/>
      <c r="WDX26" s="235"/>
      <c r="WDY26" s="235"/>
      <c r="WDZ26" s="235"/>
      <c r="WEA26" s="235"/>
      <c r="WEB26" s="235"/>
      <c r="WEC26" s="235"/>
      <c r="WED26" s="235"/>
      <c r="WEE26" s="235"/>
      <c r="WEF26" s="235"/>
      <c r="WEG26" s="235"/>
      <c r="WEH26" s="235"/>
      <c r="WEI26" s="235"/>
      <c r="WEJ26" s="235"/>
      <c r="WEK26" s="235"/>
      <c r="WEL26" s="235"/>
      <c r="WEM26" s="235"/>
      <c r="WEN26" s="235"/>
      <c r="WEO26" s="235"/>
      <c r="WEP26" s="235"/>
      <c r="WEQ26" s="235"/>
      <c r="WER26" s="235"/>
      <c r="WES26" s="235"/>
      <c r="WET26" s="235"/>
      <c r="WEU26" s="235"/>
      <c r="WEV26" s="235"/>
      <c r="WEW26" s="235"/>
      <c r="WEX26" s="235"/>
      <c r="WEY26" s="235"/>
      <c r="WEZ26" s="235"/>
      <c r="WFA26" s="235"/>
      <c r="WFB26" s="235"/>
      <c r="WFC26" s="235"/>
      <c r="WFD26" s="235"/>
      <c r="WFE26" s="235"/>
      <c r="WFF26" s="235"/>
      <c r="WFG26" s="235"/>
      <c r="WFH26" s="235"/>
      <c r="WFI26" s="235"/>
      <c r="WFJ26" s="235"/>
      <c r="WFK26" s="235"/>
      <c r="WFL26" s="235"/>
      <c r="WFM26" s="235"/>
      <c r="WFN26" s="235"/>
      <c r="WFO26" s="235"/>
      <c r="WFP26" s="235"/>
      <c r="WFQ26" s="235"/>
      <c r="WFR26" s="235"/>
      <c r="WFS26" s="235"/>
      <c r="WFT26" s="235"/>
      <c r="WFU26" s="235"/>
      <c r="WFV26" s="235"/>
      <c r="WFW26" s="235"/>
      <c r="WFX26" s="235"/>
      <c r="WFY26" s="235"/>
      <c r="WFZ26" s="235"/>
      <c r="WGA26" s="235"/>
      <c r="WGB26" s="235"/>
      <c r="WGC26" s="235"/>
      <c r="WGD26" s="235"/>
      <c r="WGE26" s="235"/>
      <c r="WGF26" s="235"/>
      <c r="WGG26" s="235"/>
      <c r="WGH26" s="235"/>
      <c r="WGI26" s="235"/>
      <c r="WGJ26" s="235"/>
      <c r="WGK26" s="235"/>
      <c r="WGL26" s="235"/>
      <c r="WGM26" s="235"/>
      <c r="WGN26" s="235"/>
      <c r="WGO26" s="235"/>
      <c r="WGP26" s="235"/>
      <c r="WGQ26" s="235"/>
      <c r="WGR26" s="235"/>
      <c r="WGS26" s="235"/>
      <c r="WGT26" s="235"/>
      <c r="WGU26" s="235"/>
      <c r="WGV26" s="235"/>
      <c r="WGW26" s="235"/>
      <c r="WGX26" s="235"/>
      <c r="WGY26" s="235"/>
      <c r="WGZ26" s="235"/>
      <c r="WHA26" s="235"/>
      <c r="WHB26" s="235"/>
      <c r="WHC26" s="235"/>
      <c r="WHD26" s="235"/>
      <c r="WHE26" s="235"/>
      <c r="WHF26" s="235"/>
      <c r="WHG26" s="235"/>
      <c r="WHH26" s="235"/>
      <c r="WHI26" s="235"/>
      <c r="WHJ26" s="235"/>
      <c r="WHK26" s="235"/>
      <c r="WHL26" s="235"/>
      <c r="WHM26" s="235"/>
      <c r="WHN26" s="235"/>
      <c r="WHO26" s="235"/>
      <c r="WHP26" s="235"/>
      <c r="WHQ26" s="235"/>
      <c r="WHR26" s="235"/>
      <c r="WHS26" s="235"/>
      <c r="WHT26" s="235"/>
      <c r="WHU26" s="235"/>
      <c r="WHV26" s="235"/>
      <c r="WHW26" s="235"/>
      <c r="WHX26" s="235"/>
      <c r="WHY26" s="235"/>
      <c r="WHZ26" s="235"/>
      <c r="WIA26" s="235"/>
      <c r="WIB26" s="235"/>
      <c r="WIC26" s="235"/>
      <c r="WID26" s="235"/>
      <c r="WIE26" s="235"/>
      <c r="WIF26" s="235"/>
      <c r="WIG26" s="235"/>
      <c r="WIH26" s="235"/>
      <c r="WII26" s="235"/>
      <c r="WIJ26" s="235"/>
      <c r="WIK26" s="235"/>
      <c r="WIL26" s="235"/>
      <c r="WIM26" s="235"/>
      <c r="WIN26" s="235"/>
      <c r="WIO26" s="235"/>
      <c r="WIP26" s="235"/>
      <c r="WIQ26" s="235"/>
      <c r="WIR26" s="235"/>
      <c r="WIS26" s="235"/>
      <c r="WIT26" s="235"/>
      <c r="WIU26" s="235"/>
      <c r="WIV26" s="235"/>
      <c r="WIW26" s="235"/>
      <c r="WIX26" s="235"/>
      <c r="WIY26" s="235"/>
      <c r="WIZ26" s="235"/>
      <c r="WJA26" s="235"/>
      <c r="WJB26" s="235"/>
      <c r="WJC26" s="235"/>
      <c r="WJD26" s="235"/>
      <c r="WJE26" s="235"/>
      <c r="WJF26" s="235"/>
      <c r="WJG26" s="235"/>
      <c r="WJH26" s="235"/>
      <c r="WJI26" s="235"/>
      <c r="WJJ26" s="235"/>
      <c r="WJK26" s="235"/>
      <c r="WJL26" s="235"/>
      <c r="WJM26" s="235"/>
      <c r="WJN26" s="235"/>
      <c r="WJO26" s="235"/>
      <c r="WJP26" s="235"/>
      <c r="WJQ26" s="235"/>
      <c r="WJR26" s="235"/>
      <c r="WJS26" s="235"/>
      <c r="WJT26" s="235"/>
      <c r="WJU26" s="235"/>
      <c r="WJV26" s="235"/>
      <c r="WJW26" s="235"/>
      <c r="WJX26" s="235"/>
      <c r="WJY26" s="235"/>
      <c r="WJZ26" s="235"/>
      <c r="WKA26" s="235"/>
      <c r="WKB26" s="235"/>
      <c r="WKC26" s="235"/>
      <c r="WKD26" s="235"/>
      <c r="WKE26" s="235"/>
      <c r="WKF26" s="235"/>
      <c r="WKG26" s="235"/>
      <c r="WKH26" s="235"/>
      <c r="WKI26" s="235"/>
      <c r="WKJ26" s="235"/>
      <c r="WKK26" s="235"/>
      <c r="WKL26" s="235"/>
      <c r="WKM26" s="235"/>
      <c r="WKN26" s="235"/>
      <c r="WKO26" s="235"/>
      <c r="WKP26" s="235"/>
      <c r="WKQ26" s="235"/>
      <c r="WKR26" s="235"/>
      <c r="WKS26" s="235"/>
      <c r="WKT26" s="235"/>
      <c r="WKU26" s="235"/>
      <c r="WKV26" s="235"/>
      <c r="WKW26" s="235"/>
      <c r="WKX26" s="235"/>
      <c r="WKY26" s="235"/>
      <c r="WKZ26" s="235"/>
      <c r="WLA26" s="235"/>
      <c r="WLB26" s="235"/>
      <c r="WLC26" s="235"/>
      <c r="WLD26" s="235"/>
      <c r="WLE26" s="235"/>
      <c r="WLF26" s="235"/>
      <c r="WLG26" s="235"/>
      <c r="WLH26" s="235"/>
      <c r="WLI26" s="235"/>
      <c r="WLJ26" s="235"/>
      <c r="WLK26" s="235"/>
      <c r="WLL26" s="235"/>
      <c r="WLM26" s="235"/>
      <c r="WLN26" s="235"/>
      <c r="WLO26" s="235"/>
      <c r="WLP26" s="235"/>
      <c r="WLQ26" s="235"/>
      <c r="WLR26" s="235"/>
      <c r="WLS26" s="235"/>
      <c r="WLT26" s="235"/>
      <c r="WLU26" s="235"/>
      <c r="WLV26" s="235"/>
      <c r="WLW26" s="235"/>
      <c r="WLX26" s="235"/>
      <c r="WLY26" s="235"/>
      <c r="WLZ26" s="235"/>
      <c r="WMA26" s="235"/>
      <c r="WMB26" s="235"/>
      <c r="WMC26" s="235"/>
      <c r="WMD26" s="235"/>
      <c r="WME26" s="235"/>
      <c r="WMF26" s="235"/>
      <c r="WMG26" s="235"/>
      <c r="WMH26" s="235"/>
      <c r="WMI26" s="235"/>
      <c r="WMJ26" s="235"/>
      <c r="WMK26" s="235"/>
      <c r="WML26" s="235"/>
      <c r="WMM26" s="235"/>
      <c r="WMN26" s="235"/>
      <c r="WMO26" s="235"/>
      <c r="WMP26" s="235"/>
      <c r="WMQ26" s="235"/>
      <c r="WMR26" s="235"/>
      <c r="WMS26" s="235"/>
      <c r="WMT26" s="235"/>
      <c r="WMU26" s="235"/>
      <c r="WMV26" s="235"/>
      <c r="WMW26" s="235"/>
      <c r="WMX26" s="235"/>
      <c r="WMY26" s="235"/>
      <c r="WMZ26" s="235"/>
      <c r="WNA26" s="235"/>
      <c r="WNB26" s="235"/>
      <c r="WNC26" s="235"/>
      <c r="WND26" s="235"/>
      <c r="WNE26" s="235"/>
      <c r="WNF26" s="235"/>
      <c r="WNG26" s="235"/>
      <c r="WNH26" s="235"/>
      <c r="WNI26" s="235"/>
      <c r="WNJ26" s="235"/>
      <c r="WNK26" s="235"/>
      <c r="WNL26" s="235"/>
      <c r="WNM26" s="235"/>
      <c r="WNN26" s="235"/>
      <c r="WNO26" s="235"/>
      <c r="WNP26" s="235"/>
      <c r="WNQ26" s="235"/>
      <c r="WNR26" s="235"/>
      <c r="WNS26" s="235"/>
      <c r="WNT26" s="235"/>
      <c r="WNU26" s="235"/>
      <c r="WNV26" s="235"/>
      <c r="WNW26" s="235"/>
      <c r="WNX26" s="235"/>
      <c r="WNY26" s="235"/>
      <c r="WNZ26" s="235"/>
      <c r="WOA26" s="235"/>
      <c r="WOB26" s="235"/>
      <c r="WOC26" s="235"/>
      <c r="WOD26" s="235"/>
      <c r="WOE26" s="235"/>
      <c r="WOF26" s="235"/>
      <c r="WOG26" s="235"/>
      <c r="WOH26" s="235"/>
      <c r="WOI26" s="235"/>
      <c r="WOJ26" s="235"/>
      <c r="WOK26" s="235"/>
      <c r="WOL26" s="235"/>
      <c r="WOM26" s="235"/>
      <c r="WON26" s="235"/>
      <c r="WOO26" s="235"/>
      <c r="WOP26" s="235"/>
      <c r="WOQ26" s="235"/>
      <c r="WOR26" s="235"/>
      <c r="WOS26" s="235"/>
      <c r="WOT26" s="235"/>
      <c r="WOU26" s="235"/>
      <c r="WOV26" s="235"/>
      <c r="WOW26" s="235"/>
      <c r="WOX26" s="235"/>
      <c r="WOY26" s="235"/>
      <c r="WOZ26" s="235"/>
      <c r="WPA26" s="235"/>
      <c r="WPB26" s="235"/>
      <c r="WPC26" s="235"/>
      <c r="WPD26" s="235"/>
      <c r="WPE26" s="235"/>
      <c r="WPF26" s="235"/>
      <c r="WPG26" s="235"/>
      <c r="WPH26" s="235"/>
      <c r="WPI26" s="235"/>
      <c r="WPJ26" s="235"/>
      <c r="WPK26" s="235"/>
      <c r="WPL26" s="235"/>
      <c r="WPM26" s="235"/>
      <c r="WPN26" s="235"/>
      <c r="WPO26" s="235"/>
      <c r="WPP26" s="235"/>
      <c r="WPQ26" s="235"/>
      <c r="WPR26" s="235"/>
      <c r="WPS26" s="235"/>
      <c r="WPT26" s="235"/>
      <c r="WPU26" s="235"/>
      <c r="WPV26" s="235"/>
      <c r="WPW26" s="235"/>
      <c r="WPX26" s="235"/>
      <c r="WPY26" s="235"/>
      <c r="WPZ26" s="235"/>
      <c r="WQA26" s="235"/>
      <c r="WQB26" s="235"/>
      <c r="WQC26" s="235"/>
      <c r="WQD26" s="235"/>
      <c r="WQE26" s="235"/>
      <c r="WQF26" s="235"/>
      <c r="WQG26" s="235"/>
      <c r="WQH26" s="235"/>
      <c r="WQI26" s="235"/>
      <c r="WQJ26" s="235"/>
      <c r="WQK26" s="235"/>
      <c r="WQL26" s="235"/>
      <c r="WQM26" s="235"/>
      <c r="WQN26" s="235"/>
      <c r="WQO26" s="235"/>
      <c r="WQP26" s="235"/>
      <c r="WQQ26" s="235"/>
      <c r="WQR26" s="235"/>
      <c r="WQS26" s="235"/>
      <c r="WQT26" s="235"/>
      <c r="WQU26" s="235"/>
      <c r="WQV26" s="235"/>
      <c r="WQW26" s="235"/>
      <c r="WQX26" s="235"/>
      <c r="WQY26" s="235"/>
      <c r="WQZ26" s="235"/>
      <c r="WRA26" s="235"/>
      <c r="WRB26" s="235"/>
      <c r="WRC26" s="235"/>
      <c r="WRD26" s="235"/>
      <c r="WRE26" s="235"/>
      <c r="WRF26" s="235"/>
      <c r="WRG26" s="235"/>
      <c r="WRH26" s="235"/>
      <c r="WRI26" s="235"/>
      <c r="WRJ26" s="235"/>
      <c r="WRK26" s="235"/>
      <c r="WRL26" s="235"/>
      <c r="WRM26" s="235"/>
      <c r="WRN26" s="235"/>
      <c r="WRO26" s="235"/>
      <c r="WRP26" s="235"/>
      <c r="WRQ26" s="235"/>
      <c r="WRR26" s="235"/>
      <c r="WRS26" s="235"/>
      <c r="WRT26" s="235"/>
      <c r="WRU26" s="235"/>
      <c r="WRV26" s="235"/>
      <c r="WRW26" s="235"/>
      <c r="WRX26" s="235"/>
      <c r="WRY26" s="235"/>
      <c r="WRZ26" s="235"/>
      <c r="WSA26" s="235"/>
      <c r="WSB26" s="235"/>
      <c r="WSC26" s="235"/>
      <c r="WSD26" s="235"/>
      <c r="WSE26" s="235"/>
      <c r="WSF26" s="235"/>
      <c r="WSG26" s="235"/>
      <c r="WSH26" s="235"/>
      <c r="WSI26" s="235"/>
      <c r="WSJ26" s="235"/>
      <c r="WSK26" s="235"/>
      <c r="WSL26" s="235"/>
      <c r="WSM26" s="235"/>
      <c r="WSN26" s="235"/>
      <c r="WSO26" s="235"/>
      <c r="WSP26" s="235"/>
      <c r="WSQ26" s="235"/>
      <c r="WSR26" s="235"/>
      <c r="WSS26" s="235"/>
      <c r="WST26" s="235"/>
      <c r="WSU26" s="235"/>
      <c r="WSV26" s="235"/>
      <c r="WSW26" s="235"/>
      <c r="WSX26" s="235"/>
      <c r="WSY26" s="235"/>
      <c r="WSZ26" s="235"/>
      <c r="WTA26" s="235"/>
      <c r="WTB26" s="235"/>
      <c r="WTC26" s="235"/>
      <c r="WTD26" s="235"/>
      <c r="WTE26" s="235"/>
      <c r="WTF26" s="235"/>
      <c r="WTG26" s="235"/>
      <c r="WTH26" s="235"/>
      <c r="WTI26" s="235"/>
      <c r="WTJ26" s="235"/>
      <c r="WTK26" s="235"/>
      <c r="WTL26" s="235"/>
      <c r="WTM26" s="235"/>
      <c r="WTN26" s="235"/>
      <c r="WTO26" s="235"/>
      <c r="WTP26" s="235"/>
      <c r="WTQ26" s="235"/>
      <c r="WTR26" s="235"/>
      <c r="WTS26" s="235"/>
      <c r="WTT26" s="235"/>
      <c r="WTU26" s="235"/>
      <c r="WTV26" s="235"/>
      <c r="WTW26" s="235"/>
      <c r="WTX26" s="235"/>
      <c r="WTY26" s="235"/>
      <c r="WTZ26" s="235"/>
      <c r="WUA26" s="235"/>
      <c r="WUB26" s="235"/>
      <c r="WUC26" s="235"/>
      <c r="WUD26" s="235"/>
      <c r="WUE26" s="235"/>
      <c r="WUF26" s="235"/>
      <c r="WUG26" s="235"/>
      <c r="WUH26" s="235"/>
      <c r="WUI26" s="235"/>
      <c r="WUJ26" s="235"/>
      <c r="WUK26" s="235"/>
      <c r="WUL26" s="235"/>
      <c r="WUM26" s="235"/>
      <c r="WUN26" s="235"/>
      <c r="WUO26" s="235"/>
      <c r="WUP26" s="235"/>
      <c r="WUQ26" s="235"/>
      <c r="WUR26" s="235"/>
      <c r="WUS26" s="235"/>
      <c r="WUT26" s="235"/>
      <c r="WUU26" s="235"/>
      <c r="WUV26" s="235"/>
      <c r="WUW26" s="235"/>
      <c r="WUX26" s="235"/>
      <c r="WUY26" s="235"/>
      <c r="WUZ26" s="235"/>
      <c r="WVA26" s="235"/>
      <c r="WVB26" s="235"/>
      <c r="WVC26" s="235"/>
      <c r="WVD26" s="235"/>
      <c r="WVE26" s="235"/>
      <c r="WVF26" s="235"/>
      <c r="WVG26" s="235"/>
      <c r="WVH26" s="235"/>
      <c r="WVI26" s="235"/>
      <c r="WVJ26" s="235"/>
      <c r="WVK26" s="235"/>
      <c r="WVL26" s="235"/>
      <c r="WVM26" s="235"/>
      <c r="WVN26" s="235"/>
      <c r="WVO26" s="235"/>
      <c r="WVP26" s="235"/>
      <c r="WVQ26" s="235"/>
      <c r="WVR26" s="235"/>
      <c r="WVS26" s="235"/>
      <c r="WVT26" s="235"/>
      <c r="WVU26" s="235"/>
      <c r="WVV26" s="235"/>
      <c r="WVW26" s="235"/>
      <c r="WVX26" s="235"/>
      <c r="WVY26" s="235"/>
      <c r="WVZ26" s="235"/>
      <c r="WWA26" s="235"/>
      <c r="WWB26" s="235"/>
      <c r="WWC26" s="235"/>
      <c r="WWD26" s="235"/>
      <c r="WWE26" s="235"/>
      <c r="WWF26" s="235"/>
      <c r="WWG26" s="235"/>
      <c r="WWH26" s="235"/>
      <c r="WWI26" s="235"/>
      <c r="WWJ26" s="235"/>
      <c r="WWK26" s="235"/>
      <c r="WWL26" s="235"/>
      <c r="WWM26" s="235"/>
      <c r="WWN26" s="235"/>
      <c r="WWO26" s="235"/>
      <c r="WWP26" s="235"/>
      <c r="WWQ26" s="235"/>
      <c r="WWR26" s="235"/>
      <c r="WWS26" s="235"/>
      <c r="WWT26" s="235"/>
      <c r="WWU26" s="235"/>
      <c r="WWV26" s="235"/>
      <c r="WWW26" s="235"/>
      <c r="WWX26" s="235"/>
      <c r="WWY26" s="235"/>
      <c r="WWZ26" s="235"/>
      <c r="WXA26" s="235"/>
      <c r="WXB26" s="235"/>
      <c r="WXC26" s="235"/>
      <c r="WXD26" s="235"/>
      <c r="WXE26" s="235"/>
      <c r="WXF26" s="235"/>
      <c r="WXG26" s="235"/>
      <c r="WXH26" s="235"/>
      <c r="WXI26" s="235"/>
      <c r="WXJ26" s="235"/>
      <c r="WXK26" s="235"/>
      <c r="WXL26" s="235"/>
      <c r="WXM26" s="235"/>
      <c r="WXN26" s="235"/>
      <c r="WXO26" s="235"/>
      <c r="WXP26" s="235"/>
      <c r="WXQ26" s="235"/>
      <c r="WXR26" s="235"/>
      <c r="WXS26" s="235"/>
      <c r="WXT26" s="235"/>
      <c r="WXU26" s="235"/>
      <c r="WXV26" s="235"/>
      <c r="WXW26" s="235"/>
      <c r="WXX26" s="235"/>
      <c r="WXY26" s="235"/>
      <c r="WXZ26" s="235"/>
      <c r="WYA26" s="235"/>
      <c r="WYB26" s="235"/>
      <c r="WYC26" s="235"/>
      <c r="WYD26" s="235"/>
      <c r="WYE26" s="235"/>
      <c r="WYF26" s="235"/>
      <c r="WYG26" s="235"/>
      <c r="WYH26" s="235"/>
      <c r="WYI26" s="235"/>
      <c r="WYJ26" s="235"/>
      <c r="WYK26" s="235"/>
      <c r="WYL26" s="235"/>
      <c r="WYM26" s="235"/>
      <c r="WYN26" s="235"/>
      <c r="WYO26" s="235"/>
      <c r="WYP26" s="235"/>
      <c r="WYQ26" s="235"/>
      <c r="WYR26" s="235"/>
      <c r="WYS26" s="235"/>
      <c r="WYT26" s="235"/>
      <c r="WYU26" s="235"/>
      <c r="WYV26" s="235"/>
      <c r="WYW26" s="235"/>
      <c r="WYX26" s="235"/>
      <c r="WYY26" s="235"/>
      <c r="WYZ26" s="235"/>
      <c r="WZA26" s="235"/>
      <c r="WZB26" s="235"/>
      <c r="WZC26" s="235"/>
      <c r="WZD26" s="235"/>
      <c r="WZE26" s="235"/>
      <c r="WZF26" s="235"/>
      <c r="WZG26" s="235"/>
      <c r="WZH26" s="235"/>
      <c r="WZI26" s="235"/>
      <c r="WZJ26" s="235"/>
      <c r="WZK26" s="235"/>
      <c r="WZL26" s="235"/>
      <c r="WZM26" s="235"/>
      <c r="WZN26" s="235"/>
      <c r="WZO26" s="235"/>
      <c r="WZP26" s="235"/>
      <c r="WZQ26" s="235"/>
      <c r="WZR26" s="235"/>
      <c r="WZS26" s="235"/>
      <c r="WZT26" s="235"/>
      <c r="WZU26" s="235"/>
      <c r="WZV26" s="235"/>
      <c r="WZW26" s="235"/>
      <c r="WZX26" s="235"/>
      <c r="WZY26" s="235"/>
      <c r="WZZ26" s="235"/>
      <c r="XAA26" s="235"/>
      <c r="XAB26" s="235"/>
      <c r="XAC26" s="235"/>
      <c r="XAD26" s="235"/>
      <c r="XAE26" s="235"/>
      <c r="XAF26" s="235"/>
      <c r="XAG26" s="235"/>
      <c r="XAH26" s="235"/>
      <c r="XAI26" s="235"/>
      <c r="XAJ26" s="235"/>
      <c r="XAK26" s="235"/>
      <c r="XAL26" s="235"/>
      <c r="XAM26" s="235"/>
      <c r="XAN26" s="235"/>
      <c r="XAO26" s="235"/>
      <c r="XAP26" s="235"/>
      <c r="XAQ26" s="235"/>
      <c r="XAR26" s="235"/>
      <c r="XAS26" s="235"/>
      <c r="XAT26" s="235"/>
      <c r="XAU26" s="235"/>
      <c r="XAV26" s="235"/>
      <c r="XAW26" s="235"/>
      <c r="XAX26" s="235"/>
      <c r="XAY26" s="235"/>
      <c r="XAZ26" s="235"/>
      <c r="XBA26" s="235"/>
      <c r="XBB26" s="235"/>
      <c r="XBC26" s="235"/>
      <c r="XBD26" s="235"/>
      <c r="XBE26" s="235"/>
      <c r="XBF26" s="235"/>
      <c r="XBG26" s="235"/>
      <c r="XBH26" s="235"/>
      <c r="XBI26" s="235"/>
      <c r="XBJ26" s="235"/>
      <c r="XBK26" s="235"/>
      <c r="XBL26" s="235"/>
      <c r="XBM26" s="235"/>
      <c r="XBN26" s="235"/>
      <c r="XBO26" s="235"/>
      <c r="XBP26" s="235"/>
      <c r="XBQ26" s="235"/>
      <c r="XBR26" s="235"/>
      <c r="XBS26" s="235"/>
      <c r="XBT26" s="235"/>
      <c r="XBU26" s="235"/>
      <c r="XBV26" s="235"/>
      <c r="XBW26" s="235"/>
      <c r="XBX26" s="235"/>
      <c r="XBY26" s="235"/>
      <c r="XBZ26" s="235"/>
      <c r="XCA26" s="235"/>
      <c r="XCB26" s="235"/>
      <c r="XCC26" s="235"/>
      <c r="XCD26" s="235"/>
      <c r="XCE26" s="235"/>
      <c r="XCF26" s="235"/>
      <c r="XCG26" s="235"/>
      <c r="XCH26" s="235"/>
      <c r="XCI26" s="235"/>
      <c r="XCJ26" s="235"/>
      <c r="XCK26" s="235"/>
      <c r="XCL26" s="235"/>
      <c r="XCM26" s="235"/>
      <c r="XCN26" s="235"/>
      <c r="XCO26" s="235"/>
      <c r="XCP26" s="235"/>
      <c r="XCQ26" s="235"/>
      <c r="XCR26" s="235"/>
      <c r="XCS26" s="235"/>
      <c r="XCT26" s="235"/>
      <c r="XCU26" s="235"/>
      <c r="XCV26" s="235"/>
      <c r="XCW26" s="235"/>
      <c r="XCX26" s="235"/>
      <c r="XCY26" s="235"/>
      <c r="XCZ26" s="235"/>
      <c r="XDA26" s="235"/>
      <c r="XDB26" s="235"/>
      <c r="XDC26" s="235"/>
      <c r="XDD26" s="235"/>
      <c r="XDE26" s="235"/>
      <c r="XDF26" s="235"/>
      <c r="XDG26" s="235"/>
      <c r="XDH26" s="235"/>
      <c r="XDI26" s="235"/>
      <c r="XDJ26" s="235"/>
      <c r="XDK26" s="235"/>
      <c r="XDL26" s="235"/>
      <c r="XDM26" s="235"/>
      <c r="XDN26" s="235"/>
      <c r="XDO26" s="235"/>
      <c r="XDP26" s="235"/>
      <c r="XDQ26" s="235"/>
      <c r="XDR26" s="235"/>
      <c r="XDS26" s="235"/>
      <c r="XDT26" s="235"/>
      <c r="XDU26" s="235"/>
      <c r="XDV26" s="235"/>
      <c r="XDW26" s="235"/>
      <c r="XDX26" s="235"/>
      <c r="XDY26" s="235"/>
      <c r="XDZ26" s="235"/>
      <c r="XEA26" s="235"/>
      <c r="XEB26" s="235"/>
      <c r="XEC26" s="235"/>
      <c r="XED26" s="235"/>
      <c r="XEE26" s="235"/>
      <c r="XEF26" s="235"/>
      <c r="XEG26" s="235"/>
      <c r="XEH26" s="235"/>
      <c r="XEI26" s="235"/>
      <c r="XEJ26" s="235"/>
      <c r="XEK26" s="235"/>
      <c r="XEL26" s="235"/>
      <c r="XEM26" s="235"/>
      <c r="XEN26" s="235"/>
      <c r="XEO26" s="235"/>
      <c r="XEP26" s="235"/>
      <c r="XEQ26" s="235"/>
      <c r="XER26" s="235"/>
      <c r="XES26" s="235"/>
      <c r="XET26" s="235"/>
      <c r="XEU26" s="235"/>
      <c r="XEV26" s="235"/>
      <c r="XEW26" s="235"/>
      <c r="XEX26" s="235"/>
      <c r="XEY26" s="235"/>
      <c r="XEZ26" s="235"/>
      <c r="XFA26" s="235"/>
      <c r="XFB26" s="235"/>
      <c r="XFC26" s="235"/>
      <c r="XFD26" s="235"/>
    </row>
    <row r="27" spans="1:16384" ht="12" customHeight="1">
      <c r="A27" s="207" t="s">
        <v>10</v>
      </c>
      <c r="B27" s="223"/>
      <c r="C27" s="223"/>
      <c r="D27" s="215"/>
      <c r="E27" s="215"/>
      <c r="F27" s="223"/>
      <c r="G27" s="215"/>
    </row>
    <row r="28" spans="1:16384" ht="12" customHeight="1">
      <c r="A28" s="148" t="s">
        <v>33</v>
      </c>
      <c r="B28" s="148"/>
      <c r="C28" s="148"/>
      <c r="D28" s="148"/>
      <c r="E28" s="148"/>
      <c r="F28" s="148"/>
      <c r="G28" s="215"/>
    </row>
    <row r="29" spans="1:16384" ht="12" customHeight="1">
      <c r="A29" s="322" t="s">
        <v>312</v>
      </c>
      <c r="B29" s="148"/>
      <c r="C29" s="148"/>
      <c r="D29" s="148"/>
      <c r="E29" s="148"/>
      <c r="F29" s="148"/>
      <c r="G29" s="215"/>
    </row>
    <row r="30" spans="1:16384" ht="12" customHeight="1">
      <c r="A30" s="209" t="s">
        <v>24</v>
      </c>
      <c r="B30" s="223"/>
      <c r="C30" s="223"/>
      <c r="D30" s="215"/>
      <c r="E30" s="215"/>
      <c r="F30" s="223"/>
      <c r="G30" s="215"/>
    </row>
    <row r="31" spans="1:16384" s="62" customFormat="1" ht="12" customHeight="1">
      <c r="A31" s="324" t="s">
        <v>314</v>
      </c>
      <c r="B31" s="225"/>
      <c r="C31" s="225"/>
      <c r="D31" s="208"/>
      <c r="E31" s="208"/>
      <c r="F31" s="225"/>
      <c r="G31" s="208"/>
    </row>
  </sheetData>
  <mergeCells count="4">
    <mergeCell ref="A26:F26"/>
    <mergeCell ref="A2:B2"/>
    <mergeCell ref="A3:B3"/>
    <mergeCell ref="A25:F25"/>
  </mergeCells>
  <dataValidations count="1">
    <dataValidation allowBlank="1" showInputMessage="1" showErrorMessage="1" prompt="Select the cell to the left to active the drop-down menu." sqref="D3"/>
  </dataValidations>
  <hyperlinks>
    <hyperlink ref="A2:B2" location="'Table of contents'!A1" display="Back to the Table of contents"/>
    <hyperlink ref="A26:F26" r:id="rId1" display="† Substance-related disorders presented in this table are mental and behavioural disorders. Users are cautioned not to compare these results with those of the indicator Hospital Stays for Harm Caused by Substance Use reported in the Your Health System web"/>
  </hyperlinks>
  <pageMargins left="0.75" right="0.75" top="0.75" bottom="0.75" header="0.3" footer="0.3"/>
  <pageSetup orientation="landscape" r:id="rId2"/>
  <headerFooter>
    <oddFooter>&amp;L&amp;9© 2020 CIHI&amp;R&amp;9&amp;P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Data!$B$155:$C$155</xm:f>
          </x14:formula1>
          <xm:sqref>C3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42"/>
  <sheetViews>
    <sheetView showGridLines="0" topLeftCell="A2" zoomScaleNormal="100" zoomScaleSheetLayoutView="50" workbookViewId="0"/>
  </sheetViews>
  <sheetFormatPr defaultColWidth="9" defaultRowHeight="13.8"/>
  <cols>
    <col min="1" max="1" width="9" style="6"/>
    <col min="2" max="2" width="9.19921875" style="6" customWidth="1"/>
    <col min="3" max="3" width="18.69921875" style="6" customWidth="1"/>
    <col min="4" max="4" width="21.69921875" style="6" customWidth="1"/>
    <col min="5" max="5" width="15.19921875" style="6" customWidth="1"/>
    <col min="6" max="6" width="12.69921875" style="6" customWidth="1"/>
    <col min="7" max="7" width="4.19921875" style="6" customWidth="1"/>
    <col min="8" max="16384" width="9" style="6"/>
  </cols>
  <sheetData>
    <row r="1" spans="1:11" s="311" customFormat="1" ht="25.5" hidden="1" customHeight="1">
      <c r="A1" s="309" t="s">
        <v>213</v>
      </c>
      <c r="B1" s="309"/>
      <c r="C1" s="309"/>
      <c r="D1" s="309"/>
      <c r="E1" s="309"/>
      <c r="F1" s="309"/>
      <c r="G1" s="310"/>
      <c r="H1" s="310"/>
      <c r="I1" s="310"/>
      <c r="J1" s="310"/>
      <c r="K1" s="310"/>
    </row>
    <row r="2" spans="1:11" s="218" customFormat="1" ht="24" customHeight="1">
      <c r="A2" s="335" t="s">
        <v>5</v>
      </c>
      <c r="B2" s="335"/>
      <c r="C2" s="335"/>
      <c r="D2" s="216"/>
      <c r="E2" s="217"/>
      <c r="F2" s="217"/>
      <c r="G2" s="6"/>
    </row>
    <row r="3" spans="1:11" s="220" customFormat="1" ht="36" customHeight="1">
      <c r="A3" s="337" t="s">
        <v>319</v>
      </c>
      <c r="B3" s="337"/>
      <c r="C3" s="337"/>
      <c r="D3" s="337"/>
      <c r="E3" s="337"/>
      <c r="F3" s="337"/>
      <c r="G3" s="263"/>
      <c r="H3" s="219"/>
      <c r="I3" s="219"/>
      <c r="J3" s="219"/>
    </row>
    <row r="4" spans="1:11" ht="41.4">
      <c r="A4" s="279" t="s">
        <v>30</v>
      </c>
      <c r="B4" s="275" t="s">
        <v>58</v>
      </c>
      <c r="C4" s="276" t="s">
        <v>11</v>
      </c>
      <c r="D4" s="276" t="s">
        <v>190</v>
      </c>
      <c r="E4" s="277" t="s">
        <v>181</v>
      </c>
      <c r="F4" s="278" t="s">
        <v>191</v>
      </c>
      <c r="H4" s="221"/>
      <c r="I4" s="221"/>
    </row>
    <row r="5" spans="1:11" ht="15" customHeight="1">
      <c r="A5" s="222" t="s">
        <v>32</v>
      </c>
      <c r="B5" s="172" t="s">
        <v>59</v>
      </c>
      <c r="C5" s="160">
        <v>89</v>
      </c>
      <c r="D5" s="161">
        <v>2.92</v>
      </c>
      <c r="E5" s="161">
        <v>22.4</v>
      </c>
      <c r="F5" s="162">
        <v>1994</v>
      </c>
      <c r="H5" s="185"/>
      <c r="I5" s="185"/>
    </row>
    <row r="6" spans="1:11" ht="15" customHeight="1">
      <c r="A6" s="164" t="s">
        <v>32</v>
      </c>
      <c r="B6" s="172" t="s">
        <v>60</v>
      </c>
      <c r="C6" s="160">
        <v>72</v>
      </c>
      <c r="D6" s="161">
        <v>3.06</v>
      </c>
      <c r="E6" s="161">
        <v>20.82</v>
      </c>
      <c r="F6" s="162">
        <v>1499</v>
      </c>
      <c r="H6" s="185"/>
      <c r="I6" s="185"/>
    </row>
    <row r="7" spans="1:11" ht="15" customHeight="1">
      <c r="A7" s="164" t="s">
        <v>32</v>
      </c>
      <c r="B7" s="172" t="s">
        <v>61</v>
      </c>
      <c r="C7" s="160">
        <v>30</v>
      </c>
      <c r="D7" s="161">
        <v>0.6</v>
      </c>
      <c r="E7" s="161">
        <v>33.07</v>
      </c>
      <c r="F7" s="162">
        <v>992</v>
      </c>
      <c r="H7" s="185"/>
      <c r="I7" s="185"/>
    </row>
    <row r="8" spans="1:11" ht="15" customHeight="1">
      <c r="A8" s="164" t="s">
        <v>32</v>
      </c>
      <c r="B8" s="172" t="s">
        <v>62</v>
      </c>
      <c r="C8" s="160">
        <v>15</v>
      </c>
      <c r="D8" s="161">
        <v>0.3</v>
      </c>
      <c r="E8" s="161">
        <v>28.13</v>
      </c>
      <c r="F8" s="162">
        <v>422</v>
      </c>
      <c r="H8" s="185"/>
      <c r="I8" s="185"/>
    </row>
    <row r="9" spans="1:11" ht="15" customHeight="1">
      <c r="A9" s="164" t="s">
        <v>32</v>
      </c>
      <c r="B9" s="172" t="s">
        <v>63</v>
      </c>
      <c r="C9" s="160">
        <v>6</v>
      </c>
      <c r="D9" s="161">
        <v>0.21</v>
      </c>
      <c r="E9" s="161">
        <v>8.33</v>
      </c>
      <c r="F9" s="162">
        <v>50</v>
      </c>
      <c r="H9" s="185"/>
      <c r="I9" s="185"/>
    </row>
    <row r="10" spans="1:11" ht="15" customHeight="1">
      <c r="A10" s="165" t="s">
        <v>32</v>
      </c>
      <c r="B10" s="172" t="s">
        <v>64</v>
      </c>
      <c r="C10" s="166">
        <v>212</v>
      </c>
      <c r="D10" s="167">
        <v>1.1499999999999999</v>
      </c>
      <c r="E10" s="167">
        <v>23.38</v>
      </c>
      <c r="F10" s="168">
        <v>4957</v>
      </c>
      <c r="H10" s="185"/>
      <c r="I10" s="185"/>
    </row>
    <row r="11" spans="1:11" ht="15" customHeight="1">
      <c r="A11" s="222" t="s">
        <v>31</v>
      </c>
      <c r="B11" s="172" t="s">
        <v>59</v>
      </c>
      <c r="C11" s="169">
        <v>483</v>
      </c>
      <c r="D11" s="161">
        <v>16.52</v>
      </c>
      <c r="E11" s="161">
        <v>29.42</v>
      </c>
      <c r="F11" s="162">
        <v>14210</v>
      </c>
      <c r="H11" s="185"/>
      <c r="I11" s="185"/>
    </row>
    <row r="12" spans="1:11" ht="15" customHeight="1">
      <c r="A12" s="164" t="s">
        <v>31</v>
      </c>
      <c r="B12" s="172" t="s">
        <v>60</v>
      </c>
      <c r="C12" s="169">
        <v>1008</v>
      </c>
      <c r="D12" s="161">
        <v>46.02</v>
      </c>
      <c r="E12" s="161">
        <v>30.2</v>
      </c>
      <c r="F12" s="162">
        <v>30441</v>
      </c>
      <c r="H12" s="185"/>
      <c r="I12" s="185"/>
    </row>
    <row r="13" spans="1:11" ht="15" customHeight="1">
      <c r="A13" s="164" t="s">
        <v>31</v>
      </c>
      <c r="B13" s="172" t="s">
        <v>61</v>
      </c>
      <c r="C13" s="169">
        <v>378</v>
      </c>
      <c r="D13" s="161">
        <v>7.59</v>
      </c>
      <c r="E13" s="161">
        <v>40.26</v>
      </c>
      <c r="F13" s="162">
        <v>15218</v>
      </c>
      <c r="H13" s="185"/>
      <c r="I13" s="185"/>
    </row>
    <row r="14" spans="1:11" ht="15" customHeight="1">
      <c r="A14" s="164" t="s">
        <v>31</v>
      </c>
      <c r="B14" s="172" t="s">
        <v>62</v>
      </c>
      <c r="C14" s="169">
        <v>107</v>
      </c>
      <c r="D14" s="161">
        <v>2.09</v>
      </c>
      <c r="E14" s="161">
        <v>34.57</v>
      </c>
      <c r="F14" s="162">
        <v>3699</v>
      </c>
      <c r="H14" s="185"/>
      <c r="I14" s="185"/>
    </row>
    <row r="15" spans="1:11" ht="15" customHeight="1">
      <c r="A15" s="164" t="s">
        <v>31</v>
      </c>
      <c r="B15" s="172" t="s">
        <v>63</v>
      </c>
      <c r="C15" s="169">
        <v>23</v>
      </c>
      <c r="D15" s="161">
        <v>0.67</v>
      </c>
      <c r="E15" s="161">
        <v>33.479999999999997</v>
      </c>
      <c r="F15" s="162">
        <v>770</v>
      </c>
      <c r="H15" s="185"/>
      <c r="I15" s="185"/>
    </row>
    <row r="16" spans="1:11" ht="15" customHeight="1">
      <c r="A16" s="165" t="s">
        <v>31</v>
      </c>
      <c r="B16" s="172" t="s">
        <v>64</v>
      </c>
      <c r="C16" s="170">
        <v>1999</v>
      </c>
      <c r="D16" s="167">
        <v>10.72</v>
      </c>
      <c r="E16" s="167">
        <v>32.19</v>
      </c>
      <c r="F16" s="168">
        <v>64338</v>
      </c>
      <c r="H16" s="185"/>
      <c r="I16" s="185"/>
    </row>
    <row r="17" spans="1:9" ht="15" customHeight="1">
      <c r="A17" s="171" t="s">
        <v>34</v>
      </c>
      <c r="B17" s="172" t="s">
        <v>65</v>
      </c>
      <c r="C17" s="170">
        <v>2211</v>
      </c>
      <c r="D17" s="167">
        <v>5.97</v>
      </c>
      <c r="E17" s="167">
        <v>31.34</v>
      </c>
      <c r="F17" s="168">
        <v>69295</v>
      </c>
      <c r="H17" s="185"/>
      <c r="I17" s="185"/>
    </row>
    <row r="18" spans="1:9" ht="17.25" customHeight="1">
      <c r="A18" s="204" t="s">
        <v>9</v>
      </c>
      <c r="B18" s="204"/>
      <c r="C18" s="198"/>
      <c r="D18" s="198"/>
      <c r="E18" s="223"/>
      <c r="F18" s="215"/>
      <c r="G18" s="185"/>
      <c r="H18" s="185"/>
      <c r="I18" s="185"/>
    </row>
    <row r="19" spans="1:9" ht="24" customHeight="1">
      <c r="A19" s="328" t="s">
        <v>12</v>
      </c>
      <c r="B19" s="328"/>
      <c r="C19" s="328"/>
      <c r="D19" s="328"/>
      <c r="E19" s="328"/>
      <c r="F19" s="328"/>
      <c r="G19" s="185"/>
      <c r="H19" s="185"/>
      <c r="I19" s="185"/>
    </row>
    <row r="20" spans="1:9" ht="12" customHeight="1">
      <c r="A20" s="207" t="s">
        <v>33</v>
      </c>
      <c r="B20" s="207"/>
      <c r="C20" s="208"/>
      <c r="D20" s="208"/>
      <c r="E20" s="223"/>
      <c r="F20" s="215"/>
      <c r="G20" s="185"/>
      <c r="H20" s="185"/>
      <c r="I20" s="185"/>
    </row>
    <row r="21" spans="1:9" ht="12" customHeight="1">
      <c r="A21" s="209" t="s">
        <v>24</v>
      </c>
      <c r="B21" s="209"/>
      <c r="C21" s="224"/>
      <c r="D21" s="224"/>
      <c r="E21" s="223"/>
      <c r="F21" s="215"/>
      <c r="G21" s="185"/>
      <c r="H21" s="185"/>
      <c r="I21" s="185"/>
    </row>
    <row r="22" spans="1:9" ht="12" customHeight="1">
      <c r="A22" s="324" t="s">
        <v>314</v>
      </c>
      <c r="B22" s="37"/>
      <c r="C22" s="208"/>
      <c r="D22" s="208"/>
      <c r="E22" s="225"/>
      <c r="F22" s="215"/>
      <c r="G22" s="185"/>
      <c r="H22" s="185"/>
      <c r="I22" s="185"/>
    </row>
    <row r="42" spans="1:6">
      <c r="A42" s="185"/>
      <c r="B42" s="185"/>
      <c r="C42" s="185"/>
      <c r="D42" s="185"/>
      <c r="E42" s="185"/>
      <c r="F42" s="185"/>
    </row>
  </sheetData>
  <mergeCells count="3">
    <mergeCell ref="A2:C2"/>
    <mergeCell ref="A19:F19"/>
    <mergeCell ref="A3:F3"/>
  </mergeCells>
  <hyperlinks>
    <hyperlink ref="A2:C2" location="'Table of contents'!A1" display="Back to the Table of contents"/>
  </hyperlinks>
  <pageMargins left="0.75" right="0.75" top="0.75" bottom="0.75" header="0.3" footer="0.3"/>
  <pageSetup orientation="landscape" r:id="rId1"/>
  <headerFooter>
    <oddFooter>&amp;L&amp;9© 2020 CIHI&amp;R&amp;9&amp;P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25</vt:i4>
      </vt:variant>
    </vt:vector>
  </HeadingPairs>
  <TitlesOfParts>
    <vt:vector size="37" baseType="lpstr">
      <vt:lpstr>HMHDB Supplementary Tables</vt:lpstr>
      <vt:lpstr>Notes to readers</vt:lpstr>
      <vt:lpstr>Table of contents</vt:lpstr>
      <vt:lpstr>1 General hosp</vt:lpstr>
      <vt:lpstr>2 Psych hosp</vt:lpstr>
      <vt:lpstr>3 Combined stats prov terr</vt:lpstr>
      <vt:lpstr>4 Combined LOS prov terr</vt:lpstr>
      <vt:lpstr>5 Combined stats by sex</vt:lpstr>
      <vt:lpstr>6 Eating disorders, rate LOS</vt:lpstr>
      <vt:lpstr>7 Eating disorders hosp trend</vt:lpstr>
      <vt:lpstr>8 30-day readmission</vt:lpstr>
      <vt:lpstr>Data</vt:lpstr>
      <vt:lpstr>'2 Psych hosp'!_Toc332699836</vt:lpstr>
      <vt:lpstr>'5 Combined stats by sex'!_Toc332699836</vt:lpstr>
      <vt:lpstr>'3 Combined stats prov terr'!_Toc332699841</vt:lpstr>
      <vt:lpstr>'4 Combined LOS prov terr'!_Toc332699842</vt:lpstr>
      <vt:lpstr>'1 General hosp'!Print_Area</vt:lpstr>
      <vt:lpstr>'2 Psych hosp'!Print_Area</vt:lpstr>
      <vt:lpstr>'3 Combined stats prov terr'!Print_Area</vt:lpstr>
      <vt:lpstr>'4 Combined LOS prov terr'!Print_Area</vt:lpstr>
      <vt:lpstr>'5 Combined stats by sex'!Print_Area</vt:lpstr>
      <vt:lpstr>'6 Eating disorders, rate LOS'!Print_Area</vt:lpstr>
      <vt:lpstr>'7 Eating disorders hosp trend'!Print_Area</vt:lpstr>
      <vt:lpstr>'8 30-day readmission'!Print_Area</vt:lpstr>
      <vt:lpstr>Data!Print_Area</vt:lpstr>
      <vt:lpstr>'HMHDB Supplementary Tables'!Print_Area</vt:lpstr>
      <vt:lpstr>'Table of contents'!Print_Area</vt:lpstr>
      <vt:lpstr>'4 Combined LOS prov terr'!Print_Titles</vt:lpstr>
      <vt:lpstr>'8 30-day readmission'!QS3_1</vt:lpstr>
      <vt:lpstr>Title..C19</vt:lpstr>
      <vt:lpstr>Title..D108</vt:lpstr>
      <vt:lpstr>Title..F17</vt:lpstr>
      <vt:lpstr>Title..F23</vt:lpstr>
      <vt:lpstr>Title..F47</vt:lpstr>
      <vt:lpstr>Title..G13</vt:lpstr>
      <vt:lpstr>Title..G14</vt:lpstr>
      <vt:lpstr>Title..G17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Mental Health and Addictions Hospitalizations in Canada, Supplementary Tables, 2018–2019 </dc:title>
  <dc:creator/>
  <cp:keywords>inpatient mental health, HMHDB, mental health indicators, mental illness, addiction, eating disorders</cp:keywords>
  <cp:lastModifiedBy/>
  <dcterms:created xsi:type="dcterms:W3CDTF">2020-06-23T12:43:21Z</dcterms:created>
  <dcterms:modified xsi:type="dcterms:W3CDTF">2020-08-19T17:18:29Z</dcterms:modified>
</cp:coreProperties>
</file>