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1C81E61C-E431-4624-AA1A-93EDFA142F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ewertu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E3" i="1"/>
  <c r="E29" i="1"/>
  <c r="F29" i="1"/>
  <c r="D29" i="1"/>
  <c r="C33" i="1"/>
  <c r="D22" i="1"/>
  <c r="E22" i="1"/>
  <c r="F22" i="1"/>
  <c r="C22" i="1"/>
  <c r="D3" i="1"/>
  <c r="E5" i="1"/>
  <c r="C5" i="1"/>
  <c r="F5" i="1"/>
  <c r="D5" i="1"/>
  <c r="F3" i="1"/>
  <c r="C26" i="1"/>
  <c r="C28" i="1" s="1"/>
  <c r="F26" i="1"/>
  <c r="F28" i="1" s="1"/>
  <c r="D26" i="1"/>
  <c r="D28" i="1" s="1"/>
  <c r="E26" i="1"/>
  <c r="E28" i="1" s="1"/>
  <c r="E30" i="1"/>
  <c r="E32" i="1" s="1"/>
  <c r="D30" i="1"/>
  <c r="E24" i="1"/>
  <c r="E25" i="1" s="1"/>
  <c r="C24" i="1"/>
  <c r="C25" i="1" s="1"/>
  <c r="F24" i="1"/>
  <c r="F25" i="1" s="1"/>
  <c r="D24" i="1"/>
  <c r="D25" i="1" s="1"/>
  <c r="C19" i="1"/>
  <c r="E19" i="1"/>
  <c r="F19" i="1"/>
  <c r="D19" i="1"/>
  <c r="F14" i="1"/>
  <c r="C14" i="1"/>
  <c r="E14" i="1"/>
  <c r="D14" i="1"/>
  <c r="G37" i="1"/>
  <c r="D32" i="1"/>
  <c r="F30" i="1"/>
  <c r="F32" i="1" s="1"/>
  <c r="C30" i="1"/>
  <c r="C32" i="1" s="1"/>
  <c r="D6" i="1"/>
  <c r="E6" i="1"/>
  <c r="C6" i="1"/>
  <c r="F6" i="1"/>
  <c r="F20" i="1" l="1"/>
  <c r="D15" i="1"/>
  <c r="C9" i="1"/>
  <c r="E33" i="1"/>
  <c r="E34" i="1" s="1"/>
  <c r="E35" i="1" s="1"/>
  <c r="F33" i="1"/>
  <c r="D33" i="1"/>
  <c r="D34" i="1" s="1"/>
  <c r="D35" i="1" s="1"/>
  <c r="E20" i="1"/>
  <c r="E15" i="1"/>
  <c r="C15" i="1"/>
  <c r="F15" i="1"/>
  <c r="D20" i="1"/>
  <c r="C20" i="1"/>
  <c r="C34" i="1"/>
  <c r="C35" i="1" s="1"/>
  <c r="F34" i="1" l="1"/>
  <c r="F35" i="1" s="1"/>
  <c r="D36" i="1" s="1"/>
  <c r="E9" i="1"/>
  <c r="F9" i="1"/>
  <c r="E36" i="1" l="1"/>
  <c r="F36" i="1"/>
  <c r="C36" i="1"/>
  <c r="D8" i="1"/>
  <c r="D9" i="1" l="1"/>
  <c r="D10" i="1" l="1"/>
  <c r="D37" i="1" s="1"/>
  <c r="D38" i="1" s="1"/>
  <c r="C10" i="1"/>
  <c r="C37" i="1" s="1"/>
  <c r="C38" i="1" s="1"/>
  <c r="F10" i="1"/>
  <c r="F37" i="1" s="1"/>
  <c r="F38" i="1" s="1"/>
  <c r="E10" i="1"/>
  <c r="E37" i="1" s="1"/>
  <c r="E38" i="1" s="1"/>
</calcChain>
</file>

<file path=xl/sharedStrings.xml><?xml version="1.0" encoding="utf-8"?>
<sst xmlns="http://schemas.openxmlformats.org/spreadsheetml/2006/main" count="70" uniqueCount="52">
  <si>
    <t>-</t>
  </si>
  <si>
    <t>Topologie</t>
  </si>
  <si>
    <t>Swiss</t>
  </si>
  <si>
    <t>IAF</t>
  </si>
  <si>
    <t>Einheit</t>
  </si>
  <si>
    <t>L1 Netzinduktivität</t>
  </si>
  <si>
    <t>uH</t>
  </si>
  <si>
    <t>Gespeicherte Energie</t>
  </si>
  <si>
    <t>J</t>
  </si>
  <si>
    <t>Rippelstrom absolut</t>
  </si>
  <si>
    <t>A</t>
  </si>
  <si>
    <t>L3 IAF IVS Induktivität</t>
  </si>
  <si>
    <t>Summe:</t>
  </si>
  <si>
    <t>C1 Netzkapazität</t>
  </si>
  <si>
    <t>uF</t>
  </si>
  <si>
    <t>mF</t>
  </si>
  <si>
    <t>C3 DC Zwischenkreis</t>
  </si>
  <si>
    <t>Halbleiter</t>
  </si>
  <si>
    <t>SiC 4mOhm</t>
  </si>
  <si>
    <t>SiC 2mOhm</t>
  </si>
  <si>
    <t>Vienna SiC 5mOhm</t>
  </si>
  <si>
    <t>Vienna Diode</t>
  </si>
  <si>
    <t>Treiber</t>
  </si>
  <si>
    <t>Treiberanzahl</t>
  </si>
  <si>
    <t>Schaltverluste 30 Grad</t>
  </si>
  <si>
    <t>Leitverluste 30 Grad</t>
  </si>
  <si>
    <t>Summe 30 Grad</t>
  </si>
  <si>
    <t>Gewichtung 30 Grad</t>
  </si>
  <si>
    <t>Schaltverluste 0 Grad</t>
  </si>
  <si>
    <t>Leitverluste 0 Grad</t>
  </si>
  <si>
    <t>Summe 0 Grad</t>
  </si>
  <si>
    <t>Gewichtung 0 Grad</t>
  </si>
  <si>
    <t>Gewichtete Summe Verluste</t>
  </si>
  <si>
    <t>Gesamt</t>
  </si>
  <si>
    <t>Kleiner = Besser</t>
  </si>
  <si>
    <t>Dioden normiert</t>
  </si>
  <si>
    <t>%</t>
  </si>
  <si>
    <t>SiC normiert:</t>
  </si>
  <si>
    <t>Kapazität normiert:</t>
  </si>
  <si>
    <t>Induktivität normiert:</t>
  </si>
  <si>
    <t>Verluste normiert:</t>
  </si>
  <si>
    <t>Treiber normiert:</t>
  </si>
  <si>
    <t xml:space="preserve">L2 DC Induktivität </t>
  </si>
  <si>
    <t>C2 am Elektrolyseur</t>
  </si>
  <si>
    <t xml:space="preserve">Gespeicherte Energie </t>
  </si>
  <si>
    <t>Induktivitäten</t>
  </si>
  <si>
    <t xml:space="preserve">Kapazitäten </t>
  </si>
  <si>
    <t>Verluste</t>
  </si>
  <si>
    <t>W</t>
  </si>
  <si>
    <t>Spalte1</t>
  </si>
  <si>
    <t>6Switch</t>
  </si>
  <si>
    <t>B6Buck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</si>
</sst>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5" xfId="0" applyBorder="1"/>
    <xf numFmtId="0" fontId="1" fillId="0" borderId="2" xfId="0" applyFont="1" applyBorder="1"/>
    <xf numFmtId="0" fontId="0" fillId="0" borderId="6" xfId="0" applyBorder="1"/>
    <xf numFmtId="0" fontId="0" fillId="0" borderId="3" xfId="0" applyBorder="1"/>
    <xf numFmtId="164" fontId="0" fillId="0" borderId="3" xfId="0" applyNumberFormat="1" applyBorder="1"/>
    <xf numFmtId="0" fontId="3" fillId="0" borderId="0" xfId="0" applyFont="1"/>
    <xf numFmtId="164" fontId="1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3" fillId="0" borderId="7" xfId="0" applyFont="1" applyBorder="1"/>
    <xf numFmtId="0" fontId="1" fillId="0" borderId="8" xfId="0" applyFont="1" applyBorder="1"/>
    <xf numFmtId="164" fontId="0" fillId="0" borderId="8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9" fontId="0" fillId="0" borderId="0" xfId="0" applyNumberFormat="1" applyAlignment="1">
      <alignment horizontal="center"/>
    </xf>
    <xf numFmtId="0" fontId="2" fillId="0" borderId="11" xfId="0" applyFont="1" applyBorder="1"/>
    <xf numFmtId="0" fontId="2" fillId="0" borderId="3" xfId="0" applyFont="1" applyBorder="1"/>
    <xf numFmtId="9" fontId="3" fillId="0" borderId="2" xfId="0" applyNumberFormat="1" applyFont="1" applyBorder="1" applyAlignment="1">
      <alignment horizontal="center"/>
    </xf>
    <xf numFmtId="0" fontId="0" fillId="0" borderId="2" xfId="0" applyBorder="1"/>
    <xf numFmtId="9" fontId="1" fillId="0" borderId="8" xfId="0" applyNumberFormat="1" applyFont="1" applyBorder="1" applyAlignment="1">
      <alignment horizontal="center"/>
    </xf>
    <xf numFmtId="0" fontId="1" fillId="0" borderId="11" xfId="0" applyFont="1" applyBorder="1"/>
    <xf numFmtId="0" fontId="3" fillId="0" borderId="4" xfId="0" applyFont="1" applyBorder="1"/>
    <xf numFmtId="164" fontId="1" fillId="0" borderId="2" xfId="0" applyNumberFormat="1" applyFont="1" applyBorder="1" applyAlignment="1">
      <alignment horizontal="center"/>
    </xf>
    <xf numFmtId="9" fontId="1" fillId="0" borderId="2" xfId="0" applyNumberFormat="1" applyFont="1" applyBorder="1" applyAlignment="1">
      <alignment horizontal="center"/>
    </xf>
    <xf numFmtId="0" fontId="2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9" fontId="2" fillId="0" borderId="11" xfId="0" applyNumberFormat="1" applyFont="1" applyBorder="1" applyAlignment="1">
      <alignment horizontal="center"/>
    </xf>
    <xf numFmtId="0" fontId="3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0" fontId="2" fillId="0" borderId="12" xfId="0" applyFont="1" applyBorder="1"/>
    <xf numFmtId="2" fontId="2" fillId="0" borderId="1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0" xfId="0" applyBorder="1"/>
    <xf numFmtId="0" fontId="1" fillId="0" borderId="1" xfId="0" applyFont="1" applyFill="1" applyBorder="1"/>
    <xf numFmtId="0" fontId="0" fillId="0" borderId="15" xfId="0" applyBorder="1"/>
    <xf numFmtId="0" fontId="2" fillId="0" borderId="15" xfId="0" applyFont="1" applyFill="1" applyBorder="1"/>
    <xf numFmtId="164" fontId="1" fillId="0" borderId="15" xfId="0" applyNumberFormat="1" applyFont="1" applyFill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0" fontId="3" fillId="0" borderId="2" xfId="0" applyFont="1" applyBorder="1"/>
    <xf numFmtId="165" fontId="3" fillId="0" borderId="2" xfId="0" applyNumberFormat="1" applyFont="1" applyBorder="1" applyAlignment="1">
      <alignment horizontal="center"/>
    </xf>
    <xf numFmtId="0" fontId="0" fillId="0" borderId="16" xfId="0" applyBorder="1"/>
    <xf numFmtId="0" fontId="2" fillId="0" borderId="17" xfId="0" applyFont="1" applyBorder="1"/>
    <xf numFmtId="2" fontId="2" fillId="0" borderId="17" xfId="0" applyNumberFormat="1" applyFont="1" applyBorder="1" applyAlignment="1">
      <alignment horizontal="center"/>
    </xf>
    <xf numFmtId="9" fontId="3" fillId="0" borderId="17" xfId="0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</cellXfs>
  <cellStyles count="1">
    <cellStyle name="Standard" xfId="0" builtinId="0"/>
  </cellStyles>
  <dxfs count="18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/>
        <top/>
        <bottom/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1:H38" totalsRowCount="1" headerRowDxfId="17" headerRowBorderDxfId="16" tableBorderDxfId="15" totalsRowBorderDxfId="14">
  <autoFilter ref="A1:H37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Spalte1" dataDxfId="13" totalsRowDxfId="7"/>
    <tableColumn id="2" xr3:uid="{00000000-0010-0000-0000-000002000000}" name="Topologie" totalsRowDxfId="6"/>
    <tableColumn id="3" xr3:uid="{00000000-0010-0000-0000-000003000000}" name="B6Buck" totalsRowFunction="custom" dataDxfId="12" totalsRowDxfId="5">
      <totalsRowFormula>(1-C37)*100</totalsRowFormula>
    </tableColumn>
    <tableColumn id="4" xr3:uid="{00000000-0010-0000-0000-000004000000}" name="Swiss" totalsRowFunction="custom" dataDxfId="11" totalsRowDxfId="4">
      <totalsRowFormula>(1-D37)*100</totalsRowFormula>
    </tableColumn>
    <tableColumn id="5" xr3:uid="{00000000-0010-0000-0000-000005000000}" name="IAF" totalsRowFunction="custom" dataDxfId="10" totalsRowDxfId="3">
      <totalsRowFormula>(1-E37)*100</totalsRowFormula>
    </tableColumn>
    <tableColumn id="6" xr3:uid="{00000000-0010-0000-0000-000006000000}" name="6Switch" totalsRowFunction="custom" dataDxfId="9" totalsRowDxfId="2">
      <totalsRowFormula>(1-F37)*100</totalsRowFormula>
    </tableColumn>
    <tableColumn id="7" xr3:uid="{00000000-0010-0000-0000-000007000000}" name="%" totalsRowLabel="%" totalsRowDxfId="1"/>
    <tableColumn id="8" xr3:uid="{00000000-0010-0000-0000-000008000000}" name="Einheit" dataDxfId="8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="115" zoomScaleNormal="115" workbookViewId="0">
      <selection activeCell="B1" sqref="B1:F37"/>
    </sheetView>
  </sheetViews>
  <sheetFormatPr baseColWidth="10" defaultColWidth="9.140625" defaultRowHeight="15" x14ac:dyDescent="0.25"/>
  <cols>
    <col min="1" max="1" width="18.140625" bestFit="1" customWidth="1"/>
    <col min="2" max="2" width="20.7109375" customWidth="1"/>
    <col min="3" max="3" width="8.42578125" customWidth="1"/>
    <col min="4" max="5" width="7" bestFit="1" customWidth="1"/>
    <col min="6" max="6" width="13.5703125" bestFit="1" customWidth="1"/>
    <col min="7" max="7" width="12.28515625" bestFit="1" customWidth="1"/>
    <col min="8" max="8" width="7.28515625" bestFit="1" customWidth="1"/>
    <col min="9" max="9" width="12" customWidth="1"/>
  </cols>
  <sheetData>
    <row r="1" spans="1:8" ht="15.75" thickBot="1" x14ac:dyDescent="0.3">
      <c r="A1" s="39" t="s">
        <v>49</v>
      </c>
      <c r="B1" s="40" t="s">
        <v>1</v>
      </c>
      <c r="C1" s="41" t="s">
        <v>51</v>
      </c>
      <c r="D1" s="41" t="s">
        <v>2</v>
      </c>
      <c r="E1" s="41" t="s">
        <v>3</v>
      </c>
      <c r="F1" s="41" t="s">
        <v>50</v>
      </c>
      <c r="G1" s="41" t="s">
        <v>36</v>
      </c>
      <c r="H1" s="40" t="s">
        <v>4</v>
      </c>
    </row>
    <row r="2" spans="1:8" x14ac:dyDescent="0.25">
      <c r="A2" s="34" t="s">
        <v>45</v>
      </c>
      <c r="B2" s="19" t="s">
        <v>5</v>
      </c>
      <c r="C2" s="47">
        <v>135.97</v>
      </c>
      <c r="D2" s="47">
        <v>17.5</v>
      </c>
      <c r="E2" s="47">
        <v>1</v>
      </c>
      <c r="F2" s="47">
        <v>17.5</v>
      </c>
      <c r="G2" s="29"/>
      <c r="H2" s="19" t="s">
        <v>6</v>
      </c>
    </row>
    <row r="3" spans="1:8" x14ac:dyDescent="0.25">
      <c r="A3" s="35"/>
      <c r="B3" s="1" t="s">
        <v>7</v>
      </c>
      <c r="C3" s="48">
        <f>3*4.8</f>
        <v>14.399999999999999</v>
      </c>
      <c r="D3" s="48">
        <f>3*0.5*(D2*10^-6)*(260)^2</f>
        <v>1.7744999999999997</v>
      </c>
      <c r="E3" s="48">
        <f>3*0.5*(E2*10^-6)*(260)^2</f>
        <v>0.1014</v>
      </c>
      <c r="F3" s="48">
        <f t="shared" ref="F3" si="0">3*0.5*(F2*10^-6)*(260)^2</f>
        <v>1.7744999999999997</v>
      </c>
      <c r="G3" s="11"/>
      <c r="H3" s="1" t="s">
        <v>8</v>
      </c>
    </row>
    <row r="4" spans="1:8" x14ac:dyDescent="0.25">
      <c r="A4" s="35"/>
      <c r="B4" s="1" t="s">
        <v>42</v>
      </c>
      <c r="C4" s="48">
        <v>136</v>
      </c>
      <c r="D4" s="48">
        <v>136</v>
      </c>
      <c r="E4" s="48">
        <v>136</v>
      </c>
      <c r="F4" s="48">
        <v>136</v>
      </c>
      <c r="G4" s="11"/>
      <c r="H4" s="1" t="s">
        <v>6</v>
      </c>
    </row>
    <row r="5" spans="1:8" x14ac:dyDescent="0.25">
      <c r="A5" s="35"/>
      <c r="B5" s="1" t="s">
        <v>9</v>
      </c>
      <c r="C5" s="48">
        <f t="shared" ref="C5:F5" si="1">295*0.3</f>
        <v>88.5</v>
      </c>
      <c r="D5" s="48">
        <f>295*0.3</f>
        <v>88.5</v>
      </c>
      <c r="E5" s="48">
        <f t="shared" si="1"/>
        <v>88.5</v>
      </c>
      <c r="F5" s="48">
        <f t="shared" si="1"/>
        <v>88.5</v>
      </c>
      <c r="G5" s="11"/>
      <c r="H5" s="1" t="s">
        <v>10</v>
      </c>
    </row>
    <row r="6" spans="1:8" x14ac:dyDescent="0.25">
      <c r="A6" s="35"/>
      <c r="B6" s="1" t="s">
        <v>7</v>
      </c>
      <c r="C6" s="48">
        <f>0.5*(C4*10^-6)*(295+88/2)^2</f>
        <v>7.8146279999999999</v>
      </c>
      <c r="D6" s="48">
        <f>0.5*(D4*10^-6)*(295+88/2)^2</f>
        <v>7.8146279999999999</v>
      </c>
      <c r="E6" s="48">
        <f>0.5*(E4*10^-6)*(295+88/2)^2</f>
        <v>7.8146279999999999</v>
      </c>
      <c r="F6" s="48">
        <f t="shared" ref="F6" si="2">0.5*(F4*10^-6)*(295+88/2)^2</f>
        <v>7.8146279999999999</v>
      </c>
      <c r="G6" s="11"/>
      <c r="H6" s="1" t="s">
        <v>8</v>
      </c>
    </row>
    <row r="7" spans="1:8" x14ac:dyDescent="0.25">
      <c r="A7" s="35"/>
      <c r="B7" s="1" t="s">
        <v>11</v>
      </c>
      <c r="C7" s="48" t="s">
        <v>0</v>
      </c>
      <c r="D7" s="48" t="s">
        <v>0</v>
      </c>
      <c r="E7" s="48">
        <v>302.2</v>
      </c>
      <c r="F7" s="48" t="s">
        <v>0</v>
      </c>
      <c r="G7" s="11"/>
      <c r="H7" s="1" t="s">
        <v>6</v>
      </c>
    </row>
    <row r="8" spans="1:8" x14ac:dyDescent="0.25">
      <c r="A8" s="35"/>
      <c r="B8" s="1" t="s">
        <v>44</v>
      </c>
      <c r="C8" s="48">
        <v>0</v>
      </c>
      <c r="D8" s="48">
        <f>0</f>
        <v>0</v>
      </c>
      <c r="E8" s="48">
        <v>2.6461999999999999</v>
      </c>
      <c r="F8" s="48">
        <v>0</v>
      </c>
      <c r="G8" s="11"/>
      <c r="H8" s="1"/>
    </row>
    <row r="9" spans="1:8" x14ac:dyDescent="0.25">
      <c r="A9" s="35"/>
      <c r="B9" s="3" t="s">
        <v>12</v>
      </c>
      <c r="C9" s="12">
        <f>(C3+C6+C8)</f>
        <v>22.214627999999998</v>
      </c>
      <c r="D9" s="12">
        <f>(D3+D6+D8)</f>
        <v>9.5891279999999988</v>
      </c>
      <c r="E9" s="12">
        <f>(E3+E6+E8)</f>
        <v>10.562227999999999</v>
      </c>
      <c r="F9" s="12">
        <f>(F3+F6+F8)</f>
        <v>9.5891279999999988</v>
      </c>
      <c r="G9" s="24"/>
      <c r="H9" s="1"/>
    </row>
    <row r="10" spans="1:8" ht="15.75" thickBot="1" x14ac:dyDescent="0.3">
      <c r="A10" s="36"/>
      <c r="B10" s="25" t="s">
        <v>39</v>
      </c>
      <c r="C10" s="43">
        <f>(C9)/(MAX($C$9:$F$9))</f>
        <v>1</v>
      </c>
      <c r="D10" s="43">
        <f t="shared" ref="D10:F10" si="3">(D9)/(MAX($C$9:$F$9))</f>
        <v>0.43165827489886394</v>
      </c>
      <c r="E10" s="43">
        <f t="shared" si="3"/>
        <v>0.47546274463835275</v>
      </c>
      <c r="F10" s="43">
        <f t="shared" si="3"/>
        <v>0.43165827489886394</v>
      </c>
      <c r="G10" s="37">
        <v>0.5</v>
      </c>
      <c r="H10" s="30"/>
    </row>
    <row r="11" spans="1:8" x14ac:dyDescent="0.25">
      <c r="A11" s="42" t="s">
        <v>46</v>
      </c>
      <c r="B11" s="5" t="s">
        <v>13</v>
      </c>
      <c r="C11" s="46" t="s">
        <v>0</v>
      </c>
      <c r="D11" s="46">
        <v>50</v>
      </c>
      <c r="E11" s="46">
        <v>50</v>
      </c>
      <c r="F11" s="46">
        <v>50</v>
      </c>
      <c r="G11" s="33"/>
      <c r="H11" s="5" t="s">
        <v>14</v>
      </c>
    </row>
    <row r="12" spans="1:8" x14ac:dyDescent="0.25">
      <c r="A12" s="35"/>
      <c r="B12" s="1" t="s">
        <v>43</v>
      </c>
      <c r="C12" s="10">
        <v>1</v>
      </c>
      <c r="D12" s="10">
        <v>1</v>
      </c>
      <c r="E12" s="10">
        <v>1</v>
      </c>
      <c r="F12" s="10">
        <v>1</v>
      </c>
      <c r="G12" s="11"/>
      <c r="H12" s="1" t="s">
        <v>15</v>
      </c>
    </row>
    <row r="13" spans="1:8" x14ac:dyDescent="0.25">
      <c r="A13" s="35"/>
      <c r="B13" s="1" t="s">
        <v>16</v>
      </c>
      <c r="C13" s="10">
        <v>25</v>
      </c>
      <c r="D13" s="10" t="s">
        <v>0</v>
      </c>
      <c r="E13" s="10">
        <v>50</v>
      </c>
      <c r="F13" s="10" t="s">
        <v>0</v>
      </c>
      <c r="G13" s="11"/>
      <c r="H13" s="1" t="s">
        <v>14</v>
      </c>
    </row>
    <row r="14" spans="1:8" hidden="1" x14ac:dyDescent="0.25">
      <c r="A14" s="35"/>
      <c r="B14" s="3" t="s">
        <v>12</v>
      </c>
      <c r="C14" s="12">
        <f>SUM(C11:C13)</f>
        <v>26</v>
      </c>
      <c r="D14" s="12">
        <f>SUM(D11:D13)</f>
        <v>51</v>
      </c>
      <c r="E14" s="12">
        <f>SUM(E11:E13)</f>
        <v>101</v>
      </c>
      <c r="F14" s="12">
        <f>SUM(F11:F13)</f>
        <v>51</v>
      </c>
      <c r="G14" s="24"/>
      <c r="H14" s="1"/>
    </row>
    <row r="15" spans="1:8" ht="15.75" thickBot="1" x14ac:dyDescent="0.3">
      <c r="A15" s="36"/>
      <c r="B15" s="25" t="s">
        <v>38</v>
      </c>
      <c r="C15" s="43">
        <f>(C14)/(MAX($C$14:$F$14))</f>
        <v>0.25742574257425743</v>
      </c>
      <c r="D15" s="43">
        <f t="shared" ref="D15:F15" si="4">(D14)/(MAX($C$14:$F$14))</f>
        <v>0.50495049504950495</v>
      </c>
      <c r="E15" s="43">
        <f t="shared" si="4"/>
        <v>1</v>
      </c>
      <c r="F15" s="43">
        <f t="shared" si="4"/>
        <v>0.50495049504950495</v>
      </c>
      <c r="G15" s="37">
        <v>0.05</v>
      </c>
      <c r="H15" s="30"/>
    </row>
    <row r="16" spans="1:8" x14ac:dyDescent="0.25">
      <c r="A16" s="38" t="s">
        <v>17</v>
      </c>
      <c r="B16" s="5" t="s">
        <v>18</v>
      </c>
      <c r="C16" s="32">
        <v>0</v>
      </c>
      <c r="D16" s="32">
        <v>0</v>
      </c>
      <c r="E16" s="32">
        <v>2</v>
      </c>
      <c r="F16" s="32">
        <v>0</v>
      </c>
      <c r="G16" s="33"/>
      <c r="H16" s="28"/>
    </row>
    <row r="17" spans="1:8" x14ac:dyDescent="0.25">
      <c r="A17" s="23"/>
      <c r="B17" s="1" t="s">
        <v>19</v>
      </c>
      <c r="C17" s="10">
        <v>10</v>
      </c>
      <c r="D17" s="10">
        <v>8</v>
      </c>
      <c r="E17" s="10">
        <v>4</v>
      </c>
      <c r="F17" s="10">
        <v>12</v>
      </c>
      <c r="G17" s="11"/>
      <c r="H17" s="2"/>
    </row>
    <row r="18" spans="1:8" x14ac:dyDescent="0.25">
      <c r="A18" s="23"/>
      <c r="B18" s="1" t="s">
        <v>20</v>
      </c>
      <c r="C18" s="10">
        <v>0</v>
      </c>
      <c r="D18" s="10">
        <v>6</v>
      </c>
      <c r="E18" s="10">
        <v>6</v>
      </c>
      <c r="F18" s="10">
        <v>0</v>
      </c>
      <c r="G18" s="11"/>
      <c r="H18" s="2"/>
    </row>
    <row r="19" spans="1:8" hidden="1" x14ac:dyDescent="0.25">
      <c r="A19" s="23"/>
      <c r="B19" s="3" t="s">
        <v>12</v>
      </c>
      <c r="C19" s="12">
        <f>(C17*1/2+C18*1/5)</f>
        <v>5</v>
      </c>
      <c r="D19" s="12">
        <f>(D17*1/2+D18*1/5)</f>
        <v>5.2</v>
      </c>
      <c r="E19" s="12">
        <f>(E17*1/2+E18*1/5)</f>
        <v>3.2</v>
      </c>
      <c r="F19" s="12">
        <f>(F17*1/2+F18*1/5)</f>
        <v>6</v>
      </c>
      <c r="G19" s="24"/>
      <c r="H19" s="2"/>
    </row>
    <row r="20" spans="1:8" x14ac:dyDescent="0.25">
      <c r="A20" s="2"/>
      <c r="B20" s="3" t="s">
        <v>37</v>
      </c>
      <c r="C20" s="45">
        <f>(C19)/(MAX($C$19:$F$19))</f>
        <v>0.83333333333333337</v>
      </c>
      <c r="D20" s="45">
        <f t="shared" ref="D20:F20" si="5">(D19)/(MAX($C$19:$F$19))</f>
        <v>0.8666666666666667</v>
      </c>
      <c r="E20" s="45">
        <f t="shared" si="5"/>
        <v>0.53333333333333333</v>
      </c>
      <c r="F20" s="45">
        <f t="shared" si="5"/>
        <v>1</v>
      </c>
      <c r="G20" s="13">
        <v>0.15</v>
      </c>
      <c r="H20" s="2"/>
    </row>
    <row r="21" spans="1:8" x14ac:dyDescent="0.25">
      <c r="A21" s="2"/>
      <c r="B21" s="50" t="s">
        <v>21</v>
      </c>
      <c r="C21" s="48">
        <v>0</v>
      </c>
      <c r="D21" s="48">
        <v>6</v>
      </c>
      <c r="E21" s="48">
        <v>6</v>
      </c>
      <c r="F21" s="48">
        <v>0</v>
      </c>
      <c r="G21" s="13"/>
      <c r="H21" s="2"/>
    </row>
    <row r="22" spans="1:8" ht="15.75" thickBot="1" x14ac:dyDescent="0.3">
      <c r="A22" s="51"/>
      <c r="B22" s="52" t="s">
        <v>35</v>
      </c>
      <c r="C22" s="53">
        <f>C21/MAX($C$21:$F$21)</f>
        <v>0</v>
      </c>
      <c r="D22" s="53">
        <f t="shared" ref="D22:F22" si="6">D21/MAX($C$21:$F$21)</f>
        <v>1</v>
      </c>
      <c r="E22" s="53">
        <f t="shared" si="6"/>
        <v>1</v>
      </c>
      <c r="F22" s="53">
        <f t="shared" si="6"/>
        <v>0</v>
      </c>
      <c r="G22" s="54">
        <v>0.05</v>
      </c>
      <c r="H22" s="51"/>
    </row>
    <row r="23" spans="1:8" x14ac:dyDescent="0.25">
      <c r="A23" s="31" t="s">
        <v>22</v>
      </c>
      <c r="B23" s="5" t="s">
        <v>23</v>
      </c>
      <c r="C23" s="32">
        <v>8</v>
      </c>
      <c r="D23" s="32">
        <v>7</v>
      </c>
      <c r="E23" s="32">
        <v>7</v>
      </c>
      <c r="F23" s="32">
        <v>12</v>
      </c>
      <c r="G23" s="33"/>
      <c r="H23" s="28"/>
    </row>
    <row r="24" spans="1:8" hidden="1" x14ac:dyDescent="0.25">
      <c r="A24" s="4"/>
      <c r="B24" s="3" t="s">
        <v>12</v>
      </c>
      <c r="C24" s="12">
        <f>C23</f>
        <v>8</v>
      </c>
      <c r="D24" s="12">
        <f>D23</f>
        <v>7</v>
      </c>
      <c r="E24" s="12">
        <f>E23</f>
        <v>7</v>
      </c>
      <c r="F24" s="12">
        <f>F23</f>
        <v>12</v>
      </c>
      <c r="H24" s="2"/>
    </row>
    <row r="25" spans="1:8" ht="15.75" thickBot="1" x14ac:dyDescent="0.3">
      <c r="A25" s="6"/>
      <c r="B25" s="26" t="s">
        <v>41</v>
      </c>
      <c r="C25" s="44">
        <f>(C24)/(MAX($C$23:$F$23))</f>
        <v>0.66666666666666663</v>
      </c>
      <c r="D25" s="44">
        <f t="shared" ref="D25:F25" si="7">(D24)/(MAX($C$23:$F$23))</f>
        <v>0.58333333333333337</v>
      </c>
      <c r="E25" s="44">
        <f t="shared" si="7"/>
        <v>0.58333333333333337</v>
      </c>
      <c r="F25" s="44">
        <f t="shared" si="7"/>
        <v>1</v>
      </c>
      <c r="G25" s="13">
        <v>0.05</v>
      </c>
      <c r="H25" s="7"/>
    </row>
    <row r="26" spans="1:8" x14ac:dyDescent="0.25">
      <c r="A26" s="18" t="s">
        <v>47</v>
      </c>
      <c r="B26" s="19" t="s">
        <v>24</v>
      </c>
      <c r="C26" s="20">
        <f>821-C27</f>
        <v>567</v>
      </c>
      <c r="D26" s="20">
        <f>1336-D27</f>
        <v>215</v>
      </c>
      <c r="E26" s="20">
        <f>1814-E27</f>
        <v>503</v>
      </c>
      <c r="F26" s="20">
        <f>846-F27</f>
        <v>303</v>
      </c>
      <c r="G26" s="21"/>
      <c r="H26" s="22" t="s">
        <v>48</v>
      </c>
    </row>
    <row r="27" spans="1:8" x14ac:dyDescent="0.25">
      <c r="A27" s="23"/>
      <c r="B27" s="1" t="s">
        <v>25</v>
      </c>
      <c r="C27" s="14">
        <v>254</v>
      </c>
      <c r="D27" s="14">
        <v>1121</v>
      </c>
      <c r="E27" s="14">
        <v>1311</v>
      </c>
      <c r="F27" s="14">
        <v>543</v>
      </c>
      <c r="G27" s="15"/>
      <c r="H27" s="2" t="s">
        <v>48</v>
      </c>
    </row>
    <row r="28" spans="1:8" hidden="1" x14ac:dyDescent="0.25">
      <c r="A28" s="23"/>
      <c r="B28" s="1" t="s">
        <v>26</v>
      </c>
      <c r="C28" s="14">
        <f>C27+C26</f>
        <v>821</v>
      </c>
      <c r="D28" s="14">
        <f>D27+D26</f>
        <v>1336</v>
      </c>
      <c r="E28" s="14">
        <f>E27+E26</f>
        <v>1814</v>
      </c>
      <c r="F28" s="14">
        <f>F27+F26</f>
        <v>846</v>
      </c>
      <c r="G28" s="15"/>
      <c r="H28" s="2"/>
    </row>
    <row r="29" spans="1:8" x14ac:dyDescent="0.25">
      <c r="A29" s="23"/>
      <c r="B29" s="3" t="s">
        <v>27</v>
      </c>
      <c r="C29" s="17">
        <v>0.75</v>
      </c>
      <c r="D29" s="15">
        <f>$C$29</f>
        <v>0.75</v>
      </c>
      <c r="E29" s="15">
        <f t="shared" ref="E29:F29" si="8">$C$29</f>
        <v>0.75</v>
      </c>
      <c r="F29" s="15">
        <f t="shared" si="8"/>
        <v>0.75</v>
      </c>
      <c r="G29" s="15"/>
      <c r="H29" s="2"/>
    </row>
    <row r="30" spans="1:8" x14ac:dyDescent="0.25">
      <c r="A30" s="23"/>
      <c r="B30" s="1" t="s">
        <v>28</v>
      </c>
      <c r="C30" s="14">
        <f>880-326</f>
        <v>554</v>
      </c>
      <c r="D30" s="14">
        <f>1024-781</f>
        <v>243</v>
      </c>
      <c r="E30" s="14">
        <f>1259-748</f>
        <v>511</v>
      </c>
      <c r="F30" s="14">
        <f>1121-722</f>
        <v>399</v>
      </c>
      <c r="G30" s="15"/>
      <c r="H30" s="2" t="s">
        <v>48</v>
      </c>
    </row>
    <row r="31" spans="1:8" x14ac:dyDescent="0.25">
      <c r="A31" s="23"/>
      <c r="B31" s="1" t="s">
        <v>29</v>
      </c>
      <c r="C31" s="14">
        <v>326</v>
      </c>
      <c r="D31" s="14">
        <v>781</v>
      </c>
      <c r="E31" s="14">
        <v>748</v>
      </c>
      <c r="F31" s="14">
        <v>722</v>
      </c>
      <c r="G31" s="15"/>
      <c r="H31" s="2" t="s">
        <v>48</v>
      </c>
    </row>
    <row r="32" spans="1:8" hidden="1" x14ac:dyDescent="0.25">
      <c r="A32" s="23"/>
      <c r="B32" s="1" t="s">
        <v>30</v>
      </c>
      <c r="C32" s="14">
        <f>C31+C30</f>
        <v>880</v>
      </c>
      <c r="D32" s="14">
        <f>D31+D30</f>
        <v>1024</v>
      </c>
      <c r="E32" s="14">
        <f>E31+E30</f>
        <v>1259</v>
      </c>
      <c r="F32" s="14">
        <f>F31+F30</f>
        <v>1121</v>
      </c>
      <c r="G32" s="15"/>
      <c r="H32" s="2"/>
    </row>
    <row r="33" spans="1:8" x14ac:dyDescent="0.25">
      <c r="A33" s="23"/>
      <c r="B33" s="3" t="s">
        <v>31</v>
      </c>
      <c r="C33" s="15">
        <f>1-C29</f>
        <v>0.25</v>
      </c>
      <c r="D33" s="15">
        <f>1-D29</f>
        <v>0.25</v>
      </c>
      <c r="E33" s="15">
        <f t="shared" ref="E33:F33" si="9">1-E29</f>
        <v>0.25</v>
      </c>
      <c r="F33" s="15">
        <f t="shared" si="9"/>
        <v>0.25</v>
      </c>
      <c r="G33" s="15"/>
      <c r="H33" s="2"/>
    </row>
    <row r="34" spans="1:8" hidden="1" x14ac:dyDescent="0.25">
      <c r="A34" s="23"/>
      <c r="B34" s="1" t="s">
        <v>32</v>
      </c>
      <c r="C34" s="14">
        <f>C28*C29+C32*C33</f>
        <v>835.75</v>
      </c>
      <c r="D34" s="14">
        <f>D28*D29+D32*D33</f>
        <v>1258</v>
      </c>
      <c r="E34" s="14">
        <f>E28*E29+E32*E33</f>
        <v>1675.25</v>
      </c>
      <c r="F34" s="14">
        <f>F28*F29+F32*F33</f>
        <v>914.75</v>
      </c>
      <c r="G34" s="15"/>
      <c r="H34" s="2"/>
    </row>
    <row r="35" spans="1:8" hidden="1" x14ac:dyDescent="0.25">
      <c r="A35" s="23"/>
      <c r="B35" s="3" t="s">
        <v>12</v>
      </c>
      <c r="C35" s="16">
        <f>C34</f>
        <v>835.75</v>
      </c>
      <c r="D35" s="16">
        <f>D34</f>
        <v>1258</v>
      </c>
      <c r="E35" s="16">
        <f>E34</f>
        <v>1675.25</v>
      </c>
      <c r="F35" s="16">
        <f>F34</f>
        <v>914.75</v>
      </c>
      <c r="G35" s="24"/>
      <c r="H35" s="2"/>
    </row>
    <row r="36" spans="1:8" s="62" customFormat="1" ht="15.75" thickBot="1" x14ac:dyDescent="0.3">
      <c r="A36" s="57"/>
      <c r="B36" s="58" t="s">
        <v>40</v>
      </c>
      <c r="C36" s="59">
        <f>(C35)/(MAX($C$35:$F$35))</f>
        <v>0.49888076406506493</v>
      </c>
      <c r="D36" s="59">
        <f t="shared" ref="D36:F36" si="10">(D35)/(MAX($C$35:$F$35))</f>
        <v>0.75093269661244588</v>
      </c>
      <c r="E36" s="59">
        <f t="shared" si="10"/>
        <v>1</v>
      </c>
      <c r="F36" s="59">
        <f t="shared" si="10"/>
        <v>0.54603790479032976</v>
      </c>
      <c r="G36" s="60">
        <v>0.2</v>
      </c>
      <c r="H36" s="61"/>
    </row>
    <row r="37" spans="1:8" s="9" customFormat="1" ht="15.75" thickTop="1" x14ac:dyDescent="0.25">
      <c r="A37" s="31" t="s">
        <v>33</v>
      </c>
      <c r="B37" s="55" t="s">
        <v>34</v>
      </c>
      <c r="C37" s="56">
        <f>C10*$G$10+C15*$G$15+C20*$G$20+C25*$G$25+C36*$G$36+C22*$G$22</f>
        <v>0.77098077327505921</v>
      </c>
      <c r="D37" s="56">
        <f>D10*$G$10+D15*$G$15+D20*$G$20+D25*$G$25+D36*$G$36+D22*$G$22</f>
        <v>0.60042986819106314</v>
      </c>
      <c r="E37" s="56">
        <f>E10*$G$10+E15*$G$15+E20*$G$20+E25*$G$25+E36*$G$36+E22*$G$22</f>
        <v>0.64689803898584319</v>
      </c>
      <c r="F37" s="56">
        <f>F10*$G$10+F15*$G$15+F20*$G$20+F25*$G$25+F36*$G$36+F22*$G$22</f>
        <v>0.55028424315997315</v>
      </c>
      <c r="G37" s="27">
        <f>SUM(G2:G36)</f>
        <v>1.0000000000000002</v>
      </c>
      <c r="H37" s="55"/>
    </row>
    <row r="38" spans="1:8" x14ac:dyDescent="0.25">
      <c r="A38" s="6"/>
      <c r="B38" s="49"/>
      <c r="C38" s="8">
        <f>(1-C37)*100</f>
        <v>22.901922672494081</v>
      </c>
      <c r="D38" s="8">
        <f>(1-D37)*100</f>
        <v>39.957013180893682</v>
      </c>
      <c r="E38" s="8">
        <f>(1-E37)*100</f>
        <v>35.310196101415684</v>
      </c>
      <c r="F38" s="8">
        <f t="shared" ref="F38" si="11">(1-F37)*100</f>
        <v>44.971575684002687</v>
      </c>
      <c r="G38" s="49" t="s">
        <v>36</v>
      </c>
      <c r="H38" s="7"/>
    </row>
  </sheetData>
  <conditionalFormatting sqref="C37:F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2024-02-05T15:43:41Z</dcterms:modified>
  <cp:category/>
  <cp:contentStatus/>
</cp:coreProperties>
</file>