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e" sheetId="1" r:id="rId4"/>
    <sheet state="visible" name="Populacja 1" sheetId="2" r:id="rId5"/>
    <sheet state="visible" name="Populacja 2" sheetId="3" r:id="rId6"/>
    <sheet state="visible" name="Both obliczenia" sheetId="4" r:id="rId7"/>
    <sheet state="visible" name="Arkusz7" sheetId="5" r:id="rId8"/>
  </sheets>
  <definedNames/>
  <calcPr/>
  <extLst>
    <ext uri="GoogleSheetsCustomDataVersion2">
      <go:sheetsCustomData xmlns:go="http://customooxmlschemas.google.com/" r:id="rId9" roundtripDataChecksum="wn9Z/icirJk8zm/kPkHiL2Tn64J8eEjmjybt4+D7qH4="/>
    </ext>
  </extLst>
</workbook>
</file>

<file path=xl/sharedStrings.xml><?xml version="1.0" encoding="utf-8"?>
<sst xmlns="http://schemas.openxmlformats.org/spreadsheetml/2006/main" count="358" uniqueCount="99">
  <si>
    <t>Populacja</t>
  </si>
  <si>
    <t>Mvi1302_A1</t>
  </si>
  <si>
    <t>Mvi1302_A2</t>
  </si>
  <si>
    <t>Mvi1381_A1</t>
  </si>
  <si>
    <t>Mvi1381_A2</t>
  </si>
  <si>
    <t>Mvis002_A1</t>
  </si>
  <si>
    <t>Mvis002_A2</t>
  </si>
  <si>
    <t>Mvis075_A1</t>
  </si>
  <si>
    <t>Mvis075_A2</t>
  </si>
  <si>
    <t>Mvis099_A1</t>
  </si>
  <si>
    <t>Mvis099_A2</t>
  </si>
  <si>
    <t>Liczebność</t>
  </si>
  <si>
    <t>Liczebność Oczekiwana</t>
  </si>
  <si>
    <t>Suma</t>
  </si>
  <si>
    <t>H(obs)</t>
  </si>
  <si>
    <t>px*1/2</t>
  </si>
  <si>
    <t>px</t>
  </si>
  <si>
    <t>px^2</t>
  </si>
  <si>
    <t>P187</t>
  </si>
  <si>
    <t>H(exp)</t>
  </si>
  <si>
    <t>P182</t>
  </si>
  <si>
    <t>F</t>
  </si>
  <si>
    <t>P176</t>
  </si>
  <si>
    <t>SUMA</t>
  </si>
  <si>
    <t>srednia</t>
  </si>
  <si>
    <t>srednia^2</t>
  </si>
  <si>
    <t>P205</t>
  </si>
  <si>
    <t>P208</t>
  </si>
  <si>
    <t xml:space="preserve">P214 </t>
  </si>
  <si>
    <t>P216</t>
  </si>
  <si>
    <t>P184</t>
  </si>
  <si>
    <t>P112</t>
  </si>
  <si>
    <t>P218</t>
  </si>
  <si>
    <t>P191</t>
  </si>
  <si>
    <t>P116</t>
  </si>
  <si>
    <t>P220</t>
  </si>
  <si>
    <t>P193</t>
  </si>
  <si>
    <t>P118</t>
  </si>
  <si>
    <t>P315</t>
  </si>
  <si>
    <t>P222</t>
  </si>
  <si>
    <t>P195</t>
  </si>
  <si>
    <t>P120</t>
  </si>
  <si>
    <t>P317</t>
  </si>
  <si>
    <t>P224</t>
  </si>
  <si>
    <t>P196</t>
  </si>
  <si>
    <t>P122</t>
  </si>
  <si>
    <t>P319</t>
  </si>
  <si>
    <t>P226</t>
  </si>
  <si>
    <t>P189</t>
  </si>
  <si>
    <t>P124</t>
  </si>
  <si>
    <t>P321</t>
  </si>
  <si>
    <t>P126</t>
  </si>
  <si>
    <t>P324</t>
  </si>
  <si>
    <t>P128</t>
  </si>
  <si>
    <t>P330</t>
  </si>
  <si>
    <t>suma wszystkich p^2</t>
  </si>
  <si>
    <t>P130</t>
  </si>
  <si>
    <t>P332</t>
  </si>
  <si>
    <t>suma sekwencji (n)</t>
  </si>
  <si>
    <t>sumaH(obs)</t>
  </si>
  <si>
    <t>P336</t>
  </si>
  <si>
    <t>H(ej)</t>
  </si>
  <si>
    <t>H(oj)</t>
  </si>
  <si>
    <t>P339</t>
  </si>
  <si>
    <t>P345</t>
  </si>
  <si>
    <t xml:space="preserve">h(t) oczekiwanna dla jakby całej populacji </t>
  </si>
  <si>
    <t>N=59</t>
  </si>
  <si>
    <t>h(obs)</t>
  </si>
  <si>
    <t>Px</t>
  </si>
  <si>
    <t>P214</t>
  </si>
  <si>
    <t>pi(średnia)</t>
  </si>
  <si>
    <t>cj</t>
  </si>
  <si>
    <t>hej*cj</t>
  </si>
  <si>
    <t>hoj*cj</t>
  </si>
  <si>
    <t>suma</t>
  </si>
  <si>
    <t>N=60</t>
  </si>
  <si>
    <t>obliczenia</t>
  </si>
  <si>
    <t>c(j)</t>
  </si>
  <si>
    <t xml:space="preserve">nie wiadomo </t>
  </si>
  <si>
    <t>H(i)</t>
  </si>
  <si>
    <t>H(i)- dla 1 pop</t>
  </si>
  <si>
    <t>H(i) dla 2 pop</t>
  </si>
  <si>
    <t>H(s)</t>
  </si>
  <si>
    <t>H(s) dla 1 pop</t>
  </si>
  <si>
    <t>H(s) dla drugiej pop</t>
  </si>
  <si>
    <t>H(t)</t>
  </si>
  <si>
    <t>suma z obu pop</t>
  </si>
  <si>
    <t>Pi^2</t>
  </si>
  <si>
    <t>1-Pi^2</t>
  </si>
  <si>
    <t xml:space="preserve">suma z (1-Pi^2) </t>
  </si>
  <si>
    <t>F(st)</t>
  </si>
  <si>
    <t>F(is)</t>
  </si>
  <si>
    <t>Mvi1302</t>
  </si>
  <si>
    <t>Pupulacja 1</t>
  </si>
  <si>
    <t>Populacja 2</t>
  </si>
  <si>
    <t>Mvi1381</t>
  </si>
  <si>
    <t>Mvis002</t>
  </si>
  <si>
    <t>Mvis075</t>
  </si>
  <si>
    <t>Mvis099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</si>
</sst>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E56B6F"/>
        <bgColor rgb="FFE56B6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0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3" fontId="1" numFmtId="0" xfId="0" applyFont="1"/>
    <xf borderId="0" fillId="4" fontId="0" numFmtId="0" xfId="0" applyAlignment="1" applyFill="1" applyFont="1">
      <alignment readingOrder="0"/>
    </xf>
    <xf borderId="0" fillId="4" fontId="1" numFmtId="0" xfId="0" applyFont="1"/>
    <xf borderId="0" fillId="5" fontId="1" numFmtId="0" xfId="0" applyFill="1" applyFont="1"/>
    <xf borderId="0" fillId="6" fontId="1" numFmtId="0" xfId="0" applyFill="1" applyFont="1"/>
    <xf borderId="0" fillId="0" fontId="1" numFmtId="0" xfId="0" applyAlignment="1" applyFont="1">
      <alignment readingOrder="0"/>
    </xf>
    <xf borderId="0" fillId="7" fontId="1" numFmtId="0" xfId="0" applyFill="1" applyFont="1"/>
    <xf borderId="0" fillId="2" fontId="2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0" fontId="3" numFmtId="0" xfId="0" applyFont="1"/>
    <xf borderId="0" fillId="2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5" width="11.86"/>
    <col customWidth="1" min="6" max="11" width="11.71"/>
    <col customWidth="1" min="12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>
      <c r="A2" s="1">
        <v>1.0</v>
      </c>
      <c r="B2" s="1">
        <v>222.0</v>
      </c>
      <c r="C2" s="1">
        <v>222.0</v>
      </c>
      <c r="D2" s="1">
        <v>184.0</v>
      </c>
      <c r="E2" s="1">
        <v>187.0</v>
      </c>
      <c r="F2" s="1">
        <v>176.0</v>
      </c>
      <c r="G2" s="1">
        <v>187.0</v>
      </c>
      <c r="H2" s="1">
        <v>116.0</v>
      </c>
      <c r="I2" s="1">
        <v>126.0</v>
      </c>
      <c r="J2" s="1">
        <v>321.0</v>
      </c>
      <c r="K2" s="1">
        <v>339.0</v>
      </c>
    </row>
    <row r="3" ht="13.5" customHeight="1">
      <c r="A3" s="1">
        <v>1.0</v>
      </c>
      <c r="B3" s="1">
        <v>222.0</v>
      </c>
      <c r="C3" s="1">
        <v>222.0</v>
      </c>
      <c r="D3" s="1">
        <v>195.0</v>
      </c>
      <c r="E3" s="1">
        <v>196.0</v>
      </c>
      <c r="F3" s="1">
        <v>187.0</v>
      </c>
      <c r="G3" s="1">
        <v>187.0</v>
      </c>
      <c r="H3" s="1">
        <v>118.0</v>
      </c>
      <c r="I3" s="1">
        <v>118.0</v>
      </c>
      <c r="J3" s="1">
        <v>321.0</v>
      </c>
      <c r="K3" s="1">
        <v>339.0</v>
      </c>
    </row>
    <row r="4" ht="13.5" customHeight="1">
      <c r="A4" s="1">
        <v>1.0</v>
      </c>
      <c r="B4" s="1">
        <v>220.0</v>
      </c>
      <c r="C4" s="1">
        <v>222.0</v>
      </c>
      <c r="D4" s="1">
        <v>187.0</v>
      </c>
      <c r="E4" s="1">
        <v>191.0</v>
      </c>
      <c r="F4" s="1">
        <v>182.0</v>
      </c>
      <c r="G4" s="1">
        <v>187.0</v>
      </c>
      <c r="H4" s="1">
        <v>124.0</v>
      </c>
      <c r="I4" s="1">
        <v>126.0</v>
      </c>
      <c r="J4" s="1">
        <v>332.0</v>
      </c>
      <c r="K4" s="1">
        <v>345.0</v>
      </c>
    </row>
    <row r="5" ht="13.5" customHeight="1">
      <c r="A5" s="1">
        <v>1.0</v>
      </c>
      <c r="B5" s="1">
        <v>214.0</v>
      </c>
      <c r="C5" s="1">
        <v>220.0</v>
      </c>
      <c r="D5" s="1">
        <v>184.0</v>
      </c>
      <c r="E5" s="1">
        <v>187.0</v>
      </c>
      <c r="F5" s="1">
        <v>187.0</v>
      </c>
      <c r="G5" s="1">
        <v>187.0</v>
      </c>
      <c r="H5" s="1">
        <v>126.0</v>
      </c>
      <c r="I5" s="1">
        <v>128.0</v>
      </c>
      <c r="J5" s="1">
        <v>336.0</v>
      </c>
      <c r="K5" s="1">
        <v>339.0</v>
      </c>
    </row>
    <row r="6" ht="13.5" customHeight="1">
      <c r="A6" s="1">
        <v>1.0</v>
      </c>
      <c r="B6" s="1">
        <v>220.0</v>
      </c>
      <c r="C6" s="1">
        <v>224.0</v>
      </c>
      <c r="D6" s="1">
        <v>184.0</v>
      </c>
      <c r="E6" s="1">
        <v>193.0</v>
      </c>
      <c r="F6" s="1">
        <v>187.0</v>
      </c>
      <c r="G6" s="1">
        <v>187.0</v>
      </c>
      <c r="H6" s="1">
        <v>118.0</v>
      </c>
      <c r="I6" s="1">
        <v>126.0</v>
      </c>
      <c r="J6" s="1">
        <v>319.0</v>
      </c>
      <c r="K6" s="1">
        <v>324.0</v>
      </c>
    </row>
    <row r="7" ht="13.5" customHeight="1">
      <c r="A7" s="1">
        <v>1.0</v>
      </c>
      <c r="B7" s="1">
        <v>220.0</v>
      </c>
      <c r="C7" s="1">
        <v>220.0</v>
      </c>
      <c r="D7" s="1">
        <v>184.0</v>
      </c>
      <c r="E7" s="1">
        <v>187.0</v>
      </c>
      <c r="F7" s="1">
        <v>187.0</v>
      </c>
      <c r="G7" s="1">
        <v>187.0</v>
      </c>
      <c r="H7" s="1">
        <v>116.0</v>
      </c>
      <c r="I7" s="1">
        <v>126.0</v>
      </c>
      <c r="J7" s="1">
        <v>339.0</v>
      </c>
      <c r="K7" s="1">
        <v>339.0</v>
      </c>
    </row>
    <row r="8" ht="13.5" customHeight="1">
      <c r="A8" s="1">
        <v>1.0</v>
      </c>
      <c r="B8" s="1">
        <v>220.0</v>
      </c>
      <c r="C8" s="1">
        <v>224.0</v>
      </c>
      <c r="D8" s="1">
        <v>193.0</v>
      </c>
      <c r="E8" s="1">
        <v>193.0</v>
      </c>
      <c r="F8" s="1">
        <v>187.0</v>
      </c>
      <c r="G8" s="1">
        <v>187.0</v>
      </c>
      <c r="H8" s="1">
        <v>118.0</v>
      </c>
      <c r="I8" s="1">
        <v>122.0</v>
      </c>
      <c r="J8" s="1">
        <v>324.0</v>
      </c>
      <c r="K8" s="1">
        <v>332.0</v>
      </c>
    </row>
    <row r="9" ht="13.5" customHeight="1">
      <c r="A9" s="1">
        <v>1.0</v>
      </c>
      <c r="B9" s="1">
        <v>218.0</v>
      </c>
      <c r="C9" s="1">
        <v>218.0</v>
      </c>
      <c r="D9" s="1">
        <v>187.0</v>
      </c>
      <c r="E9" s="1">
        <v>191.0</v>
      </c>
      <c r="F9" s="1">
        <v>182.0</v>
      </c>
      <c r="G9" s="1">
        <v>187.0</v>
      </c>
      <c r="H9" s="1">
        <v>118.0</v>
      </c>
      <c r="I9" s="1">
        <v>126.0</v>
      </c>
      <c r="J9" s="1">
        <v>339.0</v>
      </c>
      <c r="K9" s="1">
        <v>339.0</v>
      </c>
    </row>
    <row r="10" ht="13.5" customHeight="1">
      <c r="A10" s="1">
        <v>1.0</v>
      </c>
      <c r="B10" s="1">
        <v>222.0</v>
      </c>
      <c r="C10" s="1">
        <v>226.0</v>
      </c>
      <c r="D10" s="1">
        <v>184.0</v>
      </c>
      <c r="E10" s="1">
        <v>195.0</v>
      </c>
      <c r="F10" s="1">
        <v>187.0</v>
      </c>
      <c r="G10" s="1">
        <v>187.0</v>
      </c>
      <c r="H10" s="1">
        <v>118.0</v>
      </c>
      <c r="I10" s="1">
        <v>122.0</v>
      </c>
      <c r="J10" s="1">
        <v>319.0</v>
      </c>
      <c r="K10" s="1">
        <v>339.0</v>
      </c>
    </row>
    <row r="11" ht="13.5" customHeight="1">
      <c r="A11" s="1">
        <v>1.0</v>
      </c>
      <c r="B11" s="1">
        <v>224.0</v>
      </c>
      <c r="C11" s="1">
        <v>224.0</v>
      </c>
      <c r="D11" s="1">
        <v>184.0</v>
      </c>
      <c r="E11" s="1">
        <v>193.0</v>
      </c>
      <c r="F11" s="1">
        <v>187.0</v>
      </c>
      <c r="G11" s="1">
        <v>187.0</v>
      </c>
      <c r="H11" s="1">
        <v>122.0</v>
      </c>
      <c r="I11" s="1">
        <v>128.0</v>
      </c>
      <c r="J11" s="1">
        <v>330.0</v>
      </c>
      <c r="K11" s="1">
        <v>339.0</v>
      </c>
    </row>
    <row r="12" ht="13.5" customHeight="1">
      <c r="A12" s="1">
        <v>1.0</v>
      </c>
      <c r="B12" s="1">
        <v>218.0</v>
      </c>
      <c r="C12" s="1">
        <v>220.0</v>
      </c>
      <c r="D12" s="1">
        <v>187.0</v>
      </c>
      <c r="E12" s="1">
        <v>195.0</v>
      </c>
      <c r="F12" s="1">
        <v>187.0</v>
      </c>
      <c r="G12" s="1">
        <v>187.0</v>
      </c>
      <c r="H12" s="1">
        <v>118.0</v>
      </c>
      <c r="I12" s="1">
        <v>120.0</v>
      </c>
      <c r="J12" s="1">
        <v>315.0</v>
      </c>
      <c r="K12" s="1">
        <v>324.0</v>
      </c>
    </row>
    <row r="13" ht="13.5" customHeight="1">
      <c r="A13" s="1">
        <v>1.0</v>
      </c>
      <c r="B13" s="1">
        <v>208.0</v>
      </c>
      <c r="C13" s="1">
        <v>220.0</v>
      </c>
      <c r="D13" s="1">
        <v>184.0</v>
      </c>
      <c r="E13" s="1">
        <v>184.0</v>
      </c>
      <c r="F13" s="1">
        <v>187.0</v>
      </c>
      <c r="G13" s="1">
        <v>187.0</v>
      </c>
      <c r="H13" s="1">
        <v>118.0</v>
      </c>
      <c r="I13" s="1">
        <v>124.0</v>
      </c>
      <c r="J13" s="1">
        <v>332.0</v>
      </c>
      <c r="K13" s="1">
        <v>336.0</v>
      </c>
    </row>
    <row r="14" ht="13.5" customHeight="1">
      <c r="A14" s="1">
        <v>1.0</v>
      </c>
      <c r="B14" s="1">
        <v>220.0</v>
      </c>
      <c r="C14" s="1">
        <v>220.0</v>
      </c>
      <c r="D14" s="1">
        <v>187.0</v>
      </c>
      <c r="E14" s="1">
        <v>195.0</v>
      </c>
      <c r="F14" s="1">
        <v>187.0</v>
      </c>
      <c r="G14" s="1">
        <v>187.0</v>
      </c>
      <c r="H14" s="1">
        <v>118.0</v>
      </c>
      <c r="I14" s="1">
        <v>118.0</v>
      </c>
      <c r="J14" s="1">
        <v>332.0</v>
      </c>
      <c r="K14" s="1">
        <v>339.0</v>
      </c>
    </row>
    <row r="15" ht="13.5" customHeight="1">
      <c r="A15" s="1">
        <v>1.0</v>
      </c>
      <c r="B15" s="1">
        <v>222.0</v>
      </c>
      <c r="C15" s="1">
        <v>222.0</v>
      </c>
      <c r="D15" s="1">
        <v>184.0</v>
      </c>
      <c r="E15" s="1">
        <v>189.0</v>
      </c>
      <c r="F15" s="1">
        <v>182.0</v>
      </c>
      <c r="G15" s="1">
        <v>187.0</v>
      </c>
      <c r="H15" s="1">
        <v>126.0</v>
      </c>
      <c r="I15" s="1">
        <v>128.0</v>
      </c>
      <c r="J15" s="1">
        <v>315.0</v>
      </c>
      <c r="K15" s="1">
        <v>332.0</v>
      </c>
    </row>
    <row r="16" ht="13.5" customHeight="1">
      <c r="A16" s="1">
        <v>1.0</v>
      </c>
      <c r="B16" s="1">
        <v>220.0</v>
      </c>
      <c r="C16" s="1">
        <v>222.0</v>
      </c>
      <c r="D16" s="1">
        <v>184.0</v>
      </c>
      <c r="E16" s="1">
        <v>195.0</v>
      </c>
      <c r="F16" s="1">
        <v>187.0</v>
      </c>
      <c r="G16" s="1">
        <v>187.0</v>
      </c>
      <c r="H16" s="1">
        <v>120.0</v>
      </c>
      <c r="I16" s="1">
        <v>126.0</v>
      </c>
      <c r="J16" s="1">
        <v>317.0</v>
      </c>
      <c r="K16" s="1">
        <v>332.0</v>
      </c>
    </row>
    <row r="17" ht="13.5" customHeight="1">
      <c r="A17" s="1">
        <v>1.0</v>
      </c>
      <c r="B17" s="1">
        <v>222.0</v>
      </c>
      <c r="C17" s="1">
        <v>222.0</v>
      </c>
      <c r="D17" s="1">
        <v>184.0</v>
      </c>
      <c r="E17" s="1">
        <v>184.0</v>
      </c>
      <c r="F17" s="1">
        <v>187.0</v>
      </c>
      <c r="G17" s="1">
        <v>187.0</v>
      </c>
      <c r="H17" s="1">
        <v>120.0</v>
      </c>
      <c r="I17" s="1">
        <v>130.0</v>
      </c>
      <c r="J17" s="1">
        <v>324.0</v>
      </c>
      <c r="K17" s="1">
        <v>332.0</v>
      </c>
    </row>
    <row r="18" ht="13.5" customHeight="1">
      <c r="A18" s="1">
        <v>1.0</v>
      </c>
      <c r="B18" s="1">
        <v>205.0</v>
      </c>
      <c r="C18" s="1">
        <v>205.0</v>
      </c>
      <c r="D18" s="1">
        <v>187.0</v>
      </c>
      <c r="E18" s="1">
        <v>193.0</v>
      </c>
      <c r="F18" s="1">
        <v>187.0</v>
      </c>
      <c r="G18" s="1">
        <v>187.0</v>
      </c>
      <c r="H18" s="1">
        <v>124.0</v>
      </c>
      <c r="I18" s="1">
        <v>126.0</v>
      </c>
      <c r="J18" s="1">
        <v>336.0</v>
      </c>
      <c r="K18" s="1">
        <v>339.0</v>
      </c>
    </row>
    <row r="19" ht="13.5" customHeight="1">
      <c r="A19" s="1">
        <v>1.0</v>
      </c>
      <c r="B19" s="1">
        <v>222.0</v>
      </c>
      <c r="C19" s="1">
        <v>222.0</v>
      </c>
      <c r="D19" s="1">
        <v>193.0</v>
      </c>
      <c r="E19" s="1">
        <v>195.0</v>
      </c>
      <c r="F19" s="1">
        <v>187.0</v>
      </c>
      <c r="G19" s="1">
        <v>187.0</v>
      </c>
      <c r="H19" s="1">
        <v>118.0</v>
      </c>
      <c r="I19" s="1">
        <v>126.0</v>
      </c>
      <c r="J19" s="1">
        <v>339.0</v>
      </c>
      <c r="K19" s="1">
        <v>345.0</v>
      </c>
    </row>
    <row r="20" ht="13.5" customHeight="1">
      <c r="A20" s="1">
        <v>1.0</v>
      </c>
      <c r="B20" s="1">
        <v>216.0</v>
      </c>
      <c r="C20" s="1">
        <v>216.0</v>
      </c>
      <c r="D20" s="1">
        <v>187.0</v>
      </c>
      <c r="E20" s="1">
        <v>187.0</v>
      </c>
      <c r="F20" s="1">
        <v>182.0</v>
      </c>
      <c r="G20" s="1">
        <v>187.0</v>
      </c>
      <c r="H20" s="1">
        <v>118.0</v>
      </c>
      <c r="I20" s="1">
        <v>126.0</v>
      </c>
      <c r="J20" s="1">
        <v>321.0</v>
      </c>
      <c r="K20" s="1">
        <v>339.0</v>
      </c>
    </row>
    <row r="21" ht="13.5" customHeight="1">
      <c r="A21" s="1">
        <v>1.0</v>
      </c>
      <c r="B21" s="1">
        <v>222.0</v>
      </c>
      <c r="C21" s="1">
        <v>222.0</v>
      </c>
      <c r="D21" s="1">
        <v>184.0</v>
      </c>
      <c r="E21" s="1">
        <v>195.0</v>
      </c>
      <c r="F21" s="1">
        <v>182.0</v>
      </c>
      <c r="G21" s="1">
        <v>187.0</v>
      </c>
      <c r="H21" s="1">
        <v>122.0</v>
      </c>
      <c r="I21" s="1">
        <v>126.0</v>
      </c>
      <c r="J21" s="1">
        <v>339.0</v>
      </c>
      <c r="K21" s="1">
        <v>339.0</v>
      </c>
    </row>
    <row r="22" ht="13.5" customHeight="1">
      <c r="A22" s="1">
        <v>1.0</v>
      </c>
      <c r="B22" s="1">
        <v>222.0</v>
      </c>
      <c r="C22" s="1">
        <v>222.0</v>
      </c>
      <c r="D22" s="1">
        <v>187.0</v>
      </c>
      <c r="E22" s="1">
        <v>195.0</v>
      </c>
      <c r="F22" s="1">
        <v>187.0</v>
      </c>
      <c r="G22" s="1">
        <v>187.0</v>
      </c>
      <c r="H22" s="1">
        <v>118.0</v>
      </c>
      <c r="I22" s="1">
        <v>128.0</v>
      </c>
      <c r="J22" s="1">
        <v>336.0</v>
      </c>
      <c r="K22" s="1">
        <v>339.0</v>
      </c>
    </row>
    <row r="23" ht="13.5" customHeight="1">
      <c r="A23" s="1">
        <v>1.0</v>
      </c>
      <c r="B23" s="1">
        <v>222.0</v>
      </c>
      <c r="C23" s="1">
        <v>222.0</v>
      </c>
      <c r="D23" s="1">
        <v>184.0</v>
      </c>
      <c r="E23" s="1">
        <v>187.0</v>
      </c>
      <c r="F23" s="1">
        <v>182.0</v>
      </c>
      <c r="G23" s="1">
        <v>187.0</v>
      </c>
      <c r="H23" s="1">
        <v>112.0</v>
      </c>
      <c r="I23" s="1">
        <v>124.0</v>
      </c>
      <c r="J23" s="1">
        <v>324.0</v>
      </c>
      <c r="K23" s="1">
        <v>330.0</v>
      </c>
    </row>
    <row r="24" ht="13.5" customHeight="1">
      <c r="A24" s="1">
        <v>1.0</v>
      </c>
      <c r="B24" s="1">
        <v>222.0</v>
      </c>
      <c r="C24" s="1">
        <v>222.0</v>
      </c>
      <c r="D24" s="1">
        <v>184.0</v>
      </c>
      <c r="E24" s="1">
        <v>193.0</v>
      </c>
      <c r="F24" s="1">
        <v>187.0</v>
      </c>
      <c r="G24" s="1">
        <v>187.0</v>
      </c>
      <c r="H24" s="1">
        <v>124.0</v>
      </c>
      <c r="I24" s="1">
        <v>126.0</v>
      </c>
      <c r="J24" s="1">
        <v>317.0</v>
      </c>
      <c r="K24" s="1">
        <v>330.0</v>
      </c>
    </row>
    <row r="25" ht="13.5" customHeight="1">
      <c r="A25" s="1">
        <v>1.0</v>
      </c>
      <c r="B25" s="1">
        <v>218.0</v>
      </c>
      <c r="C25" s="1">
        <v>218.0</v>
      </c>
      <c r="D25" s="1">
        <v>187.0</v>
      </c>
      <c r="E25" s="1">
        <v>196.0</v>
      </c>
      <c r="F25" s="1">
        <v>187.0</v>
      </c>
      <c r="G25" s="1">
        <v>187.0</v>
      </c>
      <c r="H25" s="1">
        <v>118.0</v>
      </c>
      <c r="I25" s="1">
        <v>124.0</v>
      </c>
      <c r="J25" s="1">
        <v>315.0</v>
      </c>
      <c r="K25" s="1">
        <v>317.0</v>
      </c>
    </row>
    <row r="26" ht="13.5" customHeight="1">
      <c r="A26" s="1">
        <v>1.0</v>
      </c>
      <c r="B26" s="1">
        <v>218.0</v>
      </c>
      <c r="C26" s="1">
        <v>222.0</v>
      </c>
      <c r="D26" s="1">
        <v>184.0</v>
      </c>
      <c r="E26" s="1">
        <v>191.0</v>
      </c>
      <c r="F26" s="1">
        <v>187.0</v>
      </c>
      <c r="G26" s="1">
        <v>187.0</v>
      </c>
      <c r="H26" s="1">
        <v>126.0</v>
      </c>
      <c r="I26" s="1">
        <v>126.0</v>
      </c>
      <c r="J26" s="1">
        <v>330.0</v>
      </c>
      <c r="K26" s="1">
        <v>339.0</v>
      </c>
    </row>
    <row r="27" ht="13.5" customHeight="1">
      <c r="A27" s="1">
        <v>1.0</v>
      </c>
      <c r="B27" s="1">
        <v>222.0</v>
      </c>
      <c r="C27" s="1">
        <v>222.0</v>
      </c>
      <c r="D27" s="1">
        <v>184.0</v>
      </c>
      <c r="E27" s="1">
        <v>195.0</v>
      </c>
      <c r="F27" s="1">
        <v>187.0</v>
      </c>
      <c r="G27" s="1">
        <v>187.0</v>
      </c>
      <c r="H27" s="1">
        <v>118.0</v>
      </c>
      <c r="I27" s="1">
        <v>118.0</v>
      </c>
      <c r="J27" s="1">
        <v>315.0</v>
      </c>
      <c r="K27" s="1">
        <v>330.0</v>
      </c>
    </row>
    <row r="28" ht="13.5" customHeight="1">
      <c r="A28" s="1">
        <v>1.0</v>
      </c>
      <c r="B28" s="1">
        <v>220.0</v>
      </c>
      <c r="C28" s="1">
        <v>222.0</v>
      </c>
      <c r="D28" s="1">
        <v>184.0</v>
      </c>
      <c r="E28" s="1">
        <v>191.0</v>
      </c>
      <c r="F28" s="1">
        <v>187.0</v>
      </c>
      <c r="G28" s="1">
        <v>187.0</v>
      </c>
      <c r="H28" s="1">
        <v>116.0</v>
      </c>
      <c r="I28" s="1">
        <v>128.0</v>
      </c>
      <c r="J28" s="1">
        <v>324.0</v>
      </c>
      <c r="K28" s="1">
        <v>345.0</v>
      </c>
    </row>
    <row r="29" ht="13.5" customHeight="1">
      <c r="A29" s="1">
        <v>1.0</v>
      </c>
      <c r="B29" s="1">
        <v>222.0</v>
      </c>
      <c r="C29" s="1">
        <v>222.0</v>
      </c>
      <c r="D29" s="1">
        <v>184.0</v>
      </c>
      <c r="E29" s="1">
        <v>184.0</v>
      </c>
      <c r="F29" s="1">
        <v>187.0</v>
      </c>
      <c r="G29" s="1">
        <v>187.0</v>
      </c>
      <c r="H29" s="1">
        <v>116.0</v>
      </c>
      <c r="I29" s="1">
        <v>118.0</v>
      </c>
      <c r="J29" s="1">
        <v>330.0</v>
      </c>
      <c r="K29" s="1">
        <v>332.0</v>
      </c>
    </row>
    <row r="30" ht="13.5" customHeight="1">
      <c r="A30" s="1">
        <v>1.0</v>
      </c>
      <c r="B30" s="1">
        <v>222.0</v>
      </c>
      <c r="C30" s="1">
        <v>222.0</v>
      </c>
      <c r="D30" s="1">
        <v>187.0</v>
      </c>
      <c r="E30" s="1">
        <v>193.0</v>
      </c>
      <c r="F30" s="1">
        <v>187.0</v>
      </c>
      <c r="G30" s="1">
        <v>187.0</v>
      </c>
      <c r="H30" s="1">
        <v>118.0</v>
      </c>
      <c r="I30" s="1">
        <v>126.0</v>
      </c>
      <c r="J30" s="1">
        <v>332.0</v>
      </c>
      <c r="K30" s="1">
        <v>339.0</v>
      </c>
    </row>
    <row r="31" ht="13.5" customHeight="1">
      <c r="A31" s="1">
        <v>1.0</v>
      </c>
      <c r="B31" s="1">
        <v>220.0</v>
      </c>
      <c r="C31" s="1">
        <v>222.0</v>
      </c>
      <c r="D31" s="1">
        <v>184.0</v>
      </c>
      <c r="E31" s="1">
        <v>187.0</v>
      </c>
      <c r="F31" s="1">
        <v>187.0</v>
      </c>
      <c r="G31" s="1">
        <v>187.0</v>
      </c>
      <c r="H31" s="1">
        <v>122.0</v>
      </c>
      <c r="I31" s="1">
        <v>126.0</v>
      </c>
      <c r="J31" s="1">
        <v>315.0</v>
      </c>
      <c r="K31" s="1">
        <v>339.0</v>
      </c>
    </row>
    <row r="32" ht="13.5" customHeight="1">
      <c r="A32" s="1">
        <v>1.0</v>
      </c>
      <c r="B32" s="1">
        <v>220.0</v>
      </c>
      <c r="C32" s="1">
        <v>222.0</v>
      </c>
      <c r="D32" s="1">
        <v>184.0</v>
      </c>
      <c r="E32" s="1">
        <v>191.0</v>
      </c>
      <c r="F32" s="1">
        <v>187.0</v>
      </c>
      <c r="G32" s="1">
        <v>187.0</v>
      </c>
      <c r="H32" s="1">
        <v>116.0</v>
      </c>
      <c r="I32" s="1">
        <v>118.0</v>
      </c>
      <c r="J32" s="1">
        <v>315.0</v>
      </c>
      <c r="K32" s="1">
        <v>332.0</v>
      </c>
    </row>
    <row r="33" ht="13.5" customHeight="1">
      <c r="A33" s="1">
        <v>1.0</v>
      </c>
      <c r="B33" s="1">
        <v>222.0</v>
      </c>
      <c r="C33" s="1">
        <v>222.0</v>
      </c>
      <c r="D33" s="1">
        <v>184.0</v>
      </c>
      <c r="E33" s="1">
        <v>184.0</v>
      </c>
      <c r="F33" s="1">
        <v>187.0</v>
      </c>
      <c r="G33" s="1">
        <v>187.0</v>
      </c>
      <c r="H33" s="1">
        <v>122.0</v>
      </c>
      <c r="I33" s="1">
        <v>128.0</v>
      </c>
      <c r="J33" s="1">
        <v>321.0</v>
      </c>
      <c r="K33" s="1">
        <v>339.0</v>
      </c>
    </row>
    <row r="34" ht="13.5" customHeight="1">
      <c r="A34" s="1">
        <v>1.0</v>
      </c>
      <c r="B34" s="1">
        <v>220.0</v>
      </c>
      <c r="C34" s="1">
        <v>224.0</v>
      </c>
      <c r="D34" s="1">
        <v>184.0</v>
      </c>
      <c r="E34" s="1">
        <v>184.0</v>
      </c>
      <c r="F34" s="1">
        <v>187.0</v>
      </c>
      <c r="G34" s="1">
        <v>187.0</v>
      </c>
      <c r="H34" s="1">
        <v>118.0</v>
      </c>
      <c r="I34" s="1">
        <v>126.0</v>
      </c>
      <c r="J34" s="1">
        <v>332.0</v>
      </c>
      <c r="K34" s="1">
        <v>339.0</v>
      </c>
    </row>
    <row r="35" ht="13.5" customHeight="1">
      <c r="A35" s="1">
        <v>1.0</v>
      </c>
      <c r="B35" s="1">
        <v>220.0</v>
      </c>
      <c r="C35" s="1">
        <v>220.0</v>
      </c>
      <c r="D35" s="1">
        <v>184.0</v>
      </c>
      <c r="E35" s="1">
        <v>196.0</v>
      </c>
      <c r="F35" s="1">
        <v>187.0</v>
      </c>
      <c r="G35" s="1">
        <v>187.0</v>
      </c>
      <c r="H35" s="1">
        <v>126.0</v>
      </c>
      <c r="I35" s="1">
        <v>128.0</v>
      </c>
      <c r="J35" s="1">
        <v>332.0</v>
      </c>
      <c r="K35" s="1">
        <v>336.0</v>
      </c>
    </row>
    <row r="36" ht="13.5" customHeight="1">
      <c r="A36" s="1">
        <v>1.0</v>
      </c>
      <c r="B36" s="1">
        <v>222.0</v>
      </c>
      <c r="C36" s="1">
        <v>222.0</v>
      </c>
      <c r="D36" s="1">
        <v>193.0</v>
      </c>
      <c r="E36" s="1">
        <v>193.0</v>
      </c>
      <c r="F36" s="1">
        <v>187.0</v>
      </c>
      <c r="G36" s="1">
        <v>187.0</v>
      </c>
      <c r="H36" s="1">
        <v>126.0</v>
      </c>
      <c r="I36" s="1">
        <v>128.0</v>
      </c>
      <c r="J36" s="1">
        <v>315.0</v>
      </c>
      <c r="K36" s="1">
        <v>336.0</v>
      </c>
    </row>
    <row r="37" ht="13.5" customHeight="1">
      <c r="A37" s="1">
        <v>1.0</v>
      </c>
      <c r="B37" s="1">
        <v>222.0</v>
      </c>
      <c r="C37" s="1">
        <v>222.0</v>
      </c>
      <c r="D37" s="1">
        <v>187.0</v>
      </c>
      <c r="E37" s="1">
        <v>193.0</v>
      </c>
      <c r="F37" s="1">
        <v>187.0</v>
      </c>
      <c r="G37" s="1">
        <v>187.0</v>
      </c>
      <c r="H37" s="1">
        <v>124.0</v>
      </c>
      <c r="I37" s="1">
        <v>126.0</v>
      </c>
      <c r="J37" s="1">
        <v>336.0</v>
      </c>
      <c r="K37" s="1">
        <v>345.0</v>
      </c>
    </row>
    <row r="38" ht="13.5" customHeight="1">
      <c r="A38" s="1">
        <v>1.0</v>
      </c>
      <c r="B38" s="1">
        <v>222.0</v>
      </c>
      <c r="C38" s="1">
        <v>222.0</v>
      </c>
      <c r="D38" s="1">
        <v>193.0</v>
      </c>
      <c r="E38" s="1">
        <v>195.0</v>
      </c>
      <c r="F38" s="1">
        <v>176.0</v>
      </c>
      <c r="G38" s="1">
        <v>187.0</v>
      </c>
      <c r="H38" s="1">
        <v>124.0</v>
      </c>
      <c r="I38" s="1">
        <v>128.0</v>
      </c>
      <c r="J38" s="1">
        <v>330.0</v>
      </c>
      <c r="K38" s="1">
        <v>339.0</v>
      </c>
    </row>
    <row r="39" ht="13.5" customHeight="1">
      <c r="A39" s="1">
        <v>1.0</v>
      </c>
      <c r="B39" s="1">
        <v>222.0</v>
      </c>
      <c r="C39" s="1">
        <v>222.0</v>
      </c>
      <c r="D39" s="1">
        <v>184.0</v>
      </c>
      <c r="E39" s="1">
        <v>193.0</v>
      </c>
      <c r="F39" s="1">
        <v>187.0</v>
      </c>
      <c r="G39" s="1">
        <v>187.0</v>
      </c>
      <c r="H39" s="1">
        <v>126.0</v>
      </c>
      <c r="I39" s="1">
        <v>130.0</v>
      </c>
      <c r="J39" s="1">
        <v>321.0</v>
      </c>
      <c r="K39" s="1">
        <v>336.0</v>
      </c>
    </row>
    <row r="40" ht="13.5" customHeight="1">
      <c r="A40" s="1">
        <v>1.0</v>
      </c>
      <c r="B40" s="1">
        <v>220.0</v>
      </c>
      <c r="C40" s="1">
        <v>222.0</v>
      </c>
      <c r="D40" s="1">
        <v>193.0</v>
      </c>
      <c r="E40" s="1">
        <v>196.0</v>
      </c>
      <c r="F40" s="1">
        <v>187.0</v>
      </c>
      <c r="G40" s="1">
        <v>187.0</v>
      </c>
      <c r="H40" s="1">
        <v>118.0</v>
      </c>
      <c r="I40" s="1">
        <v>126.0</v>
      </c>
      <c r="J40" s="1">
        <v>330.0</v>
      </c>
      <c r="K40" s="1">
        <v>332.0</v>
      </c>
    </row>
    <row r="41" ht="13.5" customHeight="1">
      <c r="A41" s="1">
        <v>1.0</v>
      </c>
      <c r="B41" s="1">
        <v>222.0</v>
      </c>
      <c r="C41" s="1">
        <v>222.0</v>
      </c>
      <c r="D41" s="1">
        <v>184.0</v>
      </c>
      <c r="E41" s="1">
        <v>193.0</v>
      </c>
      <c r="F41" s="1">
        <v>176.0</v>
      </c>
      <c r="G41" s="1">
        <v>187.0</v>
      </c>
      <c r="H41" s="1">
        <v>118.0</v>
      </c>
      <c r="I41" s="1">
        <v>128.0</v>
      </c>
      <c r="J41" s="1">
        <v>317.0</v>
      </c>
      <c r="K41" s="1">
        <v>332.0</v>
      </c>
    </row>
    <row r="42" ht="13.5" customHeight="1">
      <c r="A42" s="1">
        <v>1.0</v>
      </c>
      <c r="B42" s="1">
        <v>214.0</v>
      </c>
      <c r="C42" s="1">
        <v>214.0</v>
      </c>
      <c r="D42" s="1">
        <v>191.0</v>
      </c>
      <c r="E42" s="1">
        <v>193.0</v>
      </c>
      <c r="F42" s="1">
        <v>187.0</v>
      </c>
      <c r="G42" s="1">
        <v>187.0</v>
      </c>
      <c r="H42" s="1">
        <v>118.0</v>
      </c>
      <c r="I42" s="1">
        <v>118.0</v>
      </c>
      <c r="J42" s="1">
        <v>332.0</v>
      </c>
      <c r="K42" s="1">
        <v>336.0</v>
      </c>
    </row>
    <row r="43" ht="13.5" customHeight="1">
      <c r="A43" s="1">
        <v>1.0</v>
      </c>
      <c r="B43" s="1">
        <v>220.0</v>
      </c>
      <c r="C43" s="1">
        <v>226.0</v>
      </c>
      <c r="D43" s="1">
        <v>187.0</v>
      </c>
      <c r="E43" s="1">
        <v>196.0</v>
      </c>
      <c r="F43" s="1">
        <v>182.0</v>
      </c>
      <c r="G43" s="1">
        <v>187.0</v>
      </c>
      <c r="H43" s="1">
        <v>122.0</v>
      </c>
      <c r="I43" s="1">
        <v>126.0</v>
      </c>
      <c r="J43" s="1">
        <v>321.0</v>
      </c>
      <c r="K43" s="1">
        <v>330.0</v>
      </c>
    </row>
    <row r="44" ht="13.5" customHeight="1">
      <c r="A44" s="1">
        <v>1.0</v>
      </c>
      <c r="B44" s="1">
        <v>222.0</v>
      </c>
      <c r="C44" s="1">
        <v>222.0</v>
      </c>
      <c r="D44" s="1">
        <v>184.0</v>
      </c>
      <c r="E44" s="1">
        <v>195.0</v>
      </c>
      <c r="F44" s="1">
        <v>187.0</v>
      </c>
      <c r="G44" s="1">
        <v>187.0</v>
      </c>
      <c r="H44" s="1">
        <v>116.0</v>
      </c>
      <c r="I44" s="1">
        <v>122.0</v>
      </c>
      <c r="J44" s="1">
        <v>321.0</v>
      </c>
      <c r="K44" s="1">
        <v>336.0</v>
      </c>
    </row>
    <row r="45" ht="13.5" customHeight="1">
      <c r="A45" s="1">
        <v>1.0</v>
      </c>
      <c r="B45" s="1">
        <v>220.0</v>
      </c>
      <c r="C45" s="1">
        <v>220.0</v>
      </c>
      <c r="D45" s="1">
        <v>184.0</v>
      </c>
      <c r="E45" s="1">
        <v>191.0</v>
      </c>
      <c r="F45" s="1">
        <v>187.0</v>
      </c>
      <c r="G45" s="1">
        <v>187.0</v>
      </c>
      <c r="H45" s="1">
        <v>116.0</v>
      </c>
      <c r="I45" s="1">
        <v>118.0</v>
      </c>
      <c r="J45" s="1">
        <v>321.0</v>
      </c>
      <c r="K45" s="1">
        <v>321.0</v>
      </c>
    </row>
    <row r="46" ht="13.5" customHeight="1">
      <c r="A46" s="1">
        <v>1.0</v>
      </c>
      <c r="B46" s="1">
        <v>218.0</v>
      </c>
      <c r="C46" s="1">
        <v>218.0</v>
      </c>
      <c r="D46" s="1">
        <v>184.0</v>
      </c>
      <c r="E46" s="1">
        <v>184.0</v>
      </c>
      <c r="F46" s="1">
        <v>187.0</v>
      </c>
      <c r="G46" s="1">
        <v>187.0</v>
      </c>
      <c r="H46" s="1">
        <v>122.0</v>
      </c>
      <c r="I46" s="1">
        <v>128.0</v>
      </c>
      <c r="J46" s="1">
        <v>339.0</v>
      </c>
      <c r="K46" s="1">
        <v>345.0</v>
      </c>
    </row>
    <row r="47" ht="13.5" customHeight="1">
      <c r="A47" s="1">
        <v>1.0</v>
      </c>
      <c r="B47" s="1">
        <v>222.0</v>
      </c>
      <c r="C47" s="1">
        <v>222.0</v>
      </c>
      <c r="D47" s="1">
        <v>187.0</v>
      </c>
      <c r="E47" s="1">
        <v>187.0</v>
      </c>
      <c r="F47" s="1">
        <v>187.0</v>
      </c>
      <c r="G47" s="1">
        <v>187.0</v>
      </c>
      <c r="H47" s="1">
        <v>112.0</v>
      </c>
      <c r="I47" s="1">
        <v>126.0</v>
      </c>
      <c r="J47" s="1">
        <v>330.0</v>
      </c>
      <c r="K47" s="1">
        <v>332.0</v>
      </c>
    </row>
    <row r="48" ht="13.5" customHeight="1">
      <c r="A48" s="1">
        <v>1.0</v>
      </c>
      <c r="B48" s="1">
        <v>222.0</v>
      </c>
      <c r="C48" s="1">
        <v>222.0</v>
      </c>
      <c r="D48" s="1">
        <v>187.0</v>
      </c>
      <c r="E48" s="1">
        <v>187.0</v>
      </c>
      <c r="F48" s="1">
        <v>187.0</v>
      </c>
      <c r="G48" s="1">
        <v>187.0</v>
      </c>
      <c r="H48" s="1">
        <v>118.0</v>
      </c>
      <c r="I48" s="1">
        <v>124.0</v>
      </c>
      <c r="J48" s="1">
        <v>336.0</v>
      </c>
      <c r="K48" s="1">
        <v>339.0</v>
      </c>
    </row>
    <row r="49" ht="13.5" customHeight="1">
      <c r="A49" s="1">
        <v>1.0</v>
      </c>
      <c r="B49" s="1">
        <v>222.0</v>
      </c>
      <c r="C49" s="1">
        <v>222.0</v>
      </c>
      <c r="D49" s="1">
        <v>187.0</v>
      </c>
      <c r="E49" s="1">
        <v>187.0</v>
      </c>
      <c r="F49" s="1">
        <v>187.0</v>
      </c>
      <c r="G49" s="1">
        <v>187.0</v>
      </c>
      <c r="H49" s="1">
        <v>116.0</v>
      </c>
      <c r="I49" s="1">
        <v>118.0</v>
      </c>
      <c r="J49" s="1">
        <v>330.0</v>
      </c>
      <c r="K49" s="1">
        <v>339.0</v>
      </c>
    </row>
    <row r="50" ht="13.5" customHeight="1">
      <c r="A50" s="1">
        <v>1.0</v>
      </c>
      <c r="B50" s="1">
        <v>220.0</v>
      </c>
      <c r="C50" s="1">
        <v>222.0</v>
      </c>
      <c r="D50" s="1">
        <v>184.0</v>
      </c>
      <c r="E50" s="1">
        <v>184.0</v>
      </c>
      <c r="F50" s="1">
        <v>187.0</v>
      </c>
      <c r="G50" s="1">
        <v>187.0</v>
      </c>
      <c r="H50" s="1">
        <v>118.0</v>
      </c>
      <c r="I50" s="1">
        <v>126.0</v>
      </c>
      <c r="J50" s="1">
        <v>315.0</v>
      </c>
      <c r="K50" s="1">
        <v>330.0</v>
      </c>
    </row>
    <row r="51" ht="13.5" customHeight="1">
      <c r="A51" s="1">
        <v>1.0</v>
      </c>
      <c r="B51" s="1">
        <v>220.0</v>
      </c>
      <c r="C51" s="1">
        <v>222.0</v>
      </c>
      <c r="D51" s="1">
        <v>184.0</v>
      </c>
      <c r="E51" s="1">
        <v>187.0</v>
      </c>
      <c r="F51" s="1">
        <v>187.0</v>
      </c>
      <c r="G51" s="1">
        <v>187.0</v>
      </c>
      <c r="H51" s="1">
        <v>126.0</v>
      </c>
      <c r="I51" s="1">
        <v>128.0</v>
      </c>
      <c r="J51" s="1">
        <v>336.0</v>
      </c>
      <c r="K51" s="1">
        <v>339.0</v>
      </c>
    </row>
    <row r="52" ht="13.5" customHeight="1">
      <c r="A52" s="1">
        <v>1.0</v>
      </c>
      <c r="B52" s="1">
        <v>222.0</v>
      </c>
      <c r="C52" s="1">
        <v>222.0</v>
      </c>
      <c r="D52" s="1">
        <v>193.0</v>
      </c>
      <c r="E52" s="1">
        <v>193.0</v>
      </c>
      <c r="F52" s="1">
        <v>187.0</v>
      </c>
      <c r="G52" s="1">
        <v>187.0</v>
      </c>
      <c r="H52" s="1">
        <v>118.0</v>
      </c>
      <c r="I52" s="1">
        <v>124.0</v>
      </c>
      <c r="J52" s="1">
        <v>321.0</v>
      </c>
      <c r="K52" s="1">
        <v>330.0</v>
      </c>
    </row>
    <row r="53" ht="13.5" customHeight="1">
      <c r="A53" s="1">
        <v>1.0</v>
      </c>
      <c r="B53" s="1">
        <v>218.0</v>
      </c>
      <c r="C53" s="1">
        <v>222.0</v>
      </c>
      <c r="D53" s="1">
        <v>184.0</v>
      </c>
      <c r="E53" s="1">
        <v>187.0</v>
      </c>
      <c r="F53" s="1">
        <v>182.0</v>
      </c>
      <c r="G53" s="1">
        <v>187.0</v>
      </c>
      <c r="H53" s="1">
        <v>118.0</v>
      </c>
      <c r="I53" s="1">
        <v>126.0</v>
      </c>
      <c r="J53" s="1">
        <v>321.0</v>
      </c>
      <c r="K53" s="1">
        <v>339.0</v>
      </c>
    </row>
    <row r="54" ht="13.5" customHeight="1">
      <c r="A54" s="1">
        <v>1.0</v>
      </c>
      <c r="B54" s="1">
        <v>224.0</v>
      </c>
      <c r="C54" s="1">
        <v>224.0</v>
      </c>
      <c r="D54" s="1">
        <v>187.0</v>
      </c>
      <c r="E54" s="1">
        <v>195.0</v>
      </c>
      <c r="F54" s="1">
        <v>182.0</v>
      </c>
      <c r="G54" s="1">
        <v>187.0</v>
      </c>
      <c r="H54" s="1">
        <v>118.0</v>
      </c>
      <c r="I54" s="1">
        <v>126.0</v>
      </c>
      <c r="J54" s="1">
        <v>321.0</v>
      </c>
      <c r="K54" s="1">
        <v>339.0</v>
      </c>
    </row>
    <row r="55" ht="13.5" customHeight="1">
      <c r="A55" s="1">
        <v>1.0</v>
      </c>
      <c r="B55" s="1">
        <v>214.0</v>
      </c>
      <c r="C55" s="1">
        <v>222.0</v>
      </c>
      <c r="D55" s="1">
        <v>184.0</v>
      </c>
      <c r="E55" s="1">
        <v>187.0</v>
      </c>
      <c r="F55" s="1">
        <v>187.0</v>
      </c>
      <c r="G55" s="1">
        <v>187.0</v>
      </c>
      <c r="H55" s="1">
        <v>112.0</v>
      </c>
      <c r="I55" s="1">
        <v>124.0</v>
      </c>
      <c r="J55" s="1">
        <v>332.0</v>
      </c>
      <c r="K55" s="1">
        <v>336.0</v>
      </c>
    </row>
    <row r="56" ht="13.5" customHeight="1">
      <c r="A56" s="1">
        <v>1.0</v>
      </c>
      <c r="B56" s="1">
        <v>220.0</v>
      </c>
      <c r="C56" s="1">
        <v>222.0</v>
      </c>
      <c r="D56" s="1">
        <v>191.0</v>
      </c>
      <c r="E56" s="1">
        <v>195.0</v>
      </c>
      <c r="F56" s="1">
        <v>187.0</v>
      </c>
      <c r="G56" s="1">
        <v>187.0</v>
      </c>
      <c r="H56" s="1">
        <v>118.0</v>
      </c>
      <c r="I56" s="1">
        <v>126.0</v>
      </c>
      <c r="J56" s="1">
        <v>319.0</v>
      </c>
      <c r="K56" s="1">
        <v>339.0</v>
      </c>
    </row>
    <row r="57" ht="13.5" customHeight="1">
      <c r="A57" s="1">
        <v>1.0</v>
      </c>
      <c r="B57" s="1">
        <v>208.0</v>
      </c>
      <c r="C57" s="1">
        <v>220.0</v>
      </c>
      <c r="D57" s="1">
        <v>184.0</v>
      </c>
      <c r="E57" s="1">
        <v>193.0</v>
      </c>
      <c r="F57" s="1">
        <v>187.0</v>
      </c>
      <c r="G57" s="1">
        <v>187.0</v>
      </c>
      <c r="H57" s="1">
        <v>118.0</v>
      </c>
      <c r="I57" s="1">
        <v>126.0</v>
      </c>
      <c r="J57" s="1">
        <v>321.0</v>
      </c>
      <c r="K57" s="1">
        <v>339.0</v>
      </c>
    </row>
    <row r="58" ht="13.5" customHeight="1">
      <c r="A58" s="1">
        <v>1.0</v>
      </c>
      <c r="B58" s="1">
        <v>222.0</v>
      </c>
      <c r="C58" s="1">
        <v>222.0</v>
      </c>
      <c r="D58" s="1">
        <v>184.0</v>
      </c>
      <c r="E58" s="1">
        <v>187.0</v>
      </c>
      <c r="F58" s="1">
        <v>187.0</v>
      </c>
      <c r="G58" s="1">
        <v>187.0</v>
      </c>
      <c r="H58" s="1">
        <v>118.0</v>
      </c>
      <c r="I58" s="1">
        <v>126.0</v>
      </c>
      <c r="J58" s="1">
        <v>330.0</v>
      </c>
      <c r="K58" s="1">
        <v>332.0</v>
      </c>
    </row>
    <row r="59" ht="13.5" customHeight="1">
      <c r="A59" s="1">
        <v>1.0</v>
      </c>
      <c r="B59" s="1">
        <v>222.0</v>
      </c>
      <c r="C59" s="1">
        <v>222.0</v>
      </c>
      <c r="D59" s="1">
        <v>191.0</v>
      </c>
      <c r="E59" s="1">
        <v>193.0</v>
      </c>
      <c r="F59" s="1">
        <v>187.0</v>
      </c>
      <c r="G59" s="1">
        <v>187.0</v>
      </c>
      <c r="H59" s="1">
        <v>118.0</v>
      </c>
      <c r="I59" s="1">
        <v>128.0</v>
      </c>
      <c r="J59" s="1">
        <v>319.0</v>
      </c>
      <c r="K59" s="1">
        <v>332.0</v>
      </c>
    </row>
    <row r="60" ht="13.5" customHeight="1">
      <c r="A60" s="1">
        <v>1.0</v>
      </c>
      <c r="B60" s="1">
        <v>220.0</v>
      </c>
      <c r="C60" s="1">
        <v>226.0</v>
      </c>
      <c r="D60" s="1">
        <v>187.0</v>
      </c>
      <c r="E60" s="1">
        <v>196.0</v>
      </c>
      <c r="F60" s="1">
        <v>182.0</v>
      </c>
      <c r="G60" s="1">
        <v>187.0</v>
      </c>
      <c r="H60" s="1">
        <v>120.0</v>
      </c>
      <c r="I60" s="1">
        <v>128.0</v>
      </c>
      <c r="J60" s="1">
        <v>321.0</v>
      </c>
      <c r="K60" s="1">
        <v>321.0</v>
      </c>
    </row>
    <row r="61" ht="13.5" customHeight="1">
      <c r="A61" s="1">
        <v>2.0</v>
      </c>
      <c r="B61" s="1">
        <v>222.0</v>
      </c>
      <c r="C61" s="1">
        <v>222.0</v>
      </c>
      <c r="D61" s="1">
        <v>187.0</v>
      </c>
      <c r="E61" s="1">
        <v>193.0</v>
      </c>
      <c r="F61" s="1">
        <v>187.0</v>
      </c>
      <c r="G61" s="1">
        <v>187.0</v>
      </c>
      <c r="H61" s="1">
        <v>126.0</v>
      </c>
      <c r="I61" s="1">
        <v>126.0</v>
      </c>
      <c r="J61" s="1">
        <v>317.0</v>
      </c>
      <c r="K61" s="1">
        <v>330.0</v>
      </c>
    </row>
    <row r="62" ht="13.5" customHeight="1">
      <c r="A62" s="1">
        <v>2.0</v>
      </c>
      <c r="B62" s="1">
        <v>222.0</v>
      </c>
      <c r="C62" s="1">
        <v>222.0</v>
      </c>
      <c r="D62" s="1">
        <v>184.0</v>
      </c>
      <c r="E62" s="1">
        <v>187.0</v>
      </c>
      <c r="F62" s="1">
        <v>187.0</v>
      </c>
      <c r="G62" s="1">
        <v>187.0</v>
      </c>
      <c r="H62" s="1">
        <v>118.0</v>
      </c>
      <c r="I62" s="1">
        <v>126.0</v>
      </c>
      <c r="J62" s="1">
        <v>321.0</v>
      </c>
      <c r="K62" s="1">
        <v>336.0</v>
      </c>
    </row>
    <row r="63" ht="13.5" customHeight="1">
      <c r="A63" s="1">
        <v>2.0</v>
      </c>
      <c r="B63" s="1">
        <v>220.0</v>
      </c>
      <c r="C63" s="1">
        <v>222.0</v>
      </c>
      <c r="D63" s="1">
        <v>191.0</v>
      </c>
      <c r="E63" s="1">
        <v>193.0</v>
      </c>
      <c r="F63" s="1">
        <v>187.0</v>
      </c>
      <c r="G63" s="1">
        <v>187.0</v>
      </c>
      <c r="H63" s="1">
        <v>118.0</v>
      </c>
      <c r="I63" s="1">
        <v>126.0</v>
      </c>
      <c r="J63" s="1">
        <v>315.0</v>
      </c>
      <c r="K63" s="1">
        <v>336.0</v>
      </c>
    </row>
    <row r="64" ht="13.5" customHeight="1">
      <c r="A64" s="1">
        <v>2.0</v>
      </c>
      <c r="B64" s="1">
        <v>220.0</v>
      </c>
      <c r="C64" s="1">
        <v>222.0</v>
      </c>
      <c r="D64" s="1">
        <v>184.0</v>
      </c>
      <c r="E64" s="1">
        <v>187.0</v>
      </c>
      <c r="F64" s="1">
        <v>176.0</v>
      </c>
      <c r="G64" s="1">
        <v>187.0</v>
      </c>
      <c r="H64" s="1">
        <v>118.0</v>
      </c>
      <c r="I64" s="1">
        <v>126.0</v>
      </c>
      <c r="J64" s="1">
        <v>330.0</v>
      </c>
      <c r="K64" s="1">
        <v>332.0</v>
      </c>
    </row>
    <row r="65" ht="13.5" customHeight="1">
      <c r="A65" s="1">
        <v>2.0</v>
      </c>
      <c r="B65" s="1">
        <v>222.0</v>
      </c>
      <c r="C65" s="1">
        <v>222.0</v>
      </c>
      <c r="D65" s="1">
        <v>187.0</v>
      </c>
      <c r="E65" s="1">
        <v>193.0</v>
      </c>
      <c r="F65" s="1">
        <v>187.0</v>
      </c>
      <c r="G65" s="1">
        <v>187.0</v>
      </c>
      <c r="H65" s="1">
        <v>126.0</v>
      </c>
      <c r="I65" s="1">
        <v>126.0</v>
      </c>
      <c r="J65" s="1">
        <v>330.0</v>
      </c>
      <c r="K65" s="1">
        <v>336.0</v>
      </c>
    </row>
    <row r="66" ht="13.5" customHeight="1">
      <c r="A66" s="1">
        <v>2.0</v>
      </c>
      <c r="B66" s="1">
        <v>220.0</v>
      </c>
      <c r="C66" s="1">
        <v>220.0</v>
      </c>
      <c r="D66" s="1">
        <v>187.0</v>
      </c>
      <c r="E66" s="1">
        <v>187.0</v>
      </c>
      <c r="F66" s="1">
        <v>187.0</v>
      </c>
      <c r="G66" s="1">
        <v>187.0</v>
      </c>
      <c r="H66" s="1">
        <v>118.0</v>
      </c>
      <c r="I66" s="1">
        <v>120.0</v>
      </c>
      <c r="J66" s="1">
        <v>336.0</v>
      </c>
      <c r="K66" s="1">
        <v>339.0</v>
      </c>
    </row>
    <row r="67" ht="13.5" customHeight="1">
      <c r="A67" s="1">
        <v>2.0</v>
      </c>
      <c r="B67" s="1">
        <v>222.0</v>
      </c>
      <c r="C67" s="1">
        <v>222.0</v>
      </c>
      <c r="D67" s="1">
        <v>187.0</v>
      </c>
      <c r="E67" s="1">
        <v>193.0</v>
      </c>
      <c r="F67" s="1">
        <v>187.0</v>
      </c>
      <c r="G67" s="1">
        <v>187.0</v>
      </c>
      <c r="H67" s="1">
        <v>112.0</v>
      </c>
      <c r="I67" s="1">
        <v>126.0</v>
      </c>
      <c r="J67" s="1">
        <v>332.0</v>
      </c>
      <c r="K67" s="1">
        <v>339.0</v>
      </c>
    </row>
    <row r="68" ht="13.5" customHeight="1">
      <c r="A68" s="1">
        <v>2.0</v>
      </c>
      <c r="B68" s="1">
        <v>208.0</v>
      </c>
      <c r="C68" s="1">
        <v>218.0</v>
      </c>
      <c r="D68" s="1">
        <v>184.0</v>
      </c>
      <c r="E68" s="1">
        <v>193.0</v>
      </c>
      <c r="F68" s="1">
        <v>187.0</v>
      </c>
      <c r="G68" s="1">
        <v>187.0</v>
      </c>
      <c r="H68" s="1">
        <v>120.0</v>
      </c>
      <c r="I68" s="1">
        <v>126.0</v>
      </c>
      <c r="J68" s="1">
        <v>324.0</v>
      </c>
      <c r="K68" s="1">
        <v>324.0</v>
      </c>
    </row>
    <row r="69" ht="13.5" customHeight="1">
      <c r="A69" s="1">
        <v>2.0</v>
      </c>
      <c r="B69" s="1">
        <v>208.0</v>
      </c>
      <c r="C69" s="1">
        <v>220.0</v>
      </c>
      <c r="D69" s="1">
        <v>187.0</v>
      </c>
      <c r="E69" s="1">
        <v>191.0</v>
      </c>
      <c r="F69" s="1">
        <v>187.0</v>
      </c>
      <c r="G69" s="1">
        <v>187.0</v>
      </c>
      <c r="H69" s="1">
        <v>112.0</v>
      </c>
      <c r="I69" s="1">
        <v>126.0</v>
      </c>
      <c r="J69" s="1">
        <v>317.0</v>
      </c>
      <c r="K69" s="1">
        <v>339.0</v>
      </c>
    </row>
    <row r="70" ht="13.5" customHeight="1">
      <c r="A70" s="1">
        <v>2.0</v>
      </c>
      <c r="B70" s="1">
        <v>218.0</v>
      </c>
      <c r="C70" s="1">
        <v>222.0</v>
      </c>
      <c r="D70" s="1">
        <v>187.0</v>
      </c>
      <c r="E70" s="1">
        <v>195.0</v>
      </c>
      <c r="F70" s="1">
        <v>187.0</v>
      </c>
      <c r="G70" s="1">
        <v>187.0</v>
      </c>
      <c r="H70" s="1">
        <v>118.0</v>
      </c>
      <c r="I70" s="1">
        <v>122.0</v>
      </c>
      <c r="J70" s="1">
        <v>317.0</v>
      </c>
      <c r="K70" s="1">
        <v>336.0</v>
      </c>
    </row>
    <row r="71" ht="13.5" customHeight="1">
      <c r="A71" s="1">
        <v>2.0</v>
      </c>
      <c r="B71" s="1">
        <v>222.0</v>
      </c>
      <c r="C71" s="1">
        <v>222.0</v>
      </c>
      <c r="D71" s="1">
        <v>193.0</v>
      </c>
      <c r="E71" s="1">
        <v>195.0</v>
      </c>
      <c r="F71" s="1">
        <v>187.0</v>
      </c>
      <c r="G71" s="1">
        <v>187.0</v>
      </c>
      <c r="H71" s="1">
        <v>116.0</v>
      </c>
      <c r="I71" s="1">
        <v>118.0</v>
      </c>
      <c r="J71" s="1">
        <v>315.0</v>
      </c>
      <c r="K71" s="1">
        <v>339.0</v>
      </c>
    </row>
    <row r="72" ht="13.5" customHeight="1">
      <c r="A72" s="1">
        <v>2.0</v>
      </c>
      <c r="B72" s="1">
        <v>220.0</v>
      </c>
      <c r="C72" s="1">
        <v>224.0</v>
      </c>
      <c r="D72" s="1">
        <v>184.0</v>
      </c>
      <c r="E72" s="1">
        <v>187.0</v>
      </c>
      <c r="F72" s="1">
        <v>176.0</v>
      </c>
      <c r="G72" s="1">
        <v>187.0</v>
      </c>
      <c r="H72" s="1">
        <v>118.0</v>
      </c>
      <c r="I72" s="1">
        <v>128.0</v>
      </c>
      <c r="J72" s="1">
        <v>339.0</v>
      </c>
      <c r="K72" s="1">
        <v>345.0</v>
      </c>
    </row>
    <row r="73" ht="13.5" customHeight="1">
      <c r="A73" s="1">
        <v>2.0</v>
      </c>
      <c r="B73" s="1">
        <v>220.0</v>
      </c>
      <c r="C73" s="1">
        <v>220.0</v>
      </c>
      <c r="D73" s="1">
        <v>187.0</v>
      </c>
      <c r="E73" s="1">
        <v>187.0</v>
      </c>
      <c r="F73" s="1">
        <v>187.0</v>
      </c>
      <c r="G73" s="1">
        <v>187.0</v>
      </c>
      <c r="H73" s="1">
        <v>124.0</v>
      </c>
      <c r="I73" s="1">
        <v>128.0</v>
      </c>
      <c r="J73" s="1">
        <v>319.0</v>
      </c>
      <c r="K73" s="1">
        <v>345.0</v>
      </c>
    </row>
    <row r="74" ht="13.5" customHeight="1">
      <c r="A74" s="1">
        <v>2.0</v>
      </c>
      <c r="B74" s="1">
        <v>218.0</v>
      </c>
      <c r="C74" s="1">
        <v>218.0</v>
      </c>
      <c r="D74" s="1">
        <v>184.0</v>
      </c>
      <c r="E74" s="1">
        <v>187.0</v>
      </c>
      <c r="F74" s="1">
        <v>187.0</v>
      </c>
      <c r="G74" s="1">
        <v>187.0</v>
      </c>
      <c r="H74" s="1">
        <v>118.0</v>
      </c>
      <c r="I74" s="1">
        <v>118.0</v>
      </c>
      <c r="J74" s="1">
        <v>332.0</v>
      </c>
      <c r="K74" s="1">
        <v>332.0</v>
      </c>
    </row>
    <row r="75" ht="13.5" customHeight="1">
      <c r="A75" s="1">
        <v>2.0</v>
      </c>
      <c r="B75" s="1">
        <v>218.0</v>
      </c>
      <c r="C75" s="1">
        <v>220.0</v>
      </c>
      <c r="D75" s="1">
        <v>184.0</v>
      </c>
      <c r="E75" s="1">
        <v>195.0</v>
      </c>
      <c r="F75" s="1">
        <v>187.0</v>
      </c>
      <c r="G75" s="1">
        <v>187.0</v>
      </c>
      <c r="H75" s="1">
        <v>118.0</v>
      </c>
      <c r="I75" s="1">
        <v>126.0</v>
      </c>
      <c r="J75" s="1">
        <v>321.0</v>
      </c>
      <c r="K75" s="1">
        <v>321.0</v>
      </c>
    </row>
    <row r="76" ht="13.5" customHeight="1">
      <c r="A76" s="1">
        <v>2.0</v>
      </c>
      <c r="B76" s="1">
        <v>216.0</v>
      </c>
      <c r="C76" s="1">
        <v>218.0</v>
      </c>
      <c r="D76" s="1">
        <v>184.0</v>
      </c>
      <c r="E76" s="1">
        <v>193.0</v>
      </c>
      <c r="F76" s="1">
        <v>187.0</v>
      </c>
      <c r="G76" s="1">
        <v>187.0</v>
      </c>
      <c r="H76" s="1">
        <v>126.0</v>
      </c>
      <c r="I76" s="1">
        <v>128.0</v>
      </c>
      <c r="J76" s="1">
        <v>324.0</v>
      </c>
      <c r="K76" s="1">
        <v>330.0</v>
      </c>
    </row>
    <row r="77" ht="13.5" customHeight="1">
      <c r="A77" s="1">
        <v>2.0</v>
      </c>
      <c r="B77" s="1">
        <v>220.0</v>
      </c>
      <c r="C77" s="1">
        <v>220.0</v>
      </c>
      <c r="D77" s="1">
        <v>184.0</v>
      </c>
      <c r="E77" s="1">
        <v>184.0</v>
      </c>
      <c r="F77" s="1">
        <v>187.0</v>
      </c>
      <c r="G77" s="1">
        <v>187.0</v>
      </c>
      <c r="H77" s="1">
        <v>122.0</v>
      </c>
      <c r="I77" s="1">
        <v>128.0</v>
      </c>
      <c r="J77" s="1">
        <v>317.0</v>
      </c>
      <c r="K77" s="1">
        <v>324.0</v>
      </c>
    </row>
    <row r="78" ht="13.5" customHeight="1">
      <c r="A78" s="1">
        <v>2.0</v>
      </c>
      <c r="B78" s="1">
        <v>208.0</v>
      </c>
      <c r="C78" s="1">
        <v>224.0</v>
      </c>
      <c r="D78" s="1">
        <v>184.0</v>
      </c>
      <c r="E78" s="1">
        <v>193.0</v>
      </c>
      <c r="F78" s="1">
        <v>187.0</v>
      </c>
      <c r="G78" s="1">
        <v>187.0</v>
      </c>
      <c r="H78" s="1">
        <v>118.0</v>
      </c>
      <c r="I78" s="1">
        <v>122.0</v>
      </c>
      <c r="J78" s="1">
        <v>315.0</v>
      </c>
      <c r="K78" s="1">
        <v>339.0</v>
      </c>
    </row>
    <row r="79" ht="13.5" customHeight="1">
      <c r="A79" s="1">
        <v>2.0</v>
      </c>
      <c r="B79" s="1">
        <v>218.0</v>
      </c>
      <c r="C79" s="1">
        <v>218.0</v>
      </c>
      <c r="D79" s="1">
        <v>191.0</v>
      </c>
      <c r="E79" s="1">
        <v>195.0</v>
      </c>
      <c r="F79" s="1">
        <v>187.0</v>
      </c>
      <c r="G79" s="1">
        <v>187.0</v>
      </c>
      <c r="H79" s="1">
        <v>116.0</v>
      </c>
      <c r="I79" s="1">
        <v>130.0</v>
      </c>
      <c r="J79" s="1">
        <v>315.0</v>
      </c>
      <c r="K79" s="1">
        <v>321.0</v>
      </c>
    </row>
    <row r="80" ht="13.5" customHeight="1">
      <c r="A80" s="1">
        <v>2.0</v>
      </c>
      <c r="B80" s="1">
        <v>216.0</v>
      </c>
      <c r="C80" s="1">
        <v>220.0</v>
      </c>
      <c r="D80" s="1">
        <v>184.0</v>
      </c>
      <c r="E80" s="1">
        <v>193.0</v>
      </c>
      <c r="F80" s="1">
        <v>187.0</v>
      </c>
      <c r="G80" s="1">
        <v>187.0</v>
      </c>
      <c r="H80" s="1">
        <v>112.0</v>
      </c>
      <c r="I80" s="1">
        <v>118.0</v>
      </c>
      <c r="J80" s="1">
        <v>315.0</v>
      </c>
      <c r="K80" s="1">
        <v>332.0</v>
      </c>
    </row>
    <row r="81" ht="13.5" customHeight="1">
      <c r="A81" s="1">
        <v>2.0</v>
      </c>
      <c r="B81" s="1">
        <v>216.0</v>
      </c>
      <c r="C81" s="1">
        <v>222.0</v>
      </c>
      <c r="D81" s="1">
        <v>187.0</v>
      </c>
      <c r="E81" s="1">
        <v>193.0</v>
      </c>
      <c r="F81" s="1">
        <v>187.0</v>
      </c>
      <c r="G81" s="1">
        <v>187.0</v>
      </c>
      <c r="H81" s="1">
        <v>116.0</v>
      </c>
      <c r="I81" s="1">
        <v>118.0</v>
      </c>
      <c r="J81" s="1">
        <v>336.0</v>
      </c>
      <c r="K81" s="1">
        <v>345.0</v>
      </c>
    </row>
    <row r="82" ht="13.5" customHeight="1">
      <c r="A82" s="1">
        <v>2.0</v>
      </c>
      <c r="B82" s="1">
        <v>220.0</v>
      </c>
      <c r="C82" s="1">
        <v>224.0</v>
      </c>
      <c r="D82" s="1">
        <v>184.0</v>
      </c>
      <c r="E82" s="1">
        <v>193.0</v>
      </c>
      <c r="F82" s="1">
        <v>187.0</v>
      </c>
      <c r="G82" s="1">
        <v>187.0</v>
      </c>
      <c r="H82" s="1">
        <v>122.0</v>
      </c>
      <c r="I82" s="1">
        <v>126.0</v>
      </c>
      <c r="J82" s="1">
        <v>319.0</v>
      </c>
      <c r="K82" s="1">
        <v>332.0</v>
      </c>
    </row>
    <row r="83" ht="13.5" customHeight="1">
      <c r="A83" s="1">
        <v>2.0</v>
      </c>
      <c r="B83" s="1">
        <v>220.0</v>
      </c>
      <c r="C83" s="1">
        <v>224.0</v>
      </c>
      <c r="D83" s="1">
        <v>184.0</v>
      </c>
      <c r="E83" s="1">
        <v>187.0</v>
      </c>
      <c r="F83" s="1">
        <v>176.0</v>
      </c>
      <c r="G83" s="1">
        <v>187.0</v>
      </c>
      <c r="H83" s="1">
        <v>126.0</v>
      </c>
      <c r="I83" s="1">
        <v>128.0</v>
      </c>
      <c r="J83" s="1">
        <v>336.0</v>
      </c>
      <c r="K83" s="1">
        <v>339.0</v>
      </c>
    </row>
    <row r="84" ht="13.5" customHeight="1">
      <c r="A84" s="1">
        <v>2.0</v>
      </c>
      <c r="B84" s="1">
        <v>218.0</v>
      </c>
      <c r="C84" s="1">
        <v>220.0</v>
      </c>
      <c r="D84" s="1">
        <v>184.0</v>
      </c>
      <c r="E84" s="1">
        <v>184.0</v>
      </c>
      <c r="F84" s="1">
        <v>176.0</v>
      </c>
      <c r="G84" s="1">
        <v>187.0</v>
      </c>
      <c r="H84" s="1">
        <v>124.0</v>
      </c>
      <c r="I84" s="1">
        <v>126.0</v>
      </c>
      <c r="J84" s="1">
        <v>324.0</v>
      </c>
      <c r="K84" s="1">
        <v>324.0</v>
      </c>
    </row>
    <row r="85" ht="13.5" customHeight="1">
      <c r="A85" s="1">
        <v>2.0</v>
      </c>
      <c r="B85" s="1">
        <v>220.0</v>
      </c>
      <c r="C85" s="1">
        <v>222.0</v>
      </c>
      <c r="D85" s="1">
        <v>184.0</v>
      </c>
      <c r="E85" s="1">
        <v>187.0</v>
      </c>
      <c r="F85" s="1">
        <v>187.0</v>
      </c>
      <c r="G85" s="1">
        <v>187.0</v>
      </c>
      <c r="H85" s="1">
        <v>112.0</v>
      </c>
      <c r="I85" s="1">
        <v>128.0</v>
      </c>
      <c r="J85" s="1">
        <v>336.0</v>
      </c>
      <c r="K85" s="1">
        <v>345.0</v>
      </c>
    </row>
    <row r="86" ht="13.5" customHeight="1">
      <c r="A86" s="1">
        <v>2.0</v>
      </c>
      <c r="B86" s="1">
        <v>220.0</v>
      </c>
      <c r="C86" s="1">
        <v>222.0</v>
      </c>
      <c r="D86" s="1">
        <v>187.0</v>
      </c>
      <c r="E86" s="1">
        <v>195.0</v>
      </c>
      <c r="F86" s="1">
        <v>187.0</v>
      </c>
      <c r="G86" s="1">
        <v>187.0</v>
      </c>
      <c r="H86" s="1">
        <v>118.0</v>
      </c>
      <c r="I86" s="1">
        <v>124.0</v>
      </c>
      <c r="J86" s="1">
        <v>324.0</v>
      </c>
      <c r="K86" s="1">
        <v>339.0</v>
      </c>
    </row>
    <row r="87" ht="13.5" customHeight="1">
      <c r="A87" s="1">
        <v>2.0</v>
      </c>
      <c r="B87" s="1">
        <v>214.0</v>
      </c>
      <c r="C87" s="1">
        <v>222.0</v>
      </c>
      <c r="D87" s="1">
        <v>187.0</v>
      </c>
      <c r="E87" s="1">
        <v>187.0</v>
      </c>
      <c r="F87" s="1">
        <v>187.0</v>
      </c>
      <c r="G87" s="1">
        <v>187.0</v>
      </c>
      <c r="H87" s="1">
        <v>118.0</v>
      </c>
      <c r="I87" s="1">
        <v>118.0</v>
      </c>
      <c r="J87" s="1">
        <v>330.0</v>
      </c>
      <c r="K87" s="1">
        <v>332.0</v>
      </c>
    </row>
    <row r="88" ht="13.5" customHeight="1">
      <c r="A88" s="1">
        <v>2.0</v>
      </c>
      <c r="B88" s="1">
        <v>218.0</v>
      </c>
      <c r="C88" s="1">
        <v>218.0</v>
      </c>
      <c r="D88" s="1">
        <v>184.0</v>
      </c>
      <c r="E88" s="1">
        <v>191.0</v>
      </c>
      <c r="F88" s="1">
        <v>187.0</v>
      </c>
      <c r="G88" s="1">
        <v>187.0</v>
      </c>
      <c r="H88" s="1">
        <v>124.0</v>
      </c>
      <c r="I88" s="1">
        <v>126.0</v>
      </c>
      <c r="J88" s="1">
        <v>330.0</v>
      </c>
      <c r="K88" s="1">
        <v>339.0</v>
      </c>
    </row>
    <row r="89" ht="13.5" customHeight="1">
      <c r="A89" s="1">
        <v>2.0</v>
      </c>
      <c r="B89" s="1">
        <v>220.0</v>
      </c>
      <c r="C89" s="1">
        <v>222.0</v>
      </c>
      <c r="D89" s="1">
        <v>184.0</v>
      </c>
      <c r="E89" s="1">
        <v>184.0</v>
      </c>
      <c r="F89" s="1">
        <v>187.0</v>
      </c>
      <c r="G89" s="1">
        <v>187.0</v>
      </c>
      <c r="H89" s="1">
        <v>124.0</v>
      </c>
      <c r="I89" s="1">
        <v>126.0</v>
      </c>
      <c r="J89" s="1">
        <v>315.0</v>
      </c>
      <c r="K89" s="1">
        <v>332.0</v>
      </c>
    </row>
    <row r="90" ht="13.5" customHeight="1">
      <c r="A90" s="1">
        <v>2.0</v>
      </c>
      <c r="B90" s="1">
        <v>214.0</v>
      </c>
      <c r="C90" s="1">
        <v>222.0</v>
      </c>
      <c r="D90" s="1">
        <v>184.0</v>
      </c>
      <c r="E90" s="1">
        <v>193.0</v>
      </c>
      <c r="F90" s="1">
        <v>187.0</v>
      </c>
      <c r="G90" s="1">
        <v>187.0</v>
      </c>
      <c r="H90" s="1">
        <v>118.0</v>
      </c>
      <c r="I90" s="1">
        <v>118.0</v>
      </c>
      <c r="J90" s="1">
        <v>319.0</v>
      </c>
      <c r="K90" s="1">
        <v>332.0</v>
      </c>
    </row>
    <row r="91" ht="13.5" customHeight="1">
      <c r="A91" s="1">
        <v>2.0</v>
      </c>
      <c r="B91" s="1">
        <v>220.0</v>
      </c>
      <c r="C91" s="1">
        <v>222.0</v>
      </c>
      <c r="D91" s="1">
        <v>193.0</v>
      </c>
      <c r="E91" s="1">
        <v>196.0</v>
      </c>
      <c r="F91" s="1">
        <v>187.0</v>
      </c>
      <c r="G91" s="1">
        <v>187.0</v>
      </c>
      <c r="H91" s="1">
        <v>116.0</v>
      </c>
      <c r="I91" s="1">
        <v>126.0</v>
      </c>
      <c r="J91" s="1">
        <v>321.0</v>
      </c>
      <c r="K91" s="1">
        <v>345.0</v>
      </c>
    </row>
    <row r="92" ht="13.5" customHeight="1">
      <c r="A92" s="1">
        <v>2.0</v>
      </c>
      <c r="B92" s="1">
        <v>222.0</v>
      </c>
      <c r="C92" s="1">
        <v>222.0</v>
      </c>
      <c r="D92" s="1">
        <v>193.0</v>
      </c>
      <c r="E92" s="1">
        <v>193.0</v>
      </c>
      <c r="F92" s="1">
        <v>187.0</v>
      </c>
      <c r="G92" s="1">
        <v>187.0</v>
      </c>
      <c r="H92" s="1">
        <v>118.0</v>
      </c>
      <c r="I92" s="1">
        <v>118.0</v>
      </c>
      <c r="J92" s="1">
        <v>332.0</v>
      </c>
      <c r="K92" s="1">
        <v>336.0</v>
      </c>
    </row>
    <row r="93" ht="13.5" customHeight="1">
      <c r="A93" s="1">
        <v>2.0</v>
      </c>
      <c r="B93" s="1">
        <v>222.0</v>
      </c>
      <c r="C93" s="1">
        <v>224.0</v>
      </c>
      <c r="D93" s="1">
        <v>195.0</v>
      </c>
      <c r="E93" s="1">
        <v>195.0</v>
      </c>
      <c r="F93" s="1">
        <v>187.0</v>
      </c>
      <c r="G93" s="1">
        <v>187.0</v>
      </c>
      <c r="H93" s="1">
        <v>118.0</v>
      </c>
      <c r="I93" s="1">
        <v>126.0</v>
      </c>
      <c r="J93" s="1">
        <v>330.0</v>
      </c>
      <c r="K93" s="1">
        <v>345.0</v>
      </c>
    </row>
    <row r="94" ht="13.5" customHeight="1">
      <c r="A94" s="1">
        <v>2.0</v>
      </c>
      <c r="B94" s="1">
        <v>220.0</v>
      </c>
      <c r="C94" s="1">
        <v>222.0</v>
      </c>
      <c r="D94" s="1">
        <v>187.0</v>
      </c>
      <c r="E94" s="1">
        <v>191.0</v>
      </c>
      <c r="F94" s="1">
        <v>182.0</v>
      </c>
      <c r="G94" s="1">
        <v>187.0</v>
      </c>
      <c r="H94" s="1">
        <v>118.0</v>
      </c>
      <c r="I94" s="1">
        <v>118.0</v>
      </c>
      <c r="J94" s="1">
        <v>315.0</v>
      </c>
      <c r="K94" s="1">
        <v>330.0</v>
      </c>
    </row>
    <row r="95" ht="13.5" customHeight="1">
      <c r="A95" s="1">
        <v>2.0</v>
      </c>
      <c r="B95" s="1">
        <v>222.0</v>
      </c>
      <c r="C95" s="1">
        <v>222.0</v>
      </c>
      <c r="D95" s="1">
        <v>184.0</v>
      </c>
      <c r="E95" s="1">
        <v>184.0</v>
      </c>
      <c r="F95" s="1">
        <v>187.0</v>
      </c>
      <c r="G95" s="1">
        <v>187.0</v>
      </c>
      <c r="H95" s="1">
        <v>120.0</v>
      </c>
      <c r="I95" s="1">
        <v>124.0</v>
      </c>
      <c r="J95" s="1">
        <v>321.0</v>
      </c>
      <c r="K95" s="1">
        <v>345.0</v>
      </c>
    </row>
    <row r="96" ht="13.5" customHeight="1">
      <c r="A96" s="1">
        <v>2.0</v>
      </c>
      <c r="B96" s="1">
        <v>220.0</v>
      </c>
      <c r="C96" s="1">
        <v>220.0</v>
      </c>
      <c r="D96" s="1">
        <v>193.0</v>
      </c>
      <c r="E96" s="1">
        <v>193.0</v>
      </c>
      <c r="F96" s="1">
        <v>187.0</v>
      </c>
      <c r="G96" s="1">
        <v>187.0</v>
      </c>
      <c r="H96" s="1">
        <v>116.0</v>
      </c>
      <c r="I96" s="1">
        <v>122.0</v>
      </c>
      <c r="J96" s="1">
        <v>332.0</v>
      </c>
      <c r="K96" s="1">
        <v>336.0</v>
      </c>
    </row>
    <row r="97" ht="13.5" customHeight="1">
      <c r="A97" s="1">
        <v>2.0</v>
      </c>
      <c r="B97" s="1">
        <v>220.0</v>
      </c>
      <c r="C97" s="1">
        <v>220.0</v>
      </c>
      <c r="D97" s="1">
        <v>184.0</v>
      </c>
      <c r="E97" s="1">
        <v>184.0</v>
      </c>
      <c r="F97" s="1">
        <v>187.0</v>
      </c>
      <c r="G97" s="1">
        <v>187.0</v>
      </c>
      <c r="H97" s="1">
        <v>122.0</v>
      </c>
      <c r="I97" s="1">
        <v>124.0</v>
      </c>
      <c r="J97" s="1">
        <v>315.0</v>
      </c>
      <c r="K97" s="1">
        <v>339.0</v>
      </c>
    </row>
    <row r="98" ht="13.5" customHeight="1">
      <c r="A98" s="1">
        <v>2.0</v>
      </c>
      <c r="B98" s="1">
        <v>208.0</v>
      </c>
      <c r="C98" s="1">
        <v>224.0</v>
      </c>
      <c r="D98" s="1">
        <v>184.0</v>
      </c>
      <c r="E98" s="1">
        <v>187.0</v>
      </c>
      <c r="F98" s="1">
        <v>187.0</v>
      </c>
      <c r="G98" s="1">
        <v>187.0</v>
      </c>
      <c r="H98" s="1">
        <v>124.0</v>
      </c>
      <c r="I98" s="1">
        <v>128.0</v>
      </c>
      <c r="J98" s="1">
        <v>330.0</v>
      </c>
      <c r="K98" s="1">
        <v>330.0</v>
      </c>
    </row>
    <row r="99" ht="13.5" customHeight="1">
      <c r="A99" s="1">
        <v>2.0</v>
      </c>
      <c r="B99" s="1">
        <v>216.0</v>
      </c>
      <c r="C99" s="1">
        <v>222.0</v>
      </c>
      <c r="D99" s="1">
        <v>184.0</v>
      </c>
      <c r="E99" s="1">
        <v>187.0</v>
      </c>
      <c r="F99" s="1">
        <v>187.0</v>
      </c>
      <c r="G99" s="1">
        <v>187.0</v>
      </c>
      <c r="H99" s="1">
        <v>122.0</v>
      </c>
      <c r="I99" s="1">
        <v>126.0</v>
      </c>
      <c r="J99" s="1">
        <v>321.0</v>
      </c>
      <c r="K99" s="1">
        <v>339.0</v>
      </c>
    </row>
    <row r="100" ht="13.5" customHeight="1">
      <c r="A100" s="1">
        <v>2.0</v>
      </c>
      <c r="B100" s="1">
        <v>222.0</v>
      </c>
      <c r="C100" s="1">
        <v>222.0</v>
      </c>
      <c r="D100" s="1">
        <v>184.0</v>
      </c>
      <c r="E100" s="1">
        <v>191.0</v>
      </c>
      <c r="F100" s="1">
        <v>176.0</v>
      </c>
      <c r="G100" s="1">
        <v>187.0</v>
      </c>
      <c r="H100" s="1">
        <v>116.0</v>
      </c>
      <c r="I100" s="1">
        <v>118.0</v>
      </c>
      <c r="J100" s="1">
        <v>332.0</v>
      </c>
      <c r="K100" s="1">
        <v>332.0</v>
      </c>
    </row>
    <row r="101" ht="13.5" customHeight="1">
      <c r="A101" s="1">
        <v>2.0</v>
      </c>
      <c r="B101" s="1">
        <v>218.0</v>
      </c>
      <c r="C101" s="1">
        <v>222.0</v>
      </c>
      <c r="D101" s="1">
        <v>187.0</v>
      </c>
      <c r="E101" s="1">
        <v>191.0</v>
      </c>
      <c r="F101" s="1">
        <v>187.0</v>
      </c>
      <c r="G101" s="1">
        <v>187.0</v>
      </c>
      <c r="H101" s="1">
        <v>118.0</v>
      </c>
      <c r="I101" s="1">
        <v>126.0</v>
      </c>
      <c r="J101" s="1">
        <v>330.0</v>
      </c>
      <c r="K101" s="1">
        <v>339.0</v>
      </c>
    </row>
    <row r="102" ht="13.5" customHeight="1">
      <c r="A102" s="1">
        <v>2.0</v>
      </c>
      <c r="B102" s="1">
        <v>214.0</v>
      </c>
      <c r="C102" s="1">
        <v>222.0</v>
      </c>
      <c r="D102" s="1">
        <v>184.0</v>
      </c>
      <c r="E102" s="1">
        <v>195.0</v>
      </c>
      <c r="F102" s="1">
        <v>187.0</v>
      </c>
      <c r="G102" s="1">
        <v>187.0</v>
      </c>
      <c r="H102" s="1">
        <v>120.0</v>
      </c>
      <c r="I102" s="1">
        <v>126.0</v>
      </c>
      <c r="J102" s="1">
        <v>324.0</v>
      </c>
      <c r="K102" s="1">
        <v>330.0</v>
      </c>
    </row>
    <row r="103" ht="13.5" customHeight="1">
      <c r="A103" s="1">
        <v>2.0</v>
      </c>
      <c r="B103" s="1">
        <v>222.0</v>
      </c>
      <c r="C103" s="1">
        <v>222.0</v>
      </c>
      <c r="D103" s="1">
        <v>187.0</v>
      </c>
      <c r="E103" s="1">
        <v>187.0</v>
      </c>
      <c r="F103" s="1">
        <v>187.0</v>
      </c>
      <c r="G103" s="1">
        <v>187.0</v>
      </c>
      <c r="H103" s="1">
        <v>118.0</v>
      </c>
      <c r="I103" s="1">
        <v>118.0</v>
      </c>
      <c r="J103" s="1">
        <v>332.0</v>
      </c>
      <c r="K103" s="1">
        <v>332.0</v>
      </c>
    </row>
    <row r="104" ht="13.5" customHeight="1">
      <c r="A104" s="1">
        <v>2.0</v>
      </c>
      <c r="B104" s="1">
        <v>222.0</v>
      </c>
      <c r="C104" s="1">
        <v>222.0</v>
      </c>
      <c r="D104" s="1">
        <v>184.0</v>
      </c>
      <c r="E104" s="1">
        <v>184.0</v>
      </c>
      <c r="F104" s="1">
        <v>187.0</v>
      </c>
      <c r="G104" s="1">
        <v>187.0</v>
      </c>
      <c r="H104" s="1">
        <v>116.0</v>
      </c>
      <c r="I104" s="1">
        <v>116.0</v>
      </c>
      <c r="J104" s="1">
        <v>330.0</v>
      </c>
      <c r="K104" s="1">
        <v>330.0</v>
      </c>
    </row>
    <row r="105" ht="13.5" customHeight="1">
      <c r="A105" s="1">
        <v>2.0</v>
      </c>
      <c r="B105" s="1">
        <v>216.0</v>
      </c>
      <c r="C105" s="1">
        <v>224.0</v>
      </c>
      <c r="D105" s="1">
        <v>187.0</v>
      </c>
      <c r="E105" s="1">
        <v>187.0</v>
      </c>
      <c r="F105" s="1">
        <v>182.0</v>
      </c>
      <c r="G105" s="1">
        <v>187.0</v>
      </c>
      <c r="H105" s="1">
        <v>116.0</v>
      </c>
      <c r="I105" s="1">
        <v>122.0</v>
      </c>
      <c r="J105" s="1">
        <v>339.0</v>
      </c>
      <c r="K105" s="1">
        <v>339.0</v>
      </c>
    </row>
    <row r="106" ht="13.5" customHeight="1">
      <c r="A106" s="1">
        <v>2.0</v>
      </c>
      <c r="B106" s="1">
        <v>208.0</v>
      </c>
      <c r="C106" s="1">
        <v>222.0</v>
      </c>
      <c r="D106" s="1">
        <v>184.0</v>
      </c>
      <c r="E106" s="1">
        <v>195.0</v>
      </c>
      <c r="F106" s="1">
        <v>187.0</v>
      </c>
      <c r="G106" s="1">
        <v>187.0</v>
      </c>
      <c r="H106" s="1">
        <v>124.0</v>
      </c>
      <c r="I106" s="1">
        <v>126.0</v>
      </c>
      <c r="J106" s="1">
        <v>332.0</v>
      </c>
      <c r="K106" s="1">
        <v>345.0</v>
      </c>
    </row>
    <row r="107" ht="13.5" customHeight="1">
      <c r="A107" s="1">
        <v>2.0</v>
      </c>
      <c r="B107" s="1">
        <v>214.0</v>
      </c>
      <c r="C107" s="1">
        <v>222.0</v>
      </c>
      <c r="D107" s="1">
        <v>187.0</v>
      </c>
      <c r="E107" s="1">
        <v>195.0</v>
      </c>
      <c r="F107" s="1">
        <v>187.0</v>
      </c>
      <c r="G107" s="1">
        <v>187.0</v>
      </c>
      <c r="H107" s="1">
        <v>118.0</v>
      </c>
      <c r="I107" s="1">
        <v>120.0</v>
      </c>
      <c r="J107" s="1">
        <v>315.0</v>
      </c>
      <c r="K107" s="1">
        <v>339.0</v>
      </c>
    </row>
    <row r="108" ht="13.5" customHeight="1">
      <c r="A108" s="1">
        <v>2.0</v>
      </c>
      <c r="B108" s="1">
        <v>208.0</v>
      </c>
      <c r="C108" s="1">
        <v>208.0</v>
      </c>
      <c r="D108" s="1">
        <v>193.0</v>
      </c>
      <c r="E108" s="1">
        <v>195.0</v>
      </c>
      <c r="F108" s="1">
        <v>187.0</v>
      </c>
      <c r="G108" s="1">
        <v>187.0</v>
      </c>
      <c r="H108" s="1">
        <v>126.0</v>
      </c>
      <c r="I108" s="1">
        <v>128.0</v>
      </c>
      <c r="J108" s="1">
        <v>315.0</v>
      </c>
      <c r="K108" s="1">
        <v>345.0</v>
      </c>
    </row>
    <row r="109" ht="13.5" customHeight="1">
      <c r="A109" s="1">
        <v>2.0</v>
      </c>
      <c r="B109" s="1">
        <v>218.0</v>
      </c>
      <c r="C109" s="1">
        <v>220.0</v>
      </c>
      <c r="D109" s="1">
        <v>184.0</v>
      </c>
      <c r="E109" s="1">
        <v>195.0</v>
      </c>
      <c r="F109" s="1">
        <v>187.0</v>
      </c>
      <c r="G109" s="1">
        <v>187.0</v>
      </c>
      <c r="H109" s="1">
        <v>118.0</v>
      </c>
      <c r="I109" s="1">
        <v>126.0</v>
      </c>
      <c r="J109" s="1">
        <v>324.0</v>
      </c>
      <c r="K109" s="1">
        <v>330.0</v>
      </c>
    </row>
    <row r="110" ht="13.5" customHeight="1">
      <c r="A110" s="1">
        <v>2.0</v>
      </c>
      <c r="B110" s="1">
        <v>220.0</v>
      </c>
      <c r="C110" s="1">
        <v>222.0</v>
      </c>
      <c r="D110" s="1">
        <v>191.0</v>
      </c>
      <c r="E110" s="1">
        <v>193.0</v>
      </c>
      <c r="F110" s="1">
        <v>187.0</v>
      </c>
      <c r="G110" s="1">
        <v>187.0</v>
      </c>
      <c r="H110" s="1">
        <v>126.0</v>
      </c>
      <c r="I110" s="1">
        <v>126.0</v>
      </c>
      <c r="J110" s="1">
        <v>321.0</v>
      </c>
      <c r="K110" s="1">
        <v>345.0</v>
      </c>
    </row>
    <row r="111" ht="13.5" customHeight="1">
      <c r="A111" s="1">
        <v>2.0</v>
      </c>
      <c r="B111" s="1">
        <v>220.0</v>
      </c>
      <c r="C111" s="1">
        <v>226.0</v>
      </c>
      <c r="D111" s="1">
        <v>184.0</v>
      </c>
      <c r="E111" s="1">
        <v>191.0</v>
      </c>
      <c r="F111" s="1">
        <v>187.0</v>
      </c>
      <c r="G111" s="1">
        <v>187.0</v>
      </c>
      <c r="H111" s="1">
        <v>124.0</v>
      </c>
      <c r="I111" s="1">
        <v>128.0</v>
      </c>
      <c r="J111" s="1">
        <v>330.0</v>
      </c>
      <c r="K111" s="1">
        <v>339.0</v>
      </c>
    </row>
    <row r="112" ht="13.5" customHeight="1">
      <c r="A112" s="1">
        <v>2.0</v>
      </c>
      <c r="B112" s="1">
        <v>222.0</v>
      </c>
      <c r="C112" s="1">
        <v>222.0</v>
      </c>
      <c r="D112" s="1">
        <v>184.0</v>
      </c>
      <c r="E112" s="1">
        <v>184.0</v>
      </c>
      <c r="F112" s="1">
        <v>187.0</v>
      </c>
      <c r="G112" s="1">
        <v>187.0</v>
      </c>
      <c r="H112" s="1">
        <v>118.0</v>
      </c>
      <c r="I112" s="1">
        <v>124.0</v>
      </c>
      <c r="J112" s="1">
        <v>315.0</v>
      </c>
      <c r="K112" s="1">
        <v>332.0</v>
      </c>
    </row>
    <row r="113" ht="13.5" customHeight="1">
      <c r="A113" s="1">
        <v>2.0</v>
      </c>
      <c r="B113" s="1">
        <v>208.0</v>
      </c>
      <c r="C113" s="1">
        <v>220.0</v>
      </c>
      <c r="D113" s="1">
        <v>184.0</v>
      </c>
      <c r="E113" s="1">
        <v>195.0</v>
      </c>
      <c r="F113" s="1">
        <v>187.0</v>
      </c>
      <c r="G113" s="1">
        <v>187.0</v>
      </c>
      <c r="H113" s="1">
        <v>120.0</v>
      </c>
      <c r="I113" s="1">
        <v>126.0</v>
      </c>
      <c r="J113" s="1">
        <v>339.0</v>
      </c>
      <c r="K113" s="1">
        <v>339.0</v>
      </c>
    </row>
    <row r="114" ht="13.5" customHeight="1">
      <c r="A114" s="1">
        <v>2.0</v>
      </c>
      <c r="B114" s="1">
        <v>220.0</v>
      </c>
      <c r="C114" s="1">
        <v>222.0</v>
      </c>
      <c r="D114" s="1">
        <v>187.0</v>
      </c>
      <c r="E114" s="1">
        <v>195.0</v>
      </c>
      <c r="F114" s="1">
        <v>182.0</v>
      </c>
      <c r="G114" s="1">
        <v>187.0</v>
      </c>
      <c r="H114" s="1">
        <v>118.0</v>
      </c>
      <c r="I114" s="1">
        <v>120.0</v>
      </c>
      <c r="J114" s="1">
        <v>317.0</v>
      </c>
      <c r="K114" s="1">
        <v>324.0</v>
      </c>
    </row>
    <row r="115" ht="13.5" customHeight="1">
      <c r="A115" s="1">
        <v>2.0</v>
      </c>
      <c r="B115" s="1">
        <v>222.0</v>
      </c>
      <c r="C115" s="1">
        <v>224.0</v>
      </c>
      <c r="D115" s="1">
        <v>184.0</v>
      </c>
      <c r="E115" s="1">
        <v>193.0</v>
      </c>
      <c r="F115" s="1">
        <v>187.0</v>
      </c>
      <c r="G115" s="1">
        <v>187.0</v>
      </c>
      <c r="H115" s="1">
        <v>116.0</v>
      </c>
      <c r="I115" s="1">
        <v>126.0</v>
      </c>
      <c r="J115" s="1">
        <v>321.0</v>
      </c>
      <c r="K115" s="1">
        <v>339.0</v>
      </c>
    </row>
    <row r="116" ht="13.5" customHeight="1">
      <c r="A116" s="1">
        <v>2.0</v>
      </c>
      <c r="B116" s="1">
        <v>222.0</v>
      </c>
      <c r="C116" s="1">
        <v>226.0</v>
      </c>
      <c r="D116" s="1">
        <v>195.0</v>
      </c>
      <c r="E116" s="1">
        <v>195.0</v>
      </c>
      <c r="F116" s="1">
        <v>187.0</v>
      </c>
      <c r="G116" s="1">
        <v>187.0</v>
      </c>
      <c r="H116" s="1">
        <v>122.0</v>
      </c>
      <c r="I116" s="1">
        <v>124.0</v>
      </c>
      <c r="J116" s="1">
        <v>315.0</v>
      </c>
      <c r="K116" s="1">
        <v>339.0</v>
      </c>
    </row>
    <row r="117" ht="13.5" customHeight="1">
      <c r="A117" s="1">
        <v>2.0</v>
      </c>
      <c r="B117" s="1">
        <v>222.0</v>
      </c>
      <c r="C117" s="1">
        <v>222.0</v>
      </c>
      <c r="D117" s="1">
        <v>187.0</v>
      </c>
      <c r="E117" s="1">
        <v>193.0</v>
      </c>
      <c r="F117" s="1">
        <v>187.0</v>
      </c>
      <c r="G117" s="1">
        <v>187.0</v>
      </c>
      <c r="H117" s="1">
        <v>116.0</v>
      </c>
      <c r="I117" s="1">
        <v>120.0</v>
      </c>
      <c r="J117" s="1">
        <v>321.0</v>
      </c>
      <c r="K117" s="1">
        <v>339.0</v>
      </c>
    </row>
    <row r="118" ht="13.5" customHeight="1">
      <c r="A118" s="1">
        <v>2.0</v>
      </c>
      <c r="B118" s="1">
        <v>216.0</v>
      </c>
      <c r="C118" s="1">
        <v>222.0</v>
      </c>
      <c r="D118" s="1">
        <v>184.0</v>
      </c>
      <c r="E118" s="1">
        <v>195.0</v>
      </c>
      <c r="F118" s="1">
        <v>187.0</v>
      </c>
      <c r="G118" s="1">
        <v>187.0</v>
      </c>
      <c r="H118" s="1">
        <v>126.0</v>
      </c>
      <c r="I118" s="1">
        <v>128.0</v>
      </c>
      <c r="J118" s="1">
        <v>332.0</v>
      </c>
      <c r="K118" s="1">
        <v>345.0</v>
      </c>
    </row>
    <row r="119" ht="13.5" customHeight="1">
      <c r="A119" s="1">
        <v>2.0</v>
      </c>
      <c r="B119" s="1">
        <v>216.0</v>
      </c>
      <c r="C119" s="1">
        <v>220.0</v>
      </c>
      <c r="D119" s="1">
        <v>187.0</v>
      </c>
      <c r="E119" s="1">
        <v>187.0</v>
      </c>
      <c r="F119" s="1">
        <v>182.0</v>
      </c>
      <c r="G119" s="1">
        <v>187.0</v>
      </c>
      <c r="H119" s="1">
        <v>118.0</v>
      </c>
      <c r="I119" s="1">
        <v>128.0</v>
      </c>
      <c r="J119" s="1">
        <v>321.0</v>
      </c>
      <c r="K119" s="1">
        <v>321.0</v>
      </c>
    </row>
    <row r="120" ht="13.5" customHeight="1">
      <c r="A120" s="1">
        <v>2.0</v>
      </c>
      <c r="B120" s="1">
        <v>220.0</v>
      </c>
      <c r="C120" s="1">
        <v>222.0</v>
      </c>
      <c r="D120" s="1">
        <v>184.0</v>
      </c>
      <c r="E120" s="1">
        <v>187.0</v>
      </c>
      <c r="F120" s="1">
        <v>187.0</v>
      </c>
      <c r="G120" s="1">
        <v>187.0</v>
      </c>
      <c r="H120" s="1">
        <v>118.0</v>
      </c>
      <c r="I120" s="1">
        <v>128.0</v>
      </c>
      <c r="J120" s="1">
        <v>330.0</v>
      </c>
      <c r="K120" s="1">
        <v>345.0</v>
      </c>
    </row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2" max="12" width="18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  <c r="M1" s="2" t="s">
        <v>1</v>
      </c>
      <c r="N1" s="2" t="s">
        <v>2</v>
      </c>
      <c r="O1" s="10" t="s">
        <v>11</v>
      </c>
      <c r="P1" s="10" t="s">
        <v>12</v>
      </c>
      <c r="R1" s="5" t="s">
        <v>3</v>
      </c>
      <c r="S1" s="5" t="s">
        <v>4</v>
      </c>
      <c r="T1" s="10" t="s">
        <v>11</v>
      </c>
      <c r="U1" s="10" t="s">
        <v>12</v>
      </c>
      <c r="W1" s="7" t="s">
        <v>5</v>
      </c>
      <c r="X1" s="7" t="s">
        <v>6</v>
      </c>
      <c r="Y1" s="10" t="s">
        <v>11</v>
      </c>
      <c r="Z1" s="10" t="s">
        <v>12</v>
      </c>
      <c r="AB1" s="8" t="s">
        <v>7</v>
      </c>
      <c r="AC1" s="8" t="s">
        <v>8</v>
      </c>
      <c r="AD1" s="10" t="s">
        <v>11</v>
      </c>
      <c r="AE1" s="10" t="s">
        <v>12</v>
      </c>
      <c r="AG1" s="9" t="s">
        <v>9</v>
      </c>
      <c r="AH1" s="9" t="s">
        <v>10</v>
      </c>
      <c r="AI1" s="10" t="s">
        <v>11</v>
      </c>
      <c r="AJ1" s="10" t="s">
        <v>12</v>
      </c>
    </row>
    <row r="2">
      <c r="A2" s="1">
        <v>1.0</v>
      </c>
      <c r="B2" s="2">
        <v>205.0</v>
      </c>
      <c r="C2" s="2">
        <v>205.0</v>
      </c>
      <c r="D2" s="5">
        <v>187.0</v>
      </c>
      <c r="E2" s="5">
        <v>193.0</v>
      </c>
      <c r="F2" s="7">
        <v>187.0</v>
      </c>
      <c r="G2" s="7">
        <v>187.0</v>
      </c>
      <c r="H2" s="8">
        <v>124.0</v>
      </c>
      <c r="I2" s="8">
        <v>126.0</v>
      </c>
      <c r="J2" s="9">
        <v>336.0</v>
      </c>
      <c r="K2" s="9">
        <v>339.0</v>
      </c>
      <c r="M2" s="2">
        <f>IFERROR(__xludf.DUMMYFUNCTION("UNIQUE(B2:C60)"),205.0)</f>
        <v>205</v>
      </c>
      <c r="N2" s="2">
        <f>IFERROR(__xludf.DUMMYFUNCTION("""COMPUTED_VALUE"""),205.0)</f>
        <v>205</v>
      </c>
      <c r="O2" s="1">
        <f t="shared" ref="O2:O17" si="1">COUNTIFS(B2:B60,M2,C2:C60,N2)</f>
        <v>1</v>
      </c>
      <c r="P2" s="1">
        <f t="shared" ref="P2:P17" si="2">O2/59</f>
        <v>0.01694915254</v>
      </c>
      <c r="R2" s="5">
        <f>IFERROR(__xludf.DUMMYFUNCTION("UNIQUE(D2:E60)"),187.0)</f>
        <v>187</v>
      </c>
      <c r="S2" s="5">
        <f>IFERROR(__xludf.DUMMYFUNCTION("""COMPUTED_VALUE"""),193.0)</f>
        <v>193</v>
      </c>
      <c r="T2" s="1">
        <f t="shared" ref="T2:T19" si="3">COUNTIFS(D2:D60,R2,E2:E60,S2)</f>
        <v>3</v>
      </c>
      <c r="U2" s="1">
        <f t="shared" ref="U2:U19" si="4">T2/59</f>
        <v>0.05084745763</v>
      </c>
      <c r="W2" s="7">
        <f>IFERROR(__xludf.DUMMYFUNCTION("UNIQUE(F2:G60)"),187.0)</f>
        <v>187</v>
      </c>
      <c r="X2" s="7">
        <f>IFERROR(__xludf.DUMMYFUNCTION("""COMPUTED_VALUE"""),187.0)</f>
        <v>187</v>
      </c>
      <c r="Y2" s="1">
        <f t="shared" ref="Y2:Y4" si="5">COUNTIFS(F2:F60,W2,G2:G60,X2)</f>
        <v>46</v>
      </c>
      <c r="Z2" s="1">
        <f t="shared" ref="Z2:Z4" si="6">Y2/59</f>
        <v>0.7796610169</v>
      </c>
      <c r="AB2" s="8">
        <f>IFERROR(__xludf.DUMMYFUNCTION("UNIQUE(H2:I60)"),124.0)</f>
        <v>124</v>
      </c>
      <c r="AC2" s="8">
        <f>IFERROR(__xludf.DUMMYFUNCTION("""COMPUTED_VALUE"""),126.0)</f>
        <v>126</v>
      </c>
      <c r="AD2" s="1">
        <f t="shared" ref="AD2:AD23" si="7">COUNTIFS(H2:H60,AB2,I2:I60,AC2)</f>
        <v>4</v>
      </c>
      <c r="AE2" s="1">
        <f t="shared" ref="AE2:AE23" si="8">AD2/59</f>
        <v>0.06779661017</v>
      </c>
      <c r="AG2" s="9">
        <f>IFERROR(__xludf.DUMMYFUNCTION("UNIQUE(J2:K60)"),336.0)</f>
        <v>336</v>
      </c>
      <c r="AH2" s="9">
        <f>IFERROR(__xludf.DUMMYFUNCTION("""COMPUTED_VALUE"""),339.0)</f>
        <v>339</v>
      </c>
      <c r="AI2" s="1">
        <f t="shared" ref="AI2:AI28" si="9">COUNTIFS(J2:J60,AG2,K2:K60,AH2)</f>
        <v>5</v>
      </c>
      <c r="AJ2" s="1">
        <f t="shared" ref="AJ2:AJ28" si="10">AI2/59</f>
        <v>0.08474576271</v>
      </c>
    </row>
    <row r="3">
      <c r="A3" s="1">
        <v>1.0</v>
      </c>
      <c r="B3" s="2">
        <v>208.0</v>
      </c>
      <c r="C3" s="2">
        <v>220.0</v>
      </c>
      <c r="D3" s="5">
        <v>184.0</v>
      </c>
      <c r="E3" s="5">
        <v>184.0</v>
      </c>
      <c r="F3" s="7">
        <v>187.0</v>
      </c>
      <c r="G3" s="7">
        <v>187.0</v>
      </c>
      <c r="H3" s="8">
        <v>118.0</v>
      </c>
      <c r="I3" s="8">
        <v>124.0</v>
      </c>
      <c r="J3" s="9">
        <v>332.0</v>
      </c>
      <c r="K3" s="9">
        <v>336.0</v>
      </c>
      <c r="M3" s="2">
        <f>IFERROR(__xludf.DUMMYFUNCTION("""COMPUTED_VALUE"""),208.0)</f>
        <v>208</v>
      </c>
      <c r="N3" s="2">
        <f>IFERROR(__xludf.DUMMYFUNCTION("""COMPUTED_VALUE"""),220.0)</f>
        <v>220</v>
      </c>
      <c r="O3" s="1">
        <f t="shared" si="1"/>
        <v>2</v>
      </c>
      <c r="P3" s="1">
        <f t="shared" si="2"/>
        <v>0.03389830508</v>
      </c>
      <c r="Q3" s="11"/>
      <c r="R3" s="5">
        <f>IFERROR(__xludf.DUMMYFUNCTION("""COMPUTED_VALUE"""),184.0)</f>
        <v>184</v>
      </c>
      <c r="S3" s="5">
        <f>IFERROR(__xludf.DUMMYFUNCTION("""COMPUTED_VALUE"""),184.0)</f>
        <v>184</v>
      </c>
      <c r="T3" s="1">
        <f t="shared" si="3"/>
        <v>7</v>
      </c>
      <c r="U3" s="1">
        <f t="shared" si="4"/>
        <v>0.1186440678</v>
      </c>
      <c r="V3" s="11"/>
      <c r="W3" s="7">
        <f>IFERROR(__xludf.DUMMYFUNCTION("""COMPUTED_VALUE"""),182.0)</f>
        <v>182</v>
      </c>
      <c r="X3" s="7">
        <f>IFERROR(__xludf.DUMMYFUNCTION("""COMPUTED_VALUE"""),187.0)</f>
        <v>187</v>
      </c>
      <c r="Y3" s="1">
        <f t="shared" si="5"/>
        <v>10</v>
      </c>
      <c r="Z3" s="1">
        <f t="shared" si="6"/>
        <v>0.1694915254</v>
      </c>
      <c r="AA3" s="11"/>
      <c r="AB3" s="8">
        <f>IFERROR(__xludf.DUMMYFUNCTION("""COMPUTED_VALUE"""),118.0)</f>
        <v>118</v>
      </c>
      <c r="AC3" s="8">
        <f>IFERROR(__xludf.DUMMYFUNCTION("""COMPUTED_VALUE"""),124.0)</f>
        <v>124</v>
      </c>
      <c r="AD3" s="1">
        <f t="shared" si="7"/>
        <v>4</v>
      </c>
      <c r="AE3" s="1">
        <f t="shared" si="8"/>
        <v>0.06779661017</v>
      </c>
      <c r="AF3" s="11"/>
      <c r="AG3" s="9">
        <f>IFERROR(__xludf.DUMMYFUNCTION("""COMPUTED_VALUE"""),332.0)</f>
        <v>332</v>
      </c>
      <c r="AH3" s="9">
        <f>IFERROR(__xludf.DUMMYFUNCTION("""COMPUTED_VALUE"""),336.0)</f>
        <v>336</v>
      </c>
      <c r="AI3" s="1">
        <f t="shared" si="9"/>
        <v>4</v>
      </c>
      <c r="AJ3" s="1">
        <f t="shared" si="10"/>
        <v>0.06779661017</v>
      </c>
    </row>
    <row r="4">
      <c r="A4" s="1">
        <v>1.0</v>
      </c>
      <c r="B4" s="2">
        <v>208.0</v>
      </c>
      <c r="C4" s="2">
        <v>220.0</v>
      </c>
      <c r="D4" s="5">
        <v>184.0</v>
      </c>
      <c r="E4" s="5">
        <v>193.0</v>
      </c>
      <c r="F4" s="7">
        <v>187.0</v>
      </c>
      <c r="G4" s="7">
        <v>187.0</v>
      </c>
      <c r="H4" s="8">
        <v>118.0</v>
      </c>
      <c r="I4" s="8">
        <v>126.0</v>
      </c>
      <c r="J4" s="9">
        <v>321.0</v>
      </c>
      <c r="K4" s="9">
        <v>339.0</v>
      </c>
      <c r="M4" s="12">
        <f>IFERROR(__xludf.DUMMYFUNCTION("""COMPUTED_VALUE"""),214.0)</f>
        <v>214</v>
      </c>
      <c r="N4" s="12">
        <f>IFERROR(__xludf.DUMMYFUNCTION("""COMPUTED_VALUE"""),214.0)</f>
        <v>214</v>
      </c>
      <c r="O4" s="1">
        <f t="shared" si="1"/>
        <v>1</v>
      </c>
      <c r="P4" s="1">
        <f t="shared" si="2"/>
        <v>0.01694915254</v>
      </c>
      <c r="Q4" s="11"/>
      <c r="R4" s="5">
        <f>IFERROR(__xludf.DUMMYFUNCTION("""COMPUTED_VALUE"""),184.0)</f>
        <v>184</v>
      </c>
      <c r="S4" s="5">
        <f>IFERROR(__xludf.DUMMYFUNCTION("""COMPUTED_VALUE"""),193.0)</f>
        <v>193</v>
      </c>
      <c r="T4" s="1">
        <f t="shared" si="3"/>
        <v>6</v>
      </c>
      <c r="U4" s="1">
        <f t="shared" si="4"/>
        <v>0.1016949153</v>
      </c>
      <c r="V4" s="11"/>
      <c r="W4" s="7">
        <f>IFERROR(__xludf.DUMMYFUNCTION("""COMPUTED_VALUE"""),176.0)</f>
        <v>176</v>
      </c>
      <c r="X4" s="7">
        <f>IFERROR(__xludf.DUMMYFUNCTION("""COMPUTED_VALUE"""),187.0)</f>
        <v>187</v>
      </c>
      <c r="Y4" s="1">
        <f t="shared" si="5"/>
        <v>3</v>
      </c>
      <c r="Z4" s="1">
        <f t="shared" si="6"/>
        <v>0.05084745763</v>
      </c>
      <c r="AB4" s="8">
        <f>IFERROR(__xludf.DUMMYFUNCTION("""COMPUTED_VALUE"""),118.0)</f>
        <v>118</v>
      </c>
      <c r="AC4" s="8">
        <f>IFERROR(__xludf.DUMMYFUNCTION("""COMPUTED_VALUE"""),126.0)</f>
        <v>126</v>
      </c>
      <c r="AD4" s="1">
        <f t="shared" si="7"/>
        <v>13</v>
      </c>
      <c r="AE4" s="1">
        <f t="shared" si="8"/>
        <v>0.2203389831</v>
      </c>
      <c r="AF4" s="11"/>
      <c r="AG4" s="9">
        <f>IFERROR(__xludf.DUMMYFUNCTION("""COMPUTED_VALUE"""),321.0)</f>
        <v>321</v>
      </c>
      <c r="AH4" s="9">
        <f>IFERROR(__xludf.DUMMYFUNCTION("""COMPUTED_VALUE"""),339.0)</f>
        <v>339</v>
      </c>
      <c r="AI4" s="1">
        <f t="shared" si="9"/>
        <v>7</v>
      </c>
      <c r="AJ4" s="1">
        <f t="shared" si="10"/>
        <v>0.1186440678</v>
      </c>
    </row>
    <row r="5">
      <c r="A5" s="1">
        <v>1.0</v>
      </c>
      <c r="B5" s="2">
        <v>214.0</v>
      </c>
      <c r="C5" s="2">
        <v>214.0</v>
      </c>
      <c r="D5" s="5">
        <v>191.0</v>
      </c>
      <c r="E5" s="5">
        <v>193.0</v>
      </c>
      <c r="F5" s="7">
        <v>187.0</v>
      </c>
      <c r="G5" s="7">
        <v>187.0</v>
      </c>
      <c r="H5" s="8">
        <v>118.0</v>
      </c>
      <c r="I5" s="8">
        <v>118.0</v>
      </c>
      <c r="J5" s="9">
        <v>332.0</v>
      </c>
      <c r="K5" s="9">
        <v>336.0</v>
      </c>
      <c r="M5" s="2">
        <f>IFERROR(__xludf.DUMMYFUNCTION("""COMPUTED_VALUE"""),214.0)</f>
        <v>214</v>
      </c>
      <c r="N5" s="2">
        <f>IFERROR(__xludf.DUMMYFUNCTION("""COMPUTED_VALUE"""),220.0)</f>
        <v>220</v>
      </c>
      <c r="O5" s="1">
        <f t="shared" si="1"/>
        <v>1</v>
      </c>
      <c r="P5" s="1">
        <f t="shared" si="2"/>
        <v>0.01694915254</v>
      </c>
      <c r="Q5" s="11"/>
      <c r="R5" s="5">
        <f>IFERROR(__xludf.DUMMYFUNCTION("""COMPUTED_VALUE"""),191.0)</f>
        <v>191</v>
      </c>
      <c r="S5" s="5">
        <f>IFERROR(__xludf.DUMMYFUNCTION("""COMPUTED_VALUE"""),193.0)</f>
        <v>193</v>
      </c>
      <c r="T5" s="1">
        <f t="shared" si="3"/>
        <v>2</v>
      </c>
      <c r="U5" s="1">
        <f t="shared" si="4"/>
        <v>0.03389830508</v>
      </c>
      <c r="AB5" s="8">
        <f>IFERROR(__xludf.DUMMYFUNCTION("""COMPUTED_VALUE"""),118.0)</f>
        <v>118</v>
      </c>
      <c r="AC5" s="8">
        <f>IFERROR(__xludf.DUMMYFUNCTION("""COMPUTED_VALUE"""),118.0)</f>
        <v>118</v>
      </c>
      <c r="AD5" s="1">
        <f t="shared" si="7"/>
        <v>4</v>
      </c>
      <c r="AE5" s="1">
        <f t="shared" si="8"/>
        <v>0.06779661017</v>
      </c>
      <c r="AF5" s="11"/>
      <c r="AG5" s="9">
        <f>IFERROR(__xludf.DUMMYFUNCTION("""COMPUTED_VALUE"""),339.0)</f>
        <v>339</v>
      </c>
      <c r="AH5" s="9">
        <f>IFERROR(__xludf.DUMMYFUNCTION("""COMPUTED_VALUE"""),339.0)</f>
        <v>339</v>
      </c>
      <c r="AI5" s="1">
        <f t="shared" si="9"/>
        <v>3</v>
      </c>
      <c r="AJ5" s="1">
        <f t="shared" si="10"/>
        <v>0.05084745763</v>
      </c>
    </row>
    <row r="6">
      <c r="A6" s="1">
        <v>1.0</v>
      </c>
      <c r="B6" s="2">
        <v>214.0</v>
      </c>
      <c r="C6" s="2">
        <v>220.0</v>
      </c>
      <c r="D6" s="5">
        <v>184.0</v>
      </c>
      <c r="E6" s="5">
        <v>187.0</v>
      </c>
      <c r="F6" s="7">
        <v>187.0</v>
      </c>
      <c r="G6" s="7">
        <v>187.0</v>
      </c>
      <c r="H6" s="8">
        <v>126.0</v>
      </c>
      <c r="I6" s="8">
        <v>128.0</v>
      </c>
      <c r="J6" s="9">
        <v>336.0</v>
      </c>
      <c r="K6" s="9">
        <v>339.0</v>
      </c>
      <c r="M6" s="2">
        <f>IFERROR(__xludf.DUMMYFUNCTION("""COMPUTED_VALUE"""),214.0)</f>
        <v>214</v>
      </c>
      <c r="N6" s="2">
        <f>IFERROR(__xludf.DUMMYFUNCTION("""COMPUTED_VALUE"""),222.0)</f>
        <v>222</v>
      </c>
      <c r="O6" s="1">
        <f t="shared" si="1"/>
        <v>1</v>
      </c>
      <c r="P6" s="1">
        <f t="shared" si="2"/>
        <v>0.01694915254</v>
      </c>
      <c r="Q6" s="11"/>
      <c r="R6" s="5">
        <f>IFERROR(__xludf.DUMMYFUNCTION("""COMPUTED_VALUE"""),184.0)</f>
        <v>184</v>
      </c>
      <c r="S6" s="5">
        <f>IFERROR(__xludf.DUMMYFUNCTION("""COMPUTED_VALUE"""),187.0)</f>
        <v>187</v>
      </c>
      <c r="T6" s="1">
        <f t="shared" si="3"/>
        <v>9</v>
      </c>
      <c r="U6" s="1">
        <f t="shared" si="4"/>
        <v>0.1525423729</v>
      </c>
      <c r="Y6" s="13" t="s">
        <v>13</v>
      </c>
      <c r="Z6" s="5">
        <f>SUM(Z2:Z4)</f>
        <v>1</v>
      </c>
      <c r="AA6" s="14" t="s">
        <v>14</v>
      </c>
      <c r="AB6" s="8">
        <f>IFERROR(__xludf.DUMMYFUNCTION("""COMPUTED_VALUE"""),126.0)</f>
        <v>126</v>
      </c>
      <c r="AC6" s="8">
        <f>IFERROR(__xludf.DUMMYFUNCTION("""COMPUTED_VALUE"""),128.0)</f>
        <v>128</v>
      </c>
      <c r="AD6" s="1">
        <f t="shared" si="7"/>
        <v>5</v>
      </c>
      <c r="AE6" s="1">
        <f t="shared" si="8"/>
        <v>0.08474576271</v>
      </c>
      <c r="AF6" s="11"/>
      <c r="AG6" s="9">
        <f>IFERROR(__xludf.DUMMYFUNCTION("""COMPUTED_VALUE"""),315.0)</f>
        <v>315</v>
      </c>
      <c r="AH6" s="9">
        <f>IFERROR(__xludf.DUMMYFUNCTION("""COMPUTED_VALUE"""),317.0)</f>
        <v>317</v>
      </c>
      <c r="AI6" s="1">
        <f t="shared" si="9"/>
        <v>1</v>
      </c>
      <c r="AJ6" s="1">
        <f t="shared" si="10"/>
        <v>0.01694915254</v>
      </c>
    </row>
    <row r="7">
      <c r="A7" s="1">
        <v>1.0</v>
      </c>
      <c r="B7" s="2">
        <v>214.0</v>
      </c>
      <c r="C7" s="2">
        <v>222.0</v>
      </c>
      <c r="D7" s="5">
        <v>184.0</v>
      </c>
      <c r="E7" s="5">
        <v>187.0</v>
      </c>
      <c r="F7" s="7">
        <v>187.0</v>
      </c>
      <c r="G7" s="7">
        <v>187.0</v>
      </c>
      <c r="H7" s="8">
        <v>112.0</v>
      </c>
      <c r="I7" s="8">
        <v>124.0</v>
      </c>
      <c r="J7" s="9">
        <v>332.0</v>
      </c>
      <c r="K7" s="9">
        <v>336.0</v>
      </c>
      <c r="M7" s="2">
        <f>IFERROR(__xludf.DUMMYFUNCTION("""COMPUTED_VALUE"""),216.0)</f>
        <v>216</v>
      </c>
      <c r="N7" s="2">
        <f>IFERROR(__xludf.DUMMYFUNCTION("""COMPUTED_VALUE"""),216.0)</f>
        <v>216</v>
      </c>
      <c r="O7" s="1">
        <f t="shared" si="1"/>
        <v>1</v>
      </c>
      <c r="P7" s="1">
        <f t="shared" si="2"/>
        <v>0.01694915254</v>
      </c>
      <c r="Q7" s="11"/>
      <c r="R7" s="5">
        <f>IFERROR(__xludf.DUMMYFUNCTION("""COMPUTED_VALUE"""),187.0)</f>
        <v>187</v>
      </c>
      <c r="S7" s="5">
        <f>IFERROR(__xludf.DUMMYFUNCTION("""COMPUTED_VALUE"""),187.0)</f>
        <v>187</v>
      </c>
      <c r="T7" s="1">
        <f t="shared" si="3"/>
        <v>4</v>
      </c>
      <c r="U7" s="1">
        <f t="shared" si="4"/>
        <v>0.06779661017</v>
      </c>
      <c r="V7" s="10" t="s">
        <v>15</v>
      </c>
      <c r="W7" s="10" t="s">
        <v>16</v>
      </c>
      <c r="X7" s="10" t="s">
        <v>17</v>
      </c>
      <c r="AA7" s="15">
        <f>SUM(Z3,Z4)</f>
        <v>0.2203389831</v>
      </c>
      <c r="AB7" s="8">
        <f>IFERROR(__xludf.DUMMYFUNCTION("""COMPUTED_VALUE"""),112.0)</f>
        <v>112</v>
      </c>
      <c r="AC7" s="8">
        <f>IFERROR(__xludf.DUMMYFUNCTION("""COMPUTED_VALUE"""),124.0)</f>
        <v>124</v>
      </c>
      <c r="AD7" s="1">
        <f t="shared" si="7"/>
        <v>2</v>
      </c>
      <c r="AE7" s="1">
        <f t="shared" si="8"/>
        <v>0.03389830508</v>
      </c>
      <c r="AF7" s="11"/>
      <c r="AG7" s="9">
        <f>IFERROR(__xludf.DUMMYFUNCTION("""COMPUTED_VALUE"""),339.0)</f>
        <v>339</v>
      </c>
      <c r="AH7" s="9">
        <f>IFERROR(__xludf.DUMMYFUNCTION("""COMPUTED_VALUE"""),345.0)</f>
        <v>345</v>
      </c>
      <c r="AI7" s="1">
        <f t="shared" si="9"/>
        <v>2</v>
      </c>
      <c r="AJ7" s="1">
        <f t="shared" si="10"/>
        <v>0.03389830508</v>
      </c>
    </row>
    <row r="8">
      <c r="A8" s="1">
        <v>1.0</v>
      </c>
      <c r="B8" s="2">
        <v>216.0</v>
      </c>
      <c r="C8" s="2">
        <v>216.0</v>
      </c>
      <c r="D8" s="5">
        <v>187.0</v>
      </c>
      <c r="E8" s="5">
        <v>187.0</v>
      </c>
      <c r="F8" s="7">
        <v>182.0</v>
      </c>
      <c r="G8" s="7">
        <v>187.0</v>
      </c>
      <c r="H8" s="8">
        <v>118.0</v>
      </c>
      <c r="I8" s="8">
        <v>126.0</v>
      </c>
      <c r="J8" s="9">
        <v>321.0</v>
      </c>
      <c r="K8" s="9">
        <v>339.0</v>
      </c>
      <c r="M8" s="2">
        <f>IFERROR(__xludf.DUMMYFUNCTION("""COMPUTED_VALUE"""),218.0)</f>
        <v>218</v>
      </c>
      <c r="N8" s="2">
        <f>IFERROR(__xludf.DUMMYFUNCTION("""COMPUTED_VALUE"""),218.0)</f>
        <v>218</v>
      </c>
      <c r="O8" s="1">
        <f t="shared" si="1"/>
        <v>3</v>
      </c>
      <c r="P8" s="1">
        <f t="shared" si="2"/>
        <v>0.05084745763</v>
      </c>
      <c r="Q8" s="11"/>
      <c r="R8" s="5">
        <f>IFERROR(__xludf.DUMMYFUNCTION("""COMPUTED_VALUE"""),187.0)</f>
        <v>187</v>
      </c>
      <c r="S8" s="5">
        <f>IFERROR(__xludf.DUMMYFUNCTION("""COMPUTED_VALUE"""),191.0)</f>
        <v>191</v>
      </c>
      <c r="T8" s="1">
        <f t="shared" si="3"/>
        <v>2</v>
      </c>
      <c r="U8" s="1">
        <f t="shared" si="4"/>
        <v>0.03389830508</v>
      </c>
      <c r="W8" s="10" t="s">
        <v>18</v>
      </c>
      <c r="AA8" s="14" t="s">
        <v>19</v>
      </c>
      <c r="AB8" s="8">
        <f>IFERROR(__xludf.DUMMYFUNCTION("""COMPUTED_VALUE"""),122.0)</f>
        <v>122</v>
      </c>
      <c r="AC8" s="8">
        <f>IFERROR(__xludf.DUMMYFUNCTION("""COMPUTED_VALUE"""),128.0)</f>
        <v>128</v>
      </c>
      <c r="AD8" s="1">
        <f t="shared" si="7"/>
        <v>3</v>
      </c>
      <c r="AE8" s="1">
        <f t="shared" si="8"/>
        <v>0.05084745763</v>
      </c>
      <c r="AF8" s="11"/>
      <c r="AG8" s="9">
        <f>IFERROR(__xludf.DUMMYFUNCTION("""COMPUTED_VALUE"""),315.0)</f>
        <v>315</v>
      </c>
      <c r="AH8" s="9">
        <f>IFERROR(__xludf.DUMMYFUNCTION("""COMPUTED_VALUE"""),324.0)</f>
        <v>324</v>
      </c>
      <c r="AI8" s="1">
        <f t="shared" si="9"/>
        <v>1</v>
      </c>
      <c r="AJ8" s="1">
        <f t="shared" si="10"/>
        <v>0.01694915254</v>
      </c>
    </row>
    <row r="9">
      <c r="A9" s="1">
        <v>1.0</v>
      </c>
      <c r="B9" s="2">
        <v>218.0</v>
      </c>
      <c r="C9" s="2">
        <v>218.0</v>
      </c>
      <c r="D9" s="5">
        <v>187.0</v>
      </c>
      <c r="E9" s="5">
        <v>191.0</v>
      </c>
      <c r="F9" s="7">
        <v>182.0</v>
      </c>
      <c r="G9" s="7">
        <v>187.0</v>
      </c>
      <c r="H9" s="8">
        <v>118.0</v>
      </c>
      <c r="I9" s="8">
        <v>126.0</v>
      </c>
      <c r="J9" s="9">
        <v>339.0</v>
      </c>
      <c r="K9" s="9">
        <v>339.0</v>
      </c>
      <c r="M9" s="2">
        <f>IFERROR(__xludf.DUMMYFUNCTION("""COMPUTED_VALUE"""),218.0)</f>
        <v>218</v>
      </c>
      <c r="N9" s="2">
        <f>IFERROR(__xludf.DUMMYFUNCTION("""COMPUTED_VALUE"""),220.0)</f>
        <v>220</v>
      </c>
      <c r="O9" s="1">
        <f t="shared" si="1"/>
        <v>1</v>
      </c>
      <c r="P9" s="1">
        <f t="shared" si="2"/>
        <v>0.01694915254</v>
      </c>
      <c r="Q9" s="11"/>
      <c r="R9" s="5">
        <f>IFERROR(__xludf.DUMMYFUNCTION("""COMPUTED_VALUE"""),187.0)</f>
        <v>187</v>
      </c>
      <c r="S9" s="5">
        <f>IFERROR(__xludf.DUMMYFUNCTION("""COMPUTED_VALUE"""),196.0)</f>
        <v>196</v>
      </c>
      <c r="T9" s="1">
        <f t="shared" si="3"/>
        <v>3</v>
      </c>
      <c r="U9" s="1">
        <f t="shared" si="4"/>
        <v>0.05084745763</v>
      </c>
      <c r="V9" s="1">
        <f>W9/2</f>
        <v>0.4449152542</v>
      </c>
      <c r="W9" s="1">
        <f>Z2+(1/2*Z3)+(1/2*Z4)</f>
        <v>0.8898305085</v>
      </c>
      <c r="X9" s="1">
        <f>W9^2</f>
        <v>0.7917983338</v>
      </c>
      <c r="AA9" s="15">
        <f>1-X15</f>
        <v>0.2003734559</v>
      </c>
      <c r="AB9" s="8">
        <f>IFERROR(__xludf.DUMMYFUNCTION("""COMPUTED_VALUE"""),118.0)</f>
        <v>118</v>
      </c>
      <c r="AC9" s="8">
        <f>IFERROR(__xludf.DUMMYFUNCTION("""COMPUTED_VALUE"""),120.0)</f>
        <v>120</v>
      </c>
      <c r="AD9" s="1">
        <f t="shared" si="7"/>
        <v>1</v>
      </c>
      <c r="AE9" s="1">
        <f t="shared" si="8"/>
        <v>0.01694915254</v>
      </c>
      <c r="AF9" s="11"/>
      <c r="AG9" s="9">
        <f>IFERROR(__xludf.DUMMYFUNCTION("""COMPUTED_VALUE"""),330.0)</f>
        <v>330</v>
      </c>
      <c r="AH9" s="9">
        <f>IFERROR(__xludf.DUMMYFUNCTION("""COMPUTED_VALUE"""),339.0)</f>
        <v>339</v>
      </c>
      <c r="AI9" s="1">
        <f t="shared" si="9"/>
        <v>4</v>
      </c>
      <c r="AJ9" s="1">
        <f t="shared" si="10"/>
        <v>0.06779661017</v>
      </c>
    </row>
    <row r="10">
      <c r="A10" s="1">
        <v>1.0</v>
      </c>
      <c r="B10" s="2">
        <v>218.0</v>
      </c>
      <c r="C10" s="2">
        <v>218.0</v>
      </c>
      <c r="D10" s="5">
        <v>187.0</v>
      </c>
      <c r="E10" s="5">
        <v>196.0</v>
      </c>
      <c r="F10" s="7">
        <v>187.0</v>
      </c>
      <c r="G10" s="7">
        <v>187.0</v>
      </c>
      <c r="H10" s="8">
        <v>118.0</v>
      </c>
      <c r="I10" s="8">
        <v>124.0</v>
      </c>
      <c r="J10" s="9">
        <v>315.0</v>
      </c>
      <c r="K10" s="9">
        <v>317.0</v>
      </c>
      <c r="M10" s="2">
        <f>IFERROR(__xludf.DUMMYFUNCTION("""COMPUTED_VALUE"""),218.0)</f>
        <v>218</v>
      </c>
      <c r="N10" s="2">
        <f>IFERROR(__xludf.DUMMYFUNCTION("""COMPUTED_VALUE"""),222.0)</f>
        <v>222</v>
      </c>
      <c r="O10" s="1">
        <f t="shared" si="1"/>
        <v>2</v>
      </c>
      <c r="P10" s="1">
        <f t="shared" si="2"/>
        <v>0.03389830508</v>
      </c>
      <c r="Q10" s="11"/>
      <c r="R10" s="5">
        <f>IFERROR(__xludf.DUMMYFUNCTION("""COMPUTED_VALUE"""),187.0)</f>
        <v>187</v>
      </c>
      <c r="S10" s="5">
        <f>IFERROR(__xludf.DUMMYFUNCTION("""COMPUTED_VALUE"""),195.0)</f>
        <v>195</v>
      </c>
      <c r="T10" s="1">
        <f t="shared" si="3"/>
        <v>4</v>
      </c>
      <c r="U10" s="1">
        <f t="shared" si="4"/>
        <v>0.06779661017</v>
      </c>
      <c r="W10" s="10" t="s">
        <v>20</v>
      </c>
      <c r="AA10" s="14" t="s">
        <v>21</v>
      </c>
      <c r="AB10" s="8">
        <f>IFERROR(__xludf.DUMMYFUNCTION("""COMPUTED_VALUE"""),126.0)</f>
        <v>126</v>
      </c>
      <c r="AC10" s="8">
        <f>IFERROR(__xludf.DUMMYFUNCTION("""COMPUTED_VALUE"""),126.0)</f>
        <v>126</v>
      </c>
      <c r="AD10" s="1">
        <f t="shared" si="7"/>
        <v>1</v>
      </c>
      <c r="AE10" s="1">
        <f t="shared" si="8"/>
        <v>0.01694915254</v>
      </c>
      <c r="AF10" s="11"/>
      <c r="AG10" s="9">
        <f>IFERROR(__xludf.DUMMYFUNCTION("""COMPUTED_VALUE"""),332.0)</f>
        <v>332</v>
      </c>
      <c r="AH10" s="9">
        <f>IFERROR(__xludf.DUMMYFUNCTION("""COMPUTED_VALUE"""),339.0)</f>
        <v>339</v>
      </c>
      <c r="AI10" s="1">
        <f t="shared" si="9"/>
        <v>3</v>
      </c>
      <c r="AJ10" s="1">
        <f t="shared" si="10"/>
        <v>0.05084745763</v>
      </c>
    </row>
    <row r="11">
      <c r="A11" s="1">
        <v>1.0</v>
      </c>
      <c r="B11" s="2">
        <v>218.0</v>
      </c>
      <c r="C11" s="2">
        <v>218.0</v>
      </c>
      <c r="D11" s="5">
        <v>184.0</v>
      </c>
      <c r="E11" s="5">
        <v>184.0</v>
      </c>
      <c r="F11" s="7">
        <v>187.0</v>
      </c>
      <c r="G11" s="7">
        <v>187.0</v>
      </c>
      <c r="H11" s="8">
        <v>122.0</v>
      </c>
      <c r="I11" s="8">
        <v>128.0</v>
      </c>
      <c r="J11" s="9">
        <v>339.0</v>
      </c>
      <c r="K11" s="9">
        <v>345.0</v>
      </c>
      <c r="M11" s="2">
        <f>IFERROR(__xludf.DUMMYFUNCTION("""COMPUTED_VALUE"""),220.0)</f>
        <v>220</v>
      </c>
      <c r="N11" s="2">
        <f>IFERROR(__xludf.DUMMYFUNCTION("""COMPUTED_VALUE"""),220.0)</f>
        <v>220</v>
      </c>
      <c r="O11" s="1">
        <f t="shared" si="1"/>
        <v>4</v>
      </c>
      <c r="P11" s="1">
        <f t="shared" si="2"/>
        <v>0.06779661017</v>
      </c>
      <c r="Q11" s="11"/>
      <c r="R11" s="5">
        <f>IFERROR(__xludf.DUMMYFUNCTION("""COMPUTED_VALUE"""),184.0)</f>
        <v>184</v>
      </c>
      <c r="S11" s="5">
        <f>IFERROR(__xludf.DUMMYFUNCTION("""COMPUTED_VALUE"""),191.0)</f>
        <v>191</v>
      </c>
      <c r="T11" s="1">
        <f t="shared" si="3"/>
        <v>4</v>
      </c>
      <c r="U11" s="1">
        <f t="shared" si="4"/>
        <v>0.06779661017</v>
      </c>
      <c r="V11" s="1">
        <f>W11/2</f>
        <v>0.04237288136</v>
      </c>
      <c r="W11" s="1">
        <f>SUM(1/2*Z3)</f>
        <v>0.08474576271</v>
      </c>
      <c r="X11" s="1">
        <f>W11^2</f>
        <v>0.007181844298</v>
      </c>
      <c r="AA11" s="14">
        <f>(AA9-AA7)/AA9</f>
        <v>-0.09964157706</v>
      </c>
      <c r="AB11" s="8">
        <f>IFERROR(__xludf.DUMMYFUNCTION("""COMPUTED_VALUE"""),116.0)</f>
        <v>116</v>
      </c>
      <c r="AC11" s="8">
        <f>IFERROR(__xludf.DUMMYFUNCTION("""COMPUTED_VALUE"""),126.0)</f>
        <v>126</v>
      </c>
      <c r="AD11" s="1">
        <f t="shared" si="7"/>
        <v>2</v>
      </c>
      <c r="AE11" s="1">
        <f t="shared" si="8"/>
        <v>0.03389830508</v>
      </c>
      <c r="AF11" s="11"/>
      <c r="AG11" s="9">
        <f>IFERROR(__xludf.DUMMYFUNCTION("""COMPUTED_VALUE"""),321.0)</f>
        <v>321</v>
      </c>
      <c r="AH11" s="9">
        <f>IFERROR(__xludf.DUMMYFUNCTION("""COMPUTED_VALUE"""),321.0)</f>
        <v>321</v>
      </c>
      <c r="AI11" s="1">
        <f t="shared" si="9"/>
        <v>2</v>
      </c>
      <c r="AJ11" s="1">
        <f t="shared" si="10"/>
        <v>0.03389830508</v>
      </c>
    </row>
    <row r="12">
      <c r="A12" s="1">
        <v>1.0</v>
      </c>
      <c r="B12" s="2">
        <v>218.0</v>
      </c>
      <c r="C12" s="2">
        <v>220.0</v>
      </c>
      <c r="D12" s="5">
        <v>187.0</v>
      </c>
      <c r="E12" s="5">
        <v>195.0</v>
      </c>
      <c r="F12" s="7">
        <v>187.0</v>
      </c>
      <c r="G12" s="7">
        <v>187.0</v>
      </c>
      <c r="H12" s="8">
        <v>118.0</v>
      </c>
      <c r="I12" s="8">
        <v>120.0</v>
      </c>
      <c r="J12" s="9">
        <v>315.0</v>
      </c>
      <c r="K12" s="9">
        <v>324.0</v>
      </c>
      <c r="M12" s="2">
        <f>IFERROR(__xludf.DUMMYFUNCTION("""COMPUTED_VALUE"""),220.0)</f>
        <v>220</v>
      </c>
      <c r="N12" s="2">
        <f>IFERROR(__xludf.DUMMYFUNCTION("""COMPUTED_VALUE"""),222.0)</f>
        <v>222</v>
      </c>
      <c r="O12" s="1">
        <f t="shared" si="1"/>
        <v>9</v>
      </c>
      <c r="P12" s="1">
        <f t="shared" si="2"/>
        <v>0.1525423729</v>
      </c>
      <c r="Q12" s="11"/>
      <c r="R12" s="5">
        <f>IFERROR(__xludf.DUMMYFUNCTION("""COMPUTED_VALUE"""),184.0)</f>
        <v>184</v>
      </c>
      <c r="S12" s="5">
        <f>IFERROR(__xludf.DUMMYFUNCTION("""COMPUTED_VALUE"""),196.0)</f>
        <v>196</v>
      </c>
      <c r="T12" s="1">
        <f t="shared" si="3"/>
        <v>1</v>
      </c>
      <c r="U12" s="1">
        <f t="shared" si="4"/>
        <v>0.01694915254</v>
      </c>
      <c r="W12" s="10" t="s">
        <v>22</v>
      </c>
      <c r="AA12" s="11"/>
      <c r="AB12" s="8">
        <f>IFERROR(__xludf.DUMMYFUNCTION("""COMPUTED_VALUE"""),116.0)</f>
        <v>116</v>
      </c>
      <c r="AC12" s="8">
        <f>IFERROR(__xludf.DUMMYFUNCTION("""COMPUTED_VALUE"""),118.0)</f>
        <v>118</v>
      </c>
      <c r="AD12" s="1">
        <f t="shared" si="7"/>
        <v>4</v>
      </c>
      <c r="AE12" s="1">
        <f t="shared" si="8"/>
        <v>0.06779661017</v>
      </c>
      <c r="AF12" s="11"/>
      <c r="AG12" s="9">
        <f>IFERROR(__xludf.DUMMYFUNCTION("""COMPUTED_VALUE"""),332.0)</f>
        <v>332</v>
      </c>
      <c r="AH12" s="9">
        <f>IFERROR(__xludf.DUMMYFUNCTION("""COMPUTED_VALUE"""),345.0)</f>
        <v>345</v>
      </c>
      <c r="AI12" s="1">
        <f t="shared" si="9"/>
        <v>1</v>
      </c>
      <c r="AJ12" s="1">
        <f t="shared" si="10"/>
        <v>0.01694915254</v>
      </c>
    </row>
    <row r="13">
      <c r="A13" s="1">
        <v>1.0</v>
      </c>
      <c r="B13" s="2">
        <v>218.0</v>
      </c>
      <c r="C13" s="2">
        <v>222.0</v>
      </c>
      <c r="D13" s="5">
        <v>184.0</v>
      </c>
      <c r="E13" s="5">
        <v>191.0</v>
      </c>
      <c r="F13" s="7">
        <v>187.0</v>
      </c>
      <c r="G13" s="7">
        <v>187.0</v>
      </c>
      <c r="H13" s="8">
        <v>126.0</v>
      </c>
      <c r="I13" s="8">
        <v>126.0</v>
      </c>
      <c r="J13" s="9">
        <v>330.0</v>
      </c>
      <c r="K13" s="9">
        <v>339.0</v>
      </c>
      <c r="M13" s="2">
        <f>IFERROR(__xludf.DUMMYFUNCTION("""COMPUTED_VALUE"""),220.0)</f>
        <v>220</v>
      </c>
      <c r="N13" s="2">
        <f>IFERROR(__xludf.DUMMYFUNCTION("""COMPUTED_VALUE"""),224.0)</f>
        <v>224</v>
      </c>
      <c r="O13" s="1">
        <f t="shared" si="1"/>
        <v>3</v>
      </c>
      <c r="P13" s="1">
        <f t="shared" si="2"/>
        <v>0.05084745763</v>
      </c>
      <c r="Q13" s="11"/>
      <c r="R13" s="5">
        <f>IFERROR(__xludf.DUMMYFUNCTION("""COMPUTED_VALUE"""),184.0)</f>
        <v>184</v>
      </c>
      <c r="S13" s="5">
        <f>IFERROR(__xludf.DUMMYFUNCTION("""COMPUTED_VALUE"""),195.0)</f>
        <v>195</v>
      </c>
      <c r="T13" s="1">
        <f t="shared" si="3"/>
        <v>5</v>
      </c>
      <c r="U13" s="1">
        <f t="shared" si="4"/>
        <v>0.08474576271</v>
      </c>
      <c r="V13" s="1">
        <f>W13/2</f>
        <v>0.01271186441</v>
      </c>
      <c r="W13" s="1">
        <f>1/2*Z4</f>
        <v>0.02542372881</v>
      </c>
      <c r="X13" s="1">
        <f>W13^2</f>
        <v>0.0006463659868</v>
      </c>
      <c r="AA13" s="11"/>
      <c r="AB13" s="8">
        <f>IFERROR(__xludf.DUMMYFUNCTION("""COMPUTED_VALUE"""),120.0)</f>
        <v>120</v>
      </c>
      <c r="AC13" s="8">
        <f>IFERROR(__xludf.DUMMYFUNCTION("""COMPUTED_VALUE"""),126.0)</f>
        <v>126</v>
      </c>
      <c r="AD13" s="1">
        <f t="shared" si="7"/>
        <v>1</v>
      </c>
      <c r="AE13" s="1">
        <f t="shared" si="8"/>
        <v>0.01694915254</v>
      </c>
      <c r="AF13" s="11"/>
      <c r="AG13" s="9">
        <f>IFERROR(__xludf.DUMMYFUNCTION("""COMPUTED_VALUE"""),317.0)</f>
        <v>317</v>
      </c>
      <c r="AH13" s="9">
        <f>IFERROR(__xludf.DUMMYFUNCTION("""COMPUTED_VALUE"""),332.0)</f>
        <v>332</v>
      </c>
      <c r="AI13" s="1">
        <f t="shared" si="9"/>
        <v>2</v>
      </c>
      <c r="AJ13" s="1">
        <f t="shared" si="10"/>
        <v>0.03389830508</v>
      </c>
    </row>
    <row r="14">
      <c r="A14" s="1">
        <v>1.0</v>
      </c>
      <c r="B14" s="2">
        <v>218.0</v>
      </c>
      <c r="C14" s="2">
        <v>222.0</v>
      </c>
      <c r="D14" s="5">
        <v>184.0</v>
      </c>
      <c r="E14" s="5">
        <v>187.0</v>
      </c>
      <c r="F14" s="7">
        <v>182.0</v>
      </c>
      <c r="G14" s="7">
        <v>187.0</v>
      </c>
      <c r="H14" s="8">
        <v>118.0</v>
      </c>
      <c r="I14" s="8">
        <v>126.0</v>
      </c>
      <c r="J14" s="9">
        <v>321.0</v>
      </c>
      <c r="K14" s="9">
        <v>339.0</v>
      </c>
      <c r="M14" s="2">
        <f>IFERROR(__xludf.DUMMYFUNCTION("""COMPUTED_VALUE"""),220.0)</f>
        <v>220</v>
      </c>
      <c r="N14" s="2">
        <f>IFERROR(__xludf.DUMMYFUNCTION("""COMPUTED_VALUE"""),226.0)</f>
        <v>226</v>
      </c>
      <c r="O14" s="1">
        <f t="shared" si="1"/>
        <v>2</v>
      </c>
      <c r="P14" s="1">
        <f t="shared" si="2"/>
        <v>0.03389830508</v>
      </c>
      <c r="Q14" s="11"/>
      <c r="R14" s="5">
        <f>IFERROR(__xludf.DUMMYFUNCTION("""COMPUTED_VALUE"""),193.0)</f>
        <v>193</v>
      </c>
      <c r="S14" s="5">
        <f>IFERROR(__xludf.DUMMYFUNCTION("""COMPUTED_VALUE"""),196.0)</f>
        <v>196</v>
      </c>
      <c r="T14" s="1">
        <f t="shared" si="3"/>
        <v>1</v>
      </c>
      <c r="U14" s="1">
        <f t="shared" si="4"/>
        <v>0.01694915254</v>
      </c>
      <c r="W14" s="10" t="s">
        <v>23</v>
      </c>
      <c r="AA14" s="11"/>
      <c r="AB14" s="8">
        <f>IFERROR(__xludf.DUMMYFUNCTION("""COMPUTED_VALUE"""),116.0)</f>
        <v>116</v>
      </c>
      <c r="AC14" s="8">
        <f>IFERROR(__xludf.DUMMYFUNCTION("""COMPUTED_VALUE"""),128.0)</f>
        <v>128</v>
      </c>
      <c r="AD14" s="1">
        <f t="shared" si="7"/>
        <v>1</v>
      </c>
      <c r="AE14" s="1">
        <f t="shared" si="8"/>
        <v>0.01694915254</v>
      </c>
      <c r="AF14" s="11"/>
      <c r="AG14" s="9">
        <f>IFERROR(__xludf.DUMMYFUNCTION("""COMPUTED_VALUE"""),324.0)</f>
        <v>324</v>
      </c>
      <c r="AH14" s="9">
        <f>IFERROR(__xludf.DUMMYFUNCTION("""COMPUTED_VALUE"""),345.0)</f>
        <v>345</v>
      </c>
      <c r="AI14" s="1">
        <f t="shared" si="9"/>
        <v>1</v>
      </c>
      <c r="AJ14" s="1">
        <f t="shared" si="10"/>
        <v>0.01694915254</v>
      </c>
    </row>
    <row r="15">
      <c r="A15" s="1">
        <v>1.0</v>
      </c>
      <c r="B15" s="2">
        <v>220.0</v>
      </c>
      <c r="C15" s="2">
        <v>220.0</v>
      </c>
      <c r="D15" s="5">
        <v>184.0</v>
      </c>
      <c r="E15" s="5">
        <v>187.0</v>
      </c>
      <c r="F15" s="7">
        <v>187.0</v>
      </c>
      <c r="G15" s="7">
        <v>187.0</v>
      </c>
      <c r="H15" s="8">
        <v>116.0</v>
      </c>
      <c r="I15" s="8">
        <v>126.0</v>
      </c>
      <c r="J15" s="9">
        <v>339.0</v>
      </c>
      <c r="K15" s="9">
        <v>339.0</v>
      </c>
      <c r="M15" s="2">
        <f>IFERROR(__xludf.DUMMYFUNCTION("""COMPUTED_VALUE"""),222.0)</f>
        <v>222</v>
      </c>
      <c r="N15" s="2">
        <f>IFERROR(__xludf.DUMMYFUNCTION("""COMPUTED_VALUE"""),222.0)</f>
        <v>222</v>
      </c>
      <c r="O15" s="1">
        <f t="shared" si="1"/>
        <v>25</v>
      </c>
      <c r="P15" s="1">
        <f t="shared" si="2"/>
        <v>0.4237288136</v>
      </c>
      <c r="Q15" s="11"/>
      <c r="R15" s="5">
        <f>IFERROR(__xludf.DUMMYFUNCTION("""COMPUTED_VALUE"""),191.0)</f>
        <v>191</v>
      </c>
      <c r="S15" s="5">
        <f>IFERROR(__xludf.DUMMYFUNCTION("""COMPUTED_VALUE"""),195.0)</f>
        <v>195</v>
      </c>
      <c r="T15" s="1">
        <f t="shared" si="3"/>
        <v>1</v>
      </c>
      <c r="U15" s="1">
        <f t="shared" si="4"/>
        <v>0.01694915254</v>
      </c>
      <c r="W15" s="1">
        <f>SUM(W9+W11+W13)</f>
        <v>1</v>
      </c>
      <c r="X15" s="1">
        <f>SUM(X9:X13)</f>
        <v>0.7996265441</v>
      </c>
      <c r="AB15" s="8">
        <f>IFERROR(__xludf.DUMMYFUNCTION("""COMPUTED_VALUE"""),122.0)</f>
        <v>122</v>
      </c>
      <c r="AC15" s="8">
        <f>IFERROR(__xludf.DUMMYFUNCTION("""COMPUTED_VALUE"""),126.0)</f>
        <v>126</v>
      </c>
      <c r="AD15" s="1">
        <f t="shared" si="7"/>
        <v>3</v>
      </c>
      <c r="AE15" s="1">
        <f t="shared" si="8"/>
        <v>0.05084745763</v>
      </c>
      <c r="AF15" s="11"/>
      <c r="AG15" s="9">
        <f>IFERROR(__xludf.DUMMYFUNCTION("""COMPUTED_VALUE"""),315.0)</f>
        <v>315</v>
      </c>
      <c r="AH15" s="9">
        <f>IFERROR(__xludf.DUMMYFUNCTION("""COMPUTED_VALUE"""),339.0)</f>
        <v>339</v>
      </c>
      <c r="AI15" s="1">
        <f t="shared" si="9"/>
        <v>1</v>
      </c>
      <c r="AJ15" s="1">
        <f t="shared" si="10"/>
        <v>0.01694915254</v>
      </c>
    </row>
    <row r="16">
      <c r="A16" s="1">
        <v>1.0</v>
      </c>
      <c r="B16" s="2">
        <v>220.0</v>
      </c>
      <c r="C16" s="2">
        <v>220.0</v>
      </c>
      <c r="D16" s="5">
        <v>187.0</v>
      </c>
      <c r="E16" s="5">
        <v>195.0</v>
      </c>
      <c r="F16" s="7">
        <v>187.0</v>
      </c>
      <c r="G16" s="7">
        <v>187.0</v>
      </c>
      <c r="H16" s="8">
        <v>118.0</v>
      </c>
      <c r="I16" s="8">
        <v>118.0</v>
      </c>
      <c r="J16" s="9">
        <v>332.0</v>
      </c>
      <c r="K16" s="9">
        <v>339.0</v>
      </c>
      <c r="M16" s="2">
        <f>IFERROR(__xludf.DUMMYFUNCTION("""COMPUTED_VALUE"""),222.0)</f>
        <v>222</v>
      </c>
      <c r="N16" s="2">
        <f>IFERROR(__xludf.DUMMYFUNCTION("""COMPUTED_VALUE"""),226.0)</f>
        <v>226</v>
      </c>
      <c r="O16" s="1">
        <f t="shared" si="1"/>
        <v>1</v>
      </c>
      <c r="P16" s="1">
        <f t="shared" si="2"/>
        <v>0.01694915254</v>
      </c>
      <c r="Q16" s="11"/>
      <c r="R16" s="5">
        <f>IFERROR(__xludf.DUMMYFUNCTION("""COMPUTED_VALUE"""),193.0)</f>
        <v>193</v>
      </c>
      <c r="S16" s="5">
        <f>IFERROR(__xludf.DUMMYFUNCTION("""COMPUTED_VALUE"""),193.0)</f>
        <v>193</v>
      </c>
      <c r="T16" s="1">
        <f t="shared" si="3"/>
        <v>3</v>
      </c>
      <c r="U16" s="1">
        <f t="shared" si="4"/>
        <v>0.05084745763</v>
      </c>
      <c r="W16" s="10" t="s">
        <v>24</v>
      </c>
      <c r="X16" s="10" t="s">
        <v>25</v>
      </c>
      <c r="AB16" s="8">
        <f>IFERROR(__xludf.DUMMYFUNCTION("""COMPUTED_VALUE"""),118.0)</f>
        <v>118</v>
      </c>
      <c r="AC16" s="8">
        <f>IFERROR(__xludf.DUMMYFUNCTION("""COMPUTED_VALUE"""),122.0)</f>
        <v>122</v>
      </c>
      <c r="AD16" s="1">
        <f t="shared" si="7"/>
        <v>2</v>
      </c>
      <c r="AE16" s="1">
        <f t="shared" si="8"/>
        <v>0.03389830508</v>
      </c>
      <c r="AF16" s="11"/>
      <c r="AG16" s="9">
        <f>IFERROR(__xludf.DUMMYFUNCTION("""COMPUTED_VALUE"""),315.0)</f>
        <v>315</v>
      </c>
      <c r="AH16" s="9">
        <f>IFERROR(__xludf.DUMMYFUNCTION("""COMPUTED_VALUE"""),332.0)</f>
        <v>332</v>
      </c>
      <c r="AI16" s="1">
        <f t="shared" si="9"/>
        <v>2</v>
      </c>
      <c r="AJ16" s="1">
        <f t="shared" si="10"/>
        <v>0.03389830508</v>
      </c>
    </row>
    <row r="17">
      <c r="A17" s="1">
        <v>1.0</v>
      </c>
      <c r="B17" s="2">
        <v>220.0</v>
      </c>
      <c r="C17" s="2">
        <v>220.0</v>
      </c>
      <c r="D17" s="5">
        <v>184.0</v>
      </c>
      <c r="E17" s="5">
        <v>196.0</v>
      </c>
      <c r="F17" s="7">
        <v>187.0</v>
      </c>
      <c r="G17" s="7">
        <v>187.0</v>
      </c>
      <c r="H17" s="8">
        <v>126.0</v>
      </c>
      <c r="I17" s="8">
        <v>128.0</v>
      </c>
      <c r="J17" s="9">
        <v>332.0</v>
      </c>
      <c r="K17" s="9">
        <v>336.0</v>
      </c>
      <c r="M17" s="2">
        <f>IFERROR(__xludf.DUMMYFUNCTION("""COMPUTED_VALUE"""),224.0)</f>
        <v>224</v>
      </c>
      <c r="N17" s="2">
        <f>IFERROR(__xludf.DUMMYFUNCTION("""COMPUTED_VALUE"""),224.0)</f>
        <v>224</v>
      </c>
      <c r="O17" s="1">
        <f t="shared" si="1"/>
        <v>2</v>
      </c>
      <c r="P17" s="1">
        <f t="shared" si="2"/>
        <v>0.03389830508</v>
      </c>
      <c r="Q17" s="14" t="s">
        <v>14</v>
      </c>
      <c r="R17" s="5">
        <f>IFERROR(__xludf.DUMMYFUNCTION("""COMPUTED_VALUE"""),195.0)</f>
        <v>195</v>
      </c>
      <c r="S17" s="5">
        <f>IFERROR(__xludf.DUMMYFUNCTION("""COMPUTED_VALUE"""),196.0)</f>
        <v>196</v>
      </c>
      <c r="T17" s="1">
        <f t="shared" si="3"/>
        <v>1</v>
      </c>
      <c r="U17" s="1">
        <f t="shared" si="4"/>
        <v>0.01694915254</v>
      </c>
      <c r="AA17" s="11"/>
      <c r="AB17" s="8">
        <f>IFERROR(__xludf.DUMMYFUNCTION("""COMPUTED_VALUE"""),120.0)</f>
        <v>120</v>
      </c>
      <c r="AC17" s="8">
        <f>IFERROR(__xludf.DUMMYFUNCTION("""COMPUTED_VALUE"""),128.0)</f>
        <v>128</v>
      </c>
      <c r="AD17" s="1">
        <f t="shared" si="7"/>
        <v>1</v>
      </c>
      <c r="AE17" s="1">
        <f t="shared" si="8"/>
        <v>0.01694915254</v>
      </c>
      <c r="AF17" s="11"/>
      <c r="AG17" s="9">
        <f>IFERROR(__xludf.DUMMYFUNCTION("""COMPUTED_VALUE"""),330.0)</f>
        <v>330</v>
      </c>
      <c r="AH17" s="9">
        <f>IFERROR(__xludf.DUMMYFUNCTION("""COMPUTED_VALUE"""),332.0)</f>
        <v>332</v>
      </c>
      <c r="AI17" s="1">
        <f t="shared" si="9"/>
        <v>4</v>
      </c>
      <c r="AJ17" s="1">
        <f t="shared" si="10"/>
        <v>0.06779661017</v>
      </c>
    </row>
    <row r="18">
      <c r="A18" s="1">
        <v>1.0</v>
      </c>
      <c r="B18" s="2">
        <v>220.0</v>
      </c>
      <c r="C18" s="2">
        <v>220.0</v>
      </c>
      <c r="D18" s="5">
        <v>184.0</v>
      </c>
      <c r="E18" s="5">
        <v>191.0</v>
      </c>
      <c r="F18" s="7">
        <v>187.0</v>
      </c>
      <c r="G18" s="7">
        <v>187.0</v>
      </c>
      <c r="H18" s="8">
        <v>116.0</v>
      </c>
      <c r="I18" s="8">
        <v>118.0</v>
      </c>
      <c r="J18" s="9">
        <v>321.0</v>
      </c>
      <c r="K18" s="9">
        <v>321.0</v>
      </c>
      <c r="M18" s="10" t="s">
        <v>16</v>
      </c>
      <c r="Q18" s="15">
        <f>SUM(P3+P5+P6+P9+P10+P12+P13+P14+P16)</f>
        <v>0.3728813559</v>
      </c>
      <c r="R18" s="5">
        <f>IFERROR(__xludf.DUMMYFUNCTION("""COMPUTED_VALUE"""),184.0)</f>
        <v>184</v>
      </c>
      <c r="S18" s="5">
        <f>IFERROR(__xludf.DUMMYFUNCTION("""COMPUTED_VALUE"""),189.0)</f>
        <v>189</v>
      </c>
      <c r="T18" s="1">
        <f t="shared" si="3"/>
        <v>1</v>
      </c>
      <c r="U18" s="1">
        <f t="shared" si="4"/>
        <v>0.01694915254</v>
      </c>
      <c r="AA18" s="11"/>
      <c r="AB18" s="8">
        <f>IFERROR(__xludf.DUMMYFUNCTION("""COMPUTED_VALUE"""),120.0)</f>
        <v>120</v>
      </c>
      <c r="AC18" s="8">
        <f>IFERROR(__xludf.DUMMYFUNCTION("""COMPUTED_VALUE"""),130.0)</f>
        <v>130</v>
      </c>
      <c r="AD18" s="1">
        <f t="shared" si="7"/>
        <v>1</v>
      </c>
      <c r="AE18" s="1">
        <f t="shared" si="8"/>
        <v>0.01694915254</v>
      </c>
      <c r="AF18" s="11"/>
      <c r="AG18" s="9">
        <f>IFERROR(__xludf.DUMMYFUNCTION("""COMPUTED_VALUE"""),315.0)</f>
        <v>315</v>
      </c>
      <c r="AH18" s="9">
        <f>IFERROR(__xludf.DUMMYFUNCTION("""COMPUTED_VALUE"""),330.0)</f>
        <v>330</v>
      </c>
      <c r="AI18" s="1">
        <f t="shared" si="9"/>
        <v>2</v>
      </c>
      <c r="AJ18" s="1">
        <f t="shared" si="10"/>
        <v>0.03389830508</v>
      </c>
    </row>
    <row r="19">
      <c r="A19" s="1">
        <v>1.0</v>
      </c>
      <c r="B19" s="2">
        <v>220.0</v>
      </c>
      <c r="C19" s="2">
        <v>222.0</v>
      </c>
      <c r="D19" s="5">
        <v>187.0</v>
      </c>
      <c r="E19" s="5">
        <v>191.0</v>
      </c>
      <c r="F19" s="7">
        <v>182.0</v>
      </c>
      <c r="G19" s="7">
        <v>187.0</v>
      </c>
      <c r="H19" s="8">
        <v>124.0</v>
      </c>
      <c r="I19" s="8">
        <v>126.0</v>
      </c>
      <c r="J19" s="9">
        <v>332.0</v>
      </c>
      <c r="K19" s="9">
        <v>345.0</v>
      </c>
      <c r="L19" s="10" t="s">
        <v>15</v>
      </c>
      <c r="M19" s="10" t="s">
        <v>26</v>
      </c>
      <c r="N19" s="10" t="s">
        <v>17</v>
      </c>
      <c r="O19" s="13" t="s">
        <v>13</v>
      </c>
      <c r="P19" s="5">
        <f>SUM(P2:P17)</f>
        <v>1</v>
      </c>
      <c r="Q19" s="14" t="s">
        <v>19</v>
      </c>
      <c r="R19" s="5">
        <f>IFERROR(__xludf.DUMMYFUNCTION("""COMPUTED_VALUE"""),193.0)</f>
        <v>193</v>
      </c>
      <c r="S19" s="5">
        <f>IFERROR(__xludf.DUMMYFUNCTION("""COMPUTED_VALUE"""),195.0)</f>
        <v>195</v>
      </c>
      <c r="T19" s="1">
        <f t="shared" si="3"/>
        <v>2</v>
      </c>
      <c r="U19" s="1">
        <f t="shared" si="4"/>
        <v>0.03389830508</v>
      </c>
      <c r="AA19" s="11"/>
      <c r="AB19" s="8">
        <f>IFERROR(__xludf.DUMMYFUNCTION("""COMPUTED_VALUE"""),118.0)</f>
        <v>118</v>
      </c>
      <c r="AC19" s="8">
        <f>IFERROR(__xludf.DUMMYFUNCTION("""COMPUTED_VALUE"""),128.0)</f>
        <v>128</v>
      </c>
      <c r="AD19" s="1">
        <f t="shared" si="7"/>
        <v>3</v>
      </c>
      <c r="AE19" s="1">
        <f t="shared" si="8"/>
        <v>0.05084745763</v>
      </c>
      <c r="AF19" s="11"/>
      <c r="AG19" s="9">
        <f>IFERROR(__xludf.DUMMYFUNCTION("""COMPUTED_VALUE"""),319.0)</f>
        <v>319</v>
      </c>
      <c r="AH19" s="9">
        <f>IFERROR(__xludf.DUMMYFUNCTION("""COMPUTED_VALUE"""),339.0)</f>
        <v>339</v>
      </c>
      <c r="AI19" s="1">
        <f t="shared" si="9"/>
        <v>2</v>
      </c>
      <c r="AJ19" s="1">
        <f t="shared" si="10"/>
        <v>0.03389830508</v>
      </c>
    </row>
    <row r="20">
      <c r="A20" s="1">
        <v>1.0</v>
      </c>
      <c r="B20" s="2">
        <v>220.0</v>
      </c>
      <c r="C20" s="2">
        <v>222.0</v>
      </c>
      <c r="D20" s="5">
        <v>184.0</v>
      </c>
      <c r="E20" s="5">
        <v>195.0</v>
      </c>
      <c r="F20" s="7">
        <v>187.0</v>
      </c>
      <c r="G20" s="7">
        <v>187.0</v>
      </c>
      <c r="H20" s="8">
        <v>120.0</v>
      </c>
      <c r="I20" s="8">
        <v>126.0</v>
      </c>
      <c r="J20" s="9">
        <v>317.0</v>
      </c>
      <c r="K20" s="9">
        <v>332.0</v>
      </c>
      <c r="L20" s="1">
        <f>M20*1/2</f>
        <v>0.008474576271</v>
      </c>
      <c r="M20" s="10">
        <f>SUM(P2)</f>
        <v>0.01694915254</v>
      </c>
      <c r="N20" s="1">
        <f>M20^2</f>
        <v>0.0002872737719</v>
      </c>
      <c r="Q20" s="15">
        <f>1-(N38)</f>
        <v>0.6564205688</v>
      </c>
      <c r="AA20" s="11"/>
      <c r="AB20" s="8">
        <f>IFERROR(__xludf.DUMMYFUNCTION("""COMPUTED_VALUE"""),124.0)</f>
        <v>124</v>
      </c>
      <c r="AC20" s="8">
        <f>IFERROR(__xludf.DUMMYFUNCTION("""COMPUTED_VALUE"""),128.0)</f>
        <v>128</v>
      </c>
      <c r="AD20" s="1">
        <f t="shared" si="7"/>
        <v>1</v>
      </c>
      <c r="AE20" s="1">
        <f t="shared" si="8"/>
        <v>0.01694915254</v>
      </c>
      <c r="AF20" s="11"/>
      <c r="AG20" s="9">
        <f>IFERROR(__xludf.DUMMYFUNCTION("""COMPUTED_VALUE"""),319.0)</f>
        <v>319</v>
      </c>
      <c r="AH20" s="9">
        <f>IFERROR(__xludf.DUMMYFUNCTION("""COMPUTED_VALUE"""),324.0)</f>
        <v>324</v>
      </c>
      <c r="AI20" s="1">
        <f t="shared" si="9"/>
        <v>1</v>
      </c>
      <c r="AJ20" s="1">
        <f t="shared" si="10"/>
        <v>0.01694915254</v>
      </c>
    </row>
    <row r="21">
      <c r="A21" s="1">
        <v>1.0</v>
      </c>
      <c r="B21" s="2">
        <v>220.0</v>
      </c>
      <c r="C21" s="2">
        <v>222.0</v>
      </c>
      <c r="D21" s="5">
        <v>184.0</v>
      </c>
      <c r="E21" s="5">
        <v>191.0</v>
      </c>
      <c r="F21" s="7">
        <v>187.0</v>
      </c>
      <c r="G21" s="7">
        <v>187.0</v>
      </c>
      <c r="H21" s="8">
        <v>116.0</v>
      </c>
      <c r="I21" s="8">
        <v>128.0</v>
      </c>
      <c r="J21" s="9">
        <v>324.0</v>
      </c>
      <c r="K21" s="9">
        <v>345.0</v>
      </c>
      <c r="M21" s="10" t="s">
        <v>27</v>
      </c>
      <c r="Q21" s="14" t="s">
        <v>21</v>
      </c>
      <c r="T21" s="13" t="s">
        <v>13</v>
      </c>
      <c r="U21" s="5">
        <f>SUM(U2:U19)</f>
        <v>1</v>
      </c>
      <c r="V21" s="14" t="s">
        <v>14</v>
      </c>
      <c r="AA21" s="11"/>
      <c r="AB21" s="8">
        <f>IFERROR(__xludf.DUMMYFUNCTION("""COMPUTED_VALUE"""),126.0)</f>
        <v>126</v>
      </c>
      <c r="AC21" s="8">
        <f>IFERROR(__xludf.DUMMYFUNCTION("""COMPUTED_VALUE"""),130.0)</f>
        <v>130</v>
      </c>
      <c r="AD21" s="1">
        <f t="shared" si="7"/>
        <v>1</v>
      </c>
      <c r="AE21" s="1">
        <f t="shared" si="8"/>
        <v>0.01694915254</v>
      </c>
      <c r="AF21" s="11"/>
      <c r="AG21" s="9">
        <f>IFERROR(__xludf.DUMMYFUNCTION("""COMPUTED_VALUE"""),324.0)</f>
        <v>324</v>
      </c>
      <c r="AH21" s="9">
        <f>IFERROR(__xludf.DUMMYFUNCTION("""COMPUTED_VALUE"""),332.0)</f>
        <v>332</v>
      </c>
      <c r="AI21" s="1">
        <f t="shared" si="9"/>
        <v>2</v>
      </c>
      <c r="AJ21" s="1">
        <f t="shared" si="10"/>
        <v>0.03389830508</v>
      </c>
    </row>
    <row r="22">
      <c r="A22" s="1">
        <v>1.0</v>
      </c>
      <c r="B22" s="2">
        <v>220.0</v>
      </c>
      <c r="C22" s="2">
        <v>222.0</v>
      </c>
      <c r="D22" s="5">
        <v>184.0</v>
      </c>
      <c r="E22" s="5">
        <v>187.0</v>
      </c>
      <c r="F22" s="7">
        <v>187.0</v>
      </c>
      <c r="G22" s="7">
        <v>187.0</v>
      </c>
      <c r="H22" s="8">
        <v>122.0</v>
      </c>
      <c r="I22" s="8">
        <v>126.0</v>
      </c>
      <c r="J22" s="9">
        <v>315.0</v>
      </c>
      <c r="K22" s="9">
        <v>339.0</v>
      </c>
      <c r="L22" s="1">
        <f>M22*1/2</f>
        <v>0.004237288136</v>
      </c>
      <c r="M22" s="10">
        <f>1/2*P4</f>
        <v>0.008474576271</v>
      </c>
      <c r="N22" s="1">
        <f>M22^2</f>
        <v>0.00007181844298</v>
      </c>
      <c r="Q22" s="15">
        <f>(Q20-Q18)/Q20</f>
        <v>0.4319474836</v>
      </c>
      <c r="R22" s="10" t="s">
        <v>16</v>
      </c>
      <c r="S22" s="10" t="s">
        <v>17</v>
      </c>
      <c r="V22" s="15">
        <f>SUM(U2,U4,U5,U6,U8,U9,U10,U11,U12,U13,U14,U15,U17,U18,U19)</f>
        <v>0.7627118644</v>
      </c>
      <c r="AA22" s="11"/>
      <c r="AB22" s="8">
        <f>IFERROR(__xludf.DUMMYFUNCTION("""COMPUTED_VALUE"""),116.0)</f>
        <v>116</v>
      </c>
      <c r="AC22" s="8">
        <f>IFERROR(__xludf.DUMMYFUNCTION("""COMPUTED_VALUE"""),122.0)</f>
        <v>122</v>
      </c>
      <c r="AD22" s="1">
        <f t="shared" si="7"/>
        <v>1</v>
      </c>
      <c r="AE22" s="1">
        <f t="shared" si="8"/>
        <v>0.01694915254</v>
      </c>
      <c r="AF22" s="11"/>
      <c r="AG22" s="9">
        <f>IFERROR(__xludf.DUMMYFUNCTION("""COMPUTED_VALUE"""),321.0)</f>
        <v>321</v>
      </c>
      <c r="AH22" s="9">
        <f>IFERROR(__xludf.DUMMYFUNCTION("""COMPUTED_VALUE"""),330.0)</f>
        <v>330</v>
      </c>
      <c r="AI22" s="1">
        <f t="shared" si="9"/>
        <v>2</v>
      </c>
      <c r="AJ22" s="1">
        <f t="shared" si="10"/>
        <v>0.03389830508</v>
      </c>
    </row>
    <row r="23">
      <c r="A23" s="1">
        <v>1.0</v>
      </c>
      <c r="B23" s="2">
        <v>220.0</v>
      </c>
      <c r="C23" s="2">
        <v>222.0</v>
      </c>
      <c r="D23" s="5">
        <v>184.0</v>
      </c>
      <c r="E23" s="5">
        <v>191.0</v>
      </c>
      <c r="F23" s="7">
        <v>187.0</v>
      </c>
      <c r="G23" s="7">
        <v>187.0</v>
      </c>
      <c r="H23" s="8">
        <v>116.0</v>
      </c>
      <c r="I23" s="8">
        <v>118.0</v>
      </c>
      <c r="J23" s="9">
        <v>315.0</v>
      </c>
      <c r="K23" s="9">
        <v>332.0</v>
      </c>
      <c r="M23" s="10" t="s">
        <v>28</v>
      </c>
      <c r="Q23" s="10" t="s">
        <v>15</v>
      </c>
      <c r="R23" s="10" t="s">
        <v>18</v>
      </c>
      <c r="V23" s="14" t="s">
        <v>19</v>
      </c>
      <c r="AA23" s="11"/>
      <c r="AB23" s="8">
        <f>IFERROR(__xludf.DUMMYFUNCTION("""COMPUTED_VALUE"""),112.0)</f>
        <v>112</v>
      </c>
      <c r="AC23" s="8">
        <f>IFERROR(__xludf.DUMMYFUNCTION("""COMPUTED_VALUE"""),126.0)</f>
        <v>126</v>
      </c>
      <c r="AD23" s="1">
        <f t="shared" si="7"/>
        <v>1</v>
      </c>
      <c r="AE23" s="1">
        <f t="shared" si="8"/>
        <v>0.01694915254</v>
      </c>
      <c r="AG23" s="9">
        <f>IFERROR(__xludf.DUMMYFUNCTION("""COMPUTED_VALUE"""),324.0)</f>
        <v>324</v>
      </c>
      <c r="AH23" s="9">
        <f>IFERROR(__xludf.DUMMYFUNCTION("""COMPUTED_VALUE"""),330.0)</f>
        <v>330</v>
      </c>
      <c r="AI23" s="1">
        <f t="shared" si="9"/>
        <v>1</v>
      </c>
      <c r="AJ23" s="1">
        <f t="shared" si="10"/>
        <v>0.01694915254</v>
      </c>
    </row>
    <row r="24">
      <c r="A24" s="1">
        <v>1.0</v>
      </c>
      <c r="B24" s="2">
        <v>220.0</v>
      </c>
      <c r="C24" s="2">
        <v>222.0</v>
      </c>
      <c r="D24" s="5">
        <v>193.0</v>
      </c>
      <c r="E24" s="5">
        <v>196.0</v>
      </c>
      <c r="F24" s="7">
        <v>187.0</v>
      </c>
      <c r="G24" s="7">
        <v>187.0</v>
      </c>
      <c r="H24" s="8">
        <v>118.0</v>
      </c>
      <c r="I24" s="8">
        <v>126.0</v>
      </c>
      <c r="J24" s="9">
        <v>330.0</v>
      </c>
      <c r="K24" s="9">
        <v>332.0</v>
      </c>
      <c r="L24" s="1">
        <f>M24*1/2</f>
        <v>0.01694915254</v>
      </c>
      <c r="M24" s="1">
        <f>SUM(P4+(1/2*P5)+(1/2*P6))</f>
        <v>0.03389830508</v>
      </c>
      <c r="N24" s="1">
        <f>M24^2</f>
        <v>0.001149095088</v>
      </c>
      <c r="Q24" s="1">
        <f>R24*1/2</f>
        <v>0.1228813559</v>
      </c>
      <c r="R24" s="1">
        <f>SUM(U7+(1/2*U2)+(1/2*U6)+(1/2*U8)+(1/2*U9)+(1/2*U10))</f>
        <v>0.2457627119</v>
      </c>
      <c r="S24" s="1">
        <f>R24^2</f>
        <v>0.06039931054</v>
      </c>
      <c r="V24" s="15">
        <f>1-S38</f>
        <v>0.9506607297</v>
      </c>
      <c r="AB24" s="10" t="s">
        <v>16</v>
      </c>
      <c r="AF24" s="14" t="s">
        <v>14</v>
      </c>
      <c r="AG24" s="9">
        <f>IFERROR(__xludf.DUMMYFUNCTION("""COMPUTED_VALUE"""),317.0)</f>
        <v>317</v>
      </c>
      <c r="AH24" s="9">
        <f>IFERROR(__xludf.DUMMYFUNCTION("""COMPUTED_VALUE"""),330.0)</f>
        <v>330</v>
      </c>
      <c r="AI24" s="1">
        <f t="shared" si="9"/>
        <v>1</v>
      </c>
      <c r="AJ24" s="1">
        <f t="shared" si="10"/>
        <v>0.01694915254</v>
      </c>
    </row>
    <row r="25">
      <c r="A25" s="1">
        <v>1.0</v>
      </c>
      <c r="B25" s="2">
        <v>220.0</v>
      </c>
      <c r="C25" s="2">
        <v>222.0</v>
      </c>
      <c r="D25" s="5">
        <v>184.0</v>
      </c>
      <c r="E25" s="5">
        <v>184.0</v>
      </c>
      <c r="F25" s="7">
        <v>187.0</v>
      </c>
      <c r="G25" s="7">
        <v>187.0</v>
      </c>
      <c r="H25" s="8">
        <v>118.0</v>
      </c>
      <c r="I25" s="8">
        <v>126.0</v>
      </c>
      <c r="J25" s="9">
        <v>315.0</v>
      </c>
      <c r="K25" s="9">
        <v>330.0</v>
      </c>
      <c r="M25" s="10" t="s">
        <v>29</v>
      </c>
      <c r="R25" s="10" t="s">
        <v>30</v>
      </c>
      <c r="V25" s="14" t="s">
        <v>21</v>
      </c>
      <c r="AA25" s="10" t="s">
        <v>15</v>
      </c>
      <c r="AB25" s="10" t="s">
        <v>31</v>
      </c>
      <c r="AC25" s="10" t="s">
        <v>17</v>
      </c>
      <c r="AD25" s="13" t="s">
        <v>13</v>
      </c>
      <c r="AE25" s="5">
        <f>SUM(AE2:AE23)</f>
        <v>1</v>
      </c>
      <c r="AF25" s="15">
        <f>SUM(AE2,AE3,AE4,AE6,AE7,AE8,AE9,AE11,AE12,AE13,AE14,AE15,AE16,AE17,AE18,AE19,AE20,AE21,AE22,AE23)</f>
        <v>0.9152542373</v>
      </c>
      <c r="AG25" s="9">
        <f>IFERROR(__xludf.DUMMYFUNCTION("""COMPUTED_VALUE"""),315.0)</f>
        <v>315</v>
      </c>
      <c r="AH25" s="9">
        <f>IFERROR(__xludf.DUMMYFUNCTION("""COMPUTED_VALUE"""),336.0)</f>
        <v>336</v>
      </c>
      <c r="AI25" s="1">
        <f t="shared" si="9"/>
        <v>1</v>
      </c>
      <c r="AJ25" s="1">
        <f t="shared" si="10"/>
        <v>0.01694915254</v>
      </c>
    </row>
    <row r="26">
      <c r="A26" s="1">
        <v>1.0</v>
      </c>
      <c r="B26" s="2">
        <v>220.0</v>
      </c>
      <c r="C26" s="2">
        <v>222.0</v>
      </c>
      <c r="D26" s="5">
        <v>184.0</v>
      </c>
      <c r="E26" s="5">
        <v>187.0</v>
      </c>
      <c r="F26" s="7">
        <v>187.0</v>
      </c>
      <c r="G26" s="7">
        <v>187.0</v>
      </c>
      <c r="H26" s="8">
        <v>126.0</v>
      </c>
      <c r="I26" s="8">
        <v>128.0</v>
      </c>
      <c r="J26" s="9">
        <v>336.0</v>
      </c>
      <c r="K26" s="9">
        <v>339.0</v>
      </c>
      <c r="L26" s="1">
        <f>M26*1/2</f>
        <v>0.008474576271</v>
      </c>
      <c r="M26" s="1">
        <f>SUM(P7)</f>
        <v>0.01694915254</v>
      </c>
      <c r="N26" s="1">
        <f>M26^2</f>
        <v>0.0002872737719</v>
      </c>
      <c r="Q26" s="1">
        <f>R26*1/2</f>
        <v>0.1694915254</v>
      </c>
      <c r="R26" s="1">
        <f>SUM(U3+(1/2*U4)+(1/2*U6)+(1/2*U11)+(1/2*U12)+(1/2*U13)+(1/2*U18))</f>
        <v>0.3389830508</v>
      </c>
      <c r="S26" s="1">
        <f>R26^2</f>
        <v>0.1149095088</v>
      </c>
      <c r="V26" s="15">
        <f>(V24-V22)/V24</f>
        <v>0.1977034071</v>
      </c>
      <c r="AA26" s="1">
        <f>AB26/2</f>
        <v>0.01271186441</v>
      </c>
      <c r="AB26" s="1">
        <f>SUM((1/2*AE23)+(1/2*AE7))</f>
        <v>0.02542372881</v>
      </c>
      <c r="AC26" s="1">
        <f>AB26^2</f>
        <v>0.0006463659868</v>
      </c>
      <c r="AF26" s="14" t="s">
        <v>19</v>
      </c>
      <c r="AG26" s="9">
        <f>IFERROR(__xludf.DUMMYFUNCTION("""COMPUTED_VALUE"""),336.0)</f>
        <v>336</v>
      </c>
      <c r="AH26" s="9">
        <f>IFERROR(__xludf.DUMMYFUNCTION("""COMPUTED_VALUE"""),345.0)</f>
        <v>345</v>
      </c>
      <c r="AI26" s="1">
        <f t="shared" si="9"/>
        <v>1</v>
      </c>
      <c r="AJ26" s="1">
        <f t="shared" si="10"/>
        <v>0.01694915254</v>
      </c>
    </row>
    <row r="27">
      <c r="A27" s="1">
        <v>1.0</v>
      </c>
      <c r="B27" s="2">
        <v>220.0</v>
      </c>
      <c r="C27" s="2">
        <v>222.0</v>
      </c>
      <c r="D27" s="5">
        <v>191.0</v>
      </c>
      <c r="E27" s="5">
        <v>195.0</v>
      </c>
      <c r="F27" s="7">
        <v>187.0</v>
      </c>
      <c r="G27" s="7">
        <v>187.0</v>
      </c>
      <c r="H27" s="8">
        <v>118.0</v>
      </c>
      <c r="I27" s="8">
        <v>126.0</v>
      </c>
      <c r="J27" s="9">
        <v>319.0</v>
      </c>
      <c r="K27" s="9">
        <v>339.0</v>
      </c>
      <c r="M27" s="10" t="s">
        <v>32</v>
      </c>
      <c r="R27" s="10" t="s">
        <v>33</v>
      </c>
      <c r="AB27" s="10" t="s">
        <v>34</v>
      </c>
      <c r="AF27" s="15">
        <f>1-AC44</f>
        <v>0.8032174662</v>
      </c>
      <c r="AG27" s="9">
        <f>IFERROR(__xludf.DUMMYFUNCTION("""COMPUTED_VALUE"""),321.0)</f>
        <v>321</v>
      </c>
      <c r="AH27" s="9">
        <f>IFERROR(__xludf.DUMMYFUNCTION("""COMPUTED_VALUE"""),336.0)</f>
        <v>336</v>
      </c>
      <c r="AI27" s="1">
        <f t="shared" si="9"/>
        <v>2</v>
      </c>
      <c r="AJ27" s="1">
        <f t="shared" si="10"/>
        <v>0.03389830508</v>
      </c>
    </row>
    <row r="28">
      <c r="A28" s="1">
        <v>1.0</v>
      </c>
      <c r="B28" s="2">
        <v>220.0</v>
      </c>
      <c r="C28" s="2">
        <v>224.0</v>
      </c>
      <c r="D28" s="5">
        <v>184.0</v>
      </c>
      <c r="E28" s="5">
        <v>193.0</v>
      </c>
      <c r="F28" s="7">
        <v>187.0</v>
      </c>
      <c r="G28" s="7">
        <v>187.0</v>
      </c>
      <c r="H28" s="8">
        <v>118.0</v>
      </c>
      <c r="I28" s="8">
        <v>126.0</v>
      </c>
      <c r="J28" s="9">
        <v>319.0</v>
      </c>
      <c r="K28" s="9">
        <v>324.0</v>
      </c>
      <c r="L28" s="1">
        <f>M28*1/2</f>
        <v>0.03813559322</v>
      </c>
      <c r="M28" s="1">
        <f>SUM(P8+(1/2*P9)+(1/2*P10))</f>
        <v>0.07627118644</v>
      </c>
      <c r="N28" s="1">
        <f>M28^2</f>
        <v>0.005817293881</v>
      </c>
      <c r="Q28" s="1">
        <f>R28*1/2</f>
        <v>0.03813559322</v>
      </c>
      <c r="R28" s="1">
        <f>SUM((1/2*U5)+(1/2*U8)+(1/2*U11)+(1/2*U15))</f>
        <v>0.07627118644</v>
      </c>
      <c r="S28" s="1">
        <f>R28^2</f>
        <v>0.005817293881</v>
      </c>
      <c r="AA28" s="1">
        <f>AB28/2</f>
        <v>0.03389830508</v>
      </c>
      <c r="AB28" s="1">
        <f>SUM((1/2*AE11)+(1/2*AE12)+(1/2*AE14+(1/2*AE22)))</f>
        <v>0.06779661017</v>
      </c>
      <c r="AC28" s="1">
        <f>AB28^2</f>
        <v>0.00459638035</v>
      </c>
      <c r="AF28" s="14" t="s">
        <v>21</v>
      </c>
      <c r="AG28" s="9">
        <f>IFERROR(__xludf.DUMMYFUNCTION("""COMPUTED_VALUE"""),319.0)</f>
        <v>319</v>
      </c>
      <c r="AH28" s="9">
        <f>IFERROR(__xludf.DUMMYFUNCTION("""COMPUTED_VALUE"""),332.0)</f>
        <v>332</v>
      </c>
      <c r="AI28" s="1">
        <f t="shared" si="9"/>
        <v>1</v>
      </c>
      <c r="AJ28" s="1">
        <f t="shared" si="10"/>
        <v>0.01694915254</v>
      </c>
    </row>
    <row r="29">
      <c r="A29" s="1">
        <v>1.0</v>
      </c>
      <c r="B29" s="2">
        <v>220.0</v>
      </c>
      <c r="C29" s="2">
        <v>224.0</v>
      </c>
      <c r="D29" s="5">
        <v>193.0</v>
      </c>
      <c r="E29" s="5">
        <v>193.0</v>
      </c>
      <c r="F29" s="7">
        <v>187.0</v>
      </c>
      <c r="G29" s="7">
        <v>187.0</v>
      </c>
      <c r="H29" s="8">
        <v>118.0</v>
      </c>
      <c r="I29" s="8">
        <v>122.0</v>
      </c>
      <c r="J29" s="9">
        <v>324.0</v>
      </c>
      <c r="K29" s="9">
        <v>332.0</v>
      </c>
      <c r="M29" s="10" t="s">
        <v>35</v>
      </c>
      <c r="R29" s="10" t="s">
        <v>36</v>
      </c>
      <c r="AB29" s="10" t="s">
        <v>37</v>
      </c>
      <c r="AF29" s="15">
        <f>(AF27-AF25)/AF27</f>
        <v>-0.1394849785</v>
      </c>
      <c r="AG29" s="10" t="s">
        <v>16</v>
      </c>
      <c r="AH29" s="10" t="s">
        <v>17</v>
      </c>
    </row>
    <row r="30">
      <c r="A30" s="1">
        <v>1.0</v>
      </c>
      <c r="B30" s="2">
        <v>220.0</v>
      </c>
      <c r="C30" s="2">
        <v>224.0</v>
      </c>
      <c r="D30" s="5">
        <v>184.0</v>
      </c>
      <c r="E30" s="5">
        <v>184.0</v>
      </c>
      <c r="F30" s="7">
        <v>187.0</v>
      </c>
      <c r="G30" s="7">
        <v>187.0</v>
      </c>
      <c r="H30" s="8">
        <v>118.0</v>
      </c>
      <c r="I30" s="8">
        <v>126.0</v>
      </c>
      <c r="J30" s="9">
        <v>332.0</v>
      </c>
      <c r="K30" s="9">
        <v>339.0</v>
      </c>
      <c r="L30" s="1">
        <f>M30*1/2</f>
        <v>0.1101694915</v>
      </c>
      <c r="M30" s="1">
        <f>SUM(P11+(1/2*P12)+(1/2*P3)+(1/2*P5)+(1/2*P9)+(1/2*P13)+(1/2*P14))</f>
        <v>0.2203389831</v>
      </c>
      <c r="N30" s="1">
        <f>M30^2</f>
        <v>0.04854926745</v>
      </c>
      <c r="Q30" s="1">
        <f>R30*1/2</f>
        <v>0.08474576271</v>
      </c>
      <c r="R30" s="1">
        <f>SUM(U16+(1/2*U2)+(1/2*U4)+(1/2*U5)+(1/2*U14)+(1/2*U19))</f>
        <v>0.1694915254</v>
      </c>
      <c r="S30" s="1">
        <f>R30^2</f>
        <v>0.02872737719</v>
      </c>
      <c r="AA30" s="1">
        <f>AB30/2</f>
        <v>0.1483050847</v>
      </c>
      <c r="AB30" s="1">
        <f>SUM((1/2*AE3)+(1/2*AE4)+(1/2*AE9)+AE5+(1/2*AE12)+(1/2*AE16)+(1/2*AE19))</f>
        <v>0.2966101695</v>
      </c>
      <c r="AC30" s="1">
        <f>AB30^2</f>
        <v>0.08797759265</v>
      </c>
      <c r="AF30" s="10" t="s">
        <v>15</v>
      </c>
      <c r="AG30" s="10" t="s">
        <v>38</v>
      </c>
      <c r="AI30" s="13" t="s">
        <v>13</v>
      </c>
      <c r="AJ30" s="5">
        <f>SUM(AJ2:AJ28)</f>
        <v>1</v>
      </c>
      <c r="AK30" s="14" t="s">
        <v>14</v>
      </c>
    </row>
    <row r="31">
      <c r="A31" s="1">
        <v>1.0</v>
      </c>
      <c r="B31" s="2">
        <v>220.0</v>
      </c>
      <c r="C31" s="2">
        <v>226.0</v>
      </c>
      <c r="D31" s="5">
        <v>187.0</v>
      </c>
      <c r="E31" s="5">
        <v>196.0</v>
      </c>
      <c r="F31" s="7">
        <v>182.0</v>
      </c>
      <c r="G31" s="7">
        <v>187.0</v>
      </c>
      <c r="H31" s="8">
        <v>122.0</v>
      </c>
      <c r="I31" s="8">
        <v>126.0</v>
      </c>
      <c r="J31" s="9">
        <v>321.0</v>
      </c>
      <c r="K31" s="9">
        <v>330.0</v>
      </c>
      <c r="M31" s="10" t="s">
        <v>39</v>
      </c>
      <c r="R31" s="10" t="s">
        <v>40</v>
      </c>
      <c r="AB31" s="10" t="s">
        <v>41</v>
      </c>
      <c r="AF31" s="1">
        <f>AG31/2</f>
        <v>0.03389830508</v>
      </c>
      <c r="AG31" s="1">
        <f>SUM((1/2*AJ6)+(1/2*AJ8)+(1/2*AJ15)+(1/2*AJ16)+(1/2*AJ18)+(1/2*AJ25))</f>
        <v>0.06779661017</v>
      </c>
      <c r="AH31" s="1">
        <f>AG31^2</f>
        <v>0.00459638035</v>
      </c>
      <c r="AK31" s="15">
        <f>SUM(,AJ2,AJ3,AJ4,AJ6,AJ7,AJ8,AJ9,AJ10,AJ12,AJ13,AJ14,AJ15,AJ16,AJ17,AJ18,AJ19,AJ20,AJ21,AJ22,AJ23,AJ24,AJ25,AJ26,AJ27,AJ28)</f>
        <v>0.9152542373</v>
      </c>
    </row>
    <row r="32">
      <c r="A32" s="1">
        <v>1.0</v>
      </c>
      <c r="B32" s="2">
        <v>220.0</v>
      </c>
      <c r="C32" s="2">
        <v>226.0</v>
      </c>
      <c r="D32" s="5">
        <v>187.0</v>
      </c>
      <c r="E32" s="5">
        <v>196.0</v>
      </c>
      <c r="F32" s="7">
        <v>182.0</v>
      </c>
      <c r="G32" s="7">
        <v>187.0</v>
      </c>
      <c r="H32" s="8">
        <v>120.0</v>
      </c>
      <c r="I32" s="8">
        <v>128.0</v>
      </c>
      <c r="J32" s="9">
        <v>321.0</v>
      </c>
      <c r="K32" s="9">
        <v>321.0</v>
      </c>
      <c r="L32" s="1">
        <f>M32*1/2</f>
        <v>0.2669491525</v>
      </c>
      <c r="M32" s="1">
        <f>SUM(P15+(1/2*P16)+(1/2*P12)+1/2*(P10)+(1/2*P6))</f>
        <v>0.5338983051</v>
      </c>
      <c r="N32" s="1">
        <f>M32^2</f>
        <v>0.2850474002</v>
      </c>
      <c r="Q32" s="1">
        <f>R32*1/2</f>
        <v>0.05508474576</v>
      </c>
      <c r="R32" s="1">
        <f>SUM((1/2*U10)+(1/2*U13)+(1/2*U15)+(1/2*U17)+(1/2*U19))</f>
        <v>0.1101694915</v>
      </c>
      <c r="S32" s="1">
        <f>R32^2</f>
        <v>0.01213731686</v>
      </c>
      <c r="AA32" s="1">
        <f>AB32/2</f>
        <v>0.01694915254</v>
      </c>
      <c r="AB32" s="1">
        <f>SUM((1/2*AE9)+(1/2*AE13)+(1/2*AE17)+(1/2*AE18))</f>
        <v>0.03389830508</v>
      </c>
      <c r="AC32" s="1">
        <f>AB32^2</f>
        <v>0.001149095088</v>
      </c>
      <c r="AG32" s="10" t="s">
        <v>42</v>
      </c>
      <c r="AK32" s="14" t="s">
        <v>19</v>
      </c>
    </row>
    <row r="33">
      <c r="A33" s="1">
        <v>1.0</v>
      </c>
      <c r="B33" s="2">
        <v>222.0</v>
      </c>
      <c r="C33" s="2">
        <v>222.0</v>
      </c>
      <c r="D33" s="5">
        <v>184.0</v>
      </c>
      <c r="E33" s="5">
        <v>187.0</v>
      </c>
      <c r="F33" s="7">
        <v>176.0</v>
      </c>
      <c r="G33" s="7">
        <v>187.0</v>
      </c>
      <c r="H33" s="8">
        <v>116.0</v>
      </c>
      <c r="I33" s="8">
        <v>126.0</v>
      </c>
      <c r="J33" s="9">
        <v>321.0</v>
      </c>
      <c r="K33" s="9">
        <v>339.0</v>
      </c>
      <c r="M33" s="10" t="s">
        <v>43</v>
      </c>
      <c r="R33" s="10" t="s">
        <v>44</v>
      </c>
      <c r="AB33" s="10" t="s">
        <v>45</v>
      </c>
      <c r="AF33" s="1">
        <f>AG33/2</f>
        <v>0.01694915254</v>
      </c>
      <c r="AG33" s="1">
        <f>SUM((1/2*AJ24)+(1/2*AJ13)+(1/2*AJ6))</f>
        <v>0.03389830508</v>
      </c>
      <c r="AH33" s="1">
        <f>AG33^2</f>
        <v>0.001149095088</v>
      </c>
      <c r="AK33" s="15">
        <f>1-AH51</f>
        <v>0.8557885665</v>
      </c>
    </row>
    <row r="34">
      <c r="A34" s="1">
        <v>1.0</v>
      </c>
      <c r="B34" s="2">
        <v>222.0</v>
      </c>
      <c r="C34" s="2">
        <v>222.0</v>
      </c>
      <c r="D34" s="5">
        <v>195.0</v>
      </c>
      <c r="E34" s="5">
        <v>196.0</v>
      </c>
      <c r="F34" s="7">
        <v>187.0</v>
      </c>
      <c r="G34" s="7">
        <v>187.0</v>
      </c>
      <c r="H34" s="8">
        <v>118.0</v>
      </c>
      <c r="I34" s="8">
        <v>118.0</v>
      </c>
      <c r="J34" s="9">
        <v>321.0</v>
      </c>
      <c r="K34" s="9">
        <v>339.0</v>
      </c>
      <c r="L34" s="1">
        <f>M34*1/2</f>
        <v>0.02966101695</v>
      </c>
      <c r="M34" s="1">
        <f>SUM(P17+(1/2*P13))</f>
        <v>0.0593220339</v>
      </c>
      <c r="N34" s="1">
        <f>M34^2</f>
        <v>0.003519103706</v>
      </c>
      <c r="Q34" s="1">
        <f>R34*1/2</f>
        <v>0.02542372881</v>
      </c>
      <c r="R34" s="1">
        <f>SUM((1/2*U9)+(1/2*U12)+(1/2*U14)+(1/2*U17))</f>
        <v>0.05084745763</v>
      </c>
      <c r="S34" s="1">
        <f>R34^2</f>
        <v>0.002585463947</v>
      </c>
      <c r="AA34" s="1">
        <f>AB34/2</f>
        <v>0.03813559322</v>
      </c>
      <c r="AB34" s="1">
        <f>SUM((1/2*AE8)+(1/2*AE15)+(1/2*AE16)+(1/2*AE22))</f>
        <v>0.07627118644</v>
      </c>
      <c r="AC34" s="1">
        <f>AB34^2</f>
        <v>0.005817293881</v>
      </c>
      <c r="AG34" s="10" t="s">
        <v>46</v>
      </c>
      <c r="AK34" s="14" t="s">
        <v>21</v>
      </c>
    </row>
    <row r="35">
      <c r="A35" s="1">
        <v>1.0</v>
      </c>
      <c r="B35" s="2">
        <v>222.0</v>
      </c>
      <c r="C35" s="2">
        <v>222.0</v>
      </c>
      <c r="D35" s="5">
        <v>184.0</v>
      </c>
      <c r="E35" s="5">
        <v>189.0</v>
      </c>
      <c r="F35" s="7">
        <v>182.0</v>
      </c>
      <c r="G35" s="7">
        <v>187.0</v>
      </c>
      <c r="H35" s="8">
        <v>126.0</v>
      </c>
      <c r="I35" s="8">
        <v>128.0</v>
      </c>
      <c r="J35" s="9">
        <v>315.0</v>
      </c>
      <c r="K35" s="9">
        <v>332.0</v>
      </c>
      <c r="M35" s="10" t="s">
        <v>47</v>
      </c>
      <c r="R35" s="10" t="s">
        <v>48</v>
      </c>
      <c r="AB35" s="10" t="s">
        <v>49</v>
      </c>
      <c r="AF35" s="1">
        <f>AG35/2</f>
        <v>0.01694915254</v>
      </c>
      <c r="AG35" s="1">
        <f>SUM((1/2*AJ28)+(1/2*AJ20)+(1/2*AJ19))</f>
        <v>0.03389830508</v>
      </c>
      <c r="AH35" s="1">
        <f>AG35^2</f>
        <v>0.001149095088</v>
      </c>
      <c r="AK35" s="15">
        <f>(AK33-AK31)/AK33</f>
        <v>-0.06948640483</v>
      </c>
    </row>
    <row r="36">
      <c r="A36" s="1">
        <v>1.0</v>
      </c>
      <c r="B36" s="2">
        <v>222.0</v>
      </c>
      <c r="C36" s="2">
        <v>222.0</v>
      </c>
      <c r="D36" s="5">
        <v>184.0</v>
      </c>
      <c r="E36" s="5">
        <v>184.0</v>
      </c>
      <c r="F36" s="7">
        <v>187.0</v>
      </c>
      <c r="G36" s="7">
        <v>187.0</v>
      </c>
      <c r="H36" s="8">
        <v>120.0</v>
      </c>
      <c r="I36" s="8">
        <v>130.0</v>
      </c>
      <c r="J36" s="9">
        <v>324.0</v>
      </c>
      <c r="K36" s="9">
        <v>332.0</v>
      </c>
      <c r="L36" s="1">
        <f>M36*1/2</f>
        <v>0.01271186441</v>
      </c>
      <c r="M36" s="1">
        <f>SUM((1/2*P16)+(1/2*P14))</f>
        <v>0.02542372881</v>
      </c>
      <c r="N36" s="1">
        <f>M36^2</f>
        <v>0.0006463659868</v>
      </c>
      <c r="Q36" s="1">
        <f>R36*1/2</f>
        <v>0.004237288136</v>
      </c>
      <c r="R36" s="1">
        <f>SUM((1/2*U18))</f>
        <v>0.008474576271</v>
      </c>
      <c r="S36" s="1">
        <f>R36^2</f>
        <v>0.00007181844298</v>
      </c>
      <c r="AA36" s="1">
        <f>AB36/2</f>
        <v>0.04661016949</v>
      </c>
      <c r="AB36" s="1">
        <f>SUM((1/2*AE2)+(1/2*AE3)+(1/2*AE7)+(1/2*AE20))</f>
        <v>0.09322033898</v>
      </c>
      <c r="AC36" s="1">
        <f>AB36^2</f>
        <v>0.0086900316</v>
      </c>
      <c r="AG36" s="10" t="s">
        <v>50</v>
      </c>
    </row>
    <row r="37">
      <c r="A37" s="1">
        <v>1.0</v>
      </c>
      <c r="B37" s="2">
        <v>222.0</v>
      </c>
      <c r="C37" s="2">
        <v>222.0</v>
      </c>
      <c r="D37" s="5">
        <v>193.0</v>
      </c>
      <c r="E37" s="5">
        <v>195.0</v>
      </c>
      <c r="F37" s="7">
        <v>187.0</v>
      </c>
      <c r="G37" s="7">
        <v>187.0</v>
      </c>
      <c r="H37" s="8">
        <v>118.0</v>
      </c>
      <c r="I37" s="8">
        <v>126.0</v>
      </c>
      <c r="J37" s="9">
        <v>339.0</v>
      </c>
      <c r="K37" s="9">
        <v>345.0</v>
      </c>
      <c r="M37" s="10" t="s">
        <v>23</v>
      </c>
      <c r="R37" s="10" t="s">
        <v>23</v>
      </c>
      <c r="AB37" s="10" t="s">
        <v>51</v>
      </c>
      <c r="AF37" s="1">
        <f>AG37/2</f>
        <v>0.06355932203</v>
      </c>
      <c r="AG37" s="1">
        <f>SUM((1/2*AJ27)+(1/2*AJ22)+(1/2*AJ4)+AJ11)</f>
        <v>0.1271186441</v>
      </c>
      <c r="AH37" s="1">
        <f>AG37^2</f>
        <v>0.01615914967</v>
      </c>
    </row>
    <row r="38">
      <c r="A38" s="1">
        <v>1.0</v>
      </c>
      <c r="B38" s="2">
        <v>222.0</v>
      </c>
      <c r="C38" s="2">
        <v>222.0</v>
      </c>
      <c r="D38" s="5">
        <v>184.0</v>
      </c>
      <c r="E38" s="5">
        <v>195.0</v>
      </c>
      <c r="F38" s="7">
        <v>182.0</v>
      </c>
      <c r="G38" s="7">
        <v>187.0</v>
      </c>
      <c r="H38" s="8">
        <v>122.0</v>
      </c>
      <c r="I38" s="8">
        <v>126.0</v>
      </c>
      <c r="J38" s="9">
        <v>339.0</v>
      </c>
      <c r="K38" s="9">
        <v>339.0</v>
      </c>
      <c r="M38" s="1">
        <f>SUM(M20+M22+M24+M26+M28+M30+M32+M34+M36)</f>
        <v>0.9915254237</v>
      </c>
      <c r="N38" s="1">
        <f>SUM(N28:N36)</f>
        <v>0.3435794312</v>
      </c>
      <c r="R38" s="1">
        <f>SUM(R24+R26+R28+R30+R32+R34+R36)</f>
        <v>1</v>
      </c>
      <c r="S38" s="1">
        <f>SUM(S28:S36)</f>
        <v>0.04933927032</v>
      </c>
      <c r="AA38" s="1">
        <f>AB38/2</f>
        <v>0.1355932203</v>
      </c>
      <c r="AB38" s="1">
        <f>SUM((1/2*AE13)+(1/2*AE2)+(1/2*AE4)+(1/2*AE6)+(1/2*AE11)+AE10+(1/2*AE15)+(1/2*AE21)+(1/2*AE23))</f>
        <v>0.2711864407</v>
      </c>
      <c r="AC38" s="1">
        <f>AB38^2</f>
        <v>0.07354208561</v>
      </c>
      <c r="AG38" s="10" t="s">
        <v>52</v>
      </c>
    </row>
    <row r="39">
      <c r="A39" s="1">
        <v>1.0</v>
      </c>
      <c r="B39" s="2">
        <v>222.0</v>
      </c>
      <c r="C39" s="2">
        <v>222.0</v>
      </c>
      <c r="D39" s="5">
        <v>187.0</v>
      </c>
      <c r="E39" s="5">
        <v>195.0</v>
      </c>
      <c r="F39" s="7">
        <v>187.0</v>
      </c>
      <c r="G39" s="7">
        <v>187.0</v>
      </c>
      <c r="H39" s="8">
        <v>118.0</v>
      </c>
      <c r="I39" s="8">
        <v>128.0</v>
      </c>
      <c r="J39" s="9">
        <v>336.0</v>
      </c>
      <c r="K39" s="9">
        <v>339.0</v>
      </c>
      <c r="M39" s="10" t="s">
        <v>24</v>
      </c>
      <c r="N39" s="10" t="s">
        <v>25</v>
      </c>
      <c r="R39" s="10" t="s">
        <v>24</v>
      </c>
      <c r="S39" s="10" t="s">
        <v>25</v>
      </c>
      <c r="AB39" s="10" t="s">
        <v>53</v>
      </c>
      <c r="AF39" s="1">
        <f>AG39/2</f>
        <v>0.02542372881</v>
      </c>
      <c r="AG39" s="1">
        <f>SUM((1/2*AJ8)+(1/2*AJ14)+(1/2*AJ20)+(1/2*AJ21)+(1/2*AJ23))</f>
        <v>0.05084745763</v>
      </c>
      <c r="AH39" s="1">
        <f>AG39^2</f>
        <v>0.002585463947</v>
      </c>
    </row>
    <row r="40">
      <c r="A40" s="1">
        <v>1.0</v>
      </c>
      <c r="B40" s="2">
        <v>222.0</v>
      </c>
      <c r="C40" s="2">
        <v>222.0</v>
      </c>
      <c r="D40" s="5">
        <v>184.0</v>
      </c>
      <c r="E40" s="5">
        <v>187.0</v>
      </c>
      <c r="F40" s="7">
        <v>182.0</v>
      </c>
      <c r="G40" s="7">
        <v>187.0</v>
      </c>
      <c r="H40" s="8">
        <v>112.0</v>
      </c>
      <c r="I40" s="8">
        <v>124.0</v>
      </c>
      <c r="J40" s="9">
        <v>324.0</v>
      </c>
      <c r="K40" s="9">
        <v>330.0</v>
      </c>
      <c r="AA40" s="1">
        <f>AB40/2</f>
        <v>0.0593220339</v>
      </c>
      <c r="AB40" s="1">
        <f>SUM((1/2*AE6)+(1/2*AE8)+(1/2*AE14)+(1/2*AE17)+(1/2*AE19)+(1/2*AE20))</f>
        <v>0.1186440678</v>
      </c>
      <c r="AC40" s="1">
        <f>AB40^2</f>
        <v>0.01407641482</v>
      </c>
      <c r="AG40" s="10" t="s">
        <v>54</v>
      </c>
    </row>
    <row r="41">
      <c r="A41" s="1">
        <v>1.0</v>
      </c>
      <c r="B41" s="2">
        <v>222.0</v>
      </c>
      <c r="C41" s="2">
        <v>222.0</v>
      </c>
      <c r="D41" s="5">
        <v>184.0</v>
      </c>
      <c r="E41" s="5">
        <v>193.0</v>
      </c>
      <c r="F41" s="7">
        <v>187.0</v>
      </c>
      <c r="G41" s="7">
        <v>187.0</v>
      </c>
      <c r="H41" s="8">
        <v>124.0</v>
      </c>
      <c r="I41" s="8">
        <v>126.0</v>
      </c>
      <c r="J41" s="9">
        <v>317.0</v>
      </c>
      <c r="K41" s="9">
        <v>330.0</v>
      </c>
      <c r="L41" s="16" t="s">
        <v>55</v>
      </c>
      <c r="M41" s="17"/>
      <c r="N41" s="17"/>
      <c r="O41" s="17"/>
      <c r="AB41" s="10" t="s">
        <v>56</v>
      </c>
      <c r="AF41" s="1">
        <f>AG41/2</f>
        <v>0.0593220339</v>
      </c>
      <c r="AG41" s="1">
        <f>SUM((1/2*AJ24)+(1/2*AJ23)+(1/2*AJ22)+(1/2*AJ18)+(1/2*AJ17)+(1/2*AJ9))</f>
        <v>0.1186440678</v>
      </c>
      <c r="AH41" s="1">
        <f>AG41^2</f>
        <v>0.01407641482</v>
      </c>
    </row>
    <row r="42">
      <c r="A42" s="1">
        <v>1.0</v>
      </c>
      <c r="B42" s="2">
        <v>222.0</v>
      </c>
      <c r="C42" s="2">
        <v>222.0</v>
      </c>
      <c r="D42" s="5">
        <v>184.0</v>
      </c>
      <c r="E42" s="5">
        <v>195.0</v>
      </c>
      <c r="F42" s="7">
        <v>187.0</v>
      </c>
      <c r="G42" s="7">
        <v>187.0</v>
      </c>
      <c r="H42" s="8">
        <v>118.0</v>
      </c>
      <c r="I42" s="8">
        <v>118.0</v>
      </c>
      <c r="J42" s="9">
        <v>315.0</v>
      </c>
      <c r="K42" s="9">
        <v>330.0</v>
      </c>
      <c r="L42" s="17">
        <f>Q20+V24+AA9+AF27+AK33</f>
        <v>3.466460787</v>
      </c>
      <c r="M42" s="17"/>
      <c r="N42" s="17"/>
      <c r="O42" s="17"/>
      <c r="AA42" s="1">
        <f>AB42/2</f>
        <v>0.008474576271</v>
      </c>
      <c r="AB42" s="1">
        <f>SUM((1/2*AE18)+(1/2*AE21))</f>
        <v>0.01694915254</v>
      </c>
      <c r="AC42" s="1">
        <f>AB42^2</f>
        <v>0.0002872737719</v>
      </c>
      <c r="AG42" s="10" t="s">
        <v>57</v>
      </c>
    </row>
    <row r="43">
      <c r="A43" s="1">
        <v>1.0</v>
      </c>
      <c r="B43" s="2">
        <v>222.0</v>
      </c>
      <c r="C43" s="2">
        <v>222.0</v>
      </c>
      <c r="D43" s="5">
        <v>184.0</v>
      </c>
      <c r="E43" s="5">
        <v>184.0</v>
      </c>
      <c r="F43" s="7">
        <v>187.0</v>
      </c>
      <c r="G43" s="7">
        <v>187.0</v>
      </c>
      <c r="H43" s="8">
        <v>116.0</v>
      </c>
      <c r="I43" s="8">
        <v>118.0</v>
      </c>
      <c r="J43" s="9">
        <v>330.0</v>
      </c>
      <c r="K43" s="9">
        <v>332.0</v>
      </c>
      <c r="L43" s="16" t="s">
        <v>58</v>
      </c>
      <c r="M43" s="17"/>
      <c r="N43" s="16" t="s">
        <v>59</v>
      </c>
      <c r="O43" s="17"/>
      <c r="AB43" s="10" t="s">
        <v>23</v>
      </c>
      <c r="AF43" s="1">
        <f>AG43/2</f>
        <v>0.08050847458</v>
      </c>
      <c r="AG43" s="1">
        <f>SUM((1/2*AJ3)+(1/2*AJ10)+(1/2*AJ12)+(1/2*AJ13)+(1/2*AJ16)+(1/2*AJ17)+(1/2*AJ21)+(1/2*AJ28))</f>
        <v>0.1610169492</v>
      </c>
      <c r="AH43" s="1">
        <f>AG43^2</f>
        <v>0.02592645791</v>
      </c>
    </row>
    <row r="44">
      <c r="A44" s="1">
        <v>1.0</v>
      </c>
      <c r="B44" s="2">
        <v>222.0</v>
      </c>
      <c r="C44" s="2">
        <v>222.0</v>
      </c>
      <c r="D44" s="5">
        <v>187.0</v>
      </c>
      <c r="E44" s="5">
        <v>193.0</v>
      </c>
      <c r="F44" s="7">
        <v>187.0</v>
      </c>
      <c r="G44" s="7">
        <v>187.0</v>
      </c>
      <c r="H44" s="8">
        <v>118.0</v>
      </c>
      <c r="I44" s="8">
        <v>126.0</v>
      </c>
      <c r="J44" s="9">
        <v>332.0</v>
      </c>
      <c r="K44" s="9">
        <v>339.0</v>
      </c>
      <c r="L44" s="16">
        <v>5.0</v>
      </c>
      <c r="M44" s="17"/>
      <c r="N44" s="17">
        <f>Q18+V22+AA7+AF25+AK31</f>
        <v>3.186440678</v>
      </c>
      <c r="O44" s="17"/>
      <c r="AB44" s="1">
        <f>SUM(AB26+AB28+AB30+AB32+AB34+AB36+AB38+AB40+AB42)</f>
        <v>1</v>
      </c>
      <c r="AC44" s="1">
        <f>SUM(AC26:AC42)</f>
        <v>0.1967825338</v>
      </c>
      <c r="AG44" s="10" t="s">
        <v>60</v>
      </c>
    </row>
    <row r="45">
      <c r="A45" s="1">
        <v>1.0</v>
      </c>
      <c r="B45" s="2">
        <v>222.0</v>
      </c>
      <c r="C45" s="2">
        <v>222.0</v>
      </c>
      <c r="D45" s="5">
        <v>184.0</v>
      </c>
      <c r="E45" s="5">
        <v>184.0</v>
      </c>
      <c r="F45" s="7">
        <v>187.0</v>
      </c>
      <c r="G45" s="7">
        <v>187.0</v>
      </c>
      <c r="H45" s="8">
        <v>122.0</v>
      </c>
      <c r="I45" s="8">
        <v>128.0</v>
      </c>
      <c r="J45" s="9">
        <v>321.0</v>
      </c>
      <c r="K45" s="9">
        <v>339.0</v>
      </c>
      <c r="L45" s="16" t="s">
        <v>61</v>
      </c>
      <c r="M45" s="16" t="s">
        <v>62</v>
      </c>
      <c r="N45" s="16"/>
      <c r="O45" s="16"/>
      <c r="AB45" s="10"/>
      <c r="AC45" s="10"/>
      <c r="AF45" s="1">
        <f>AG45/2</f>
        <v>0.05508474576</v>
      </c>
      <c r="AG45" s="1">
        <f>SUM((1/2*AJ27)+(1/2*AJ26)+(1/2*AJ25)+(1/2*AJ2)+(1/2*AJ3))</f>
        <v>0.1101694915</v>
      </c>
      <c r="AH45" s="1">
        <f>AG45^2</f>
        <v>0.01213731686</v>
      </c>
    </row>
    <row r="46">
      <c r="A46" s="1">
        <v>1.0</v>
      </c>
      <c r="B46" s="2">
        <v>222.0</v>
      </c>
      <c r="C46" s="2">
        <v>222.0</v>
      </c>
      <c r="D46" s="5">
        <v>193.0</v>
      </c>
      <c r="E46" s="5">
        <v>193.0</v>
      </c>
      <c r="F46" s="7">
        <v>187.0</v>
      </c>
      <c r="G46" s="7">
        <v>187.0</v>
      </c>
      <c r="H46" s="8">
        <v>126.0</v>
      </c>
      <c r="I46" s="8">
        <v>128.0</v>
      </c>
      <c r="J46" s="9">
        <v>315.0</v>
      </c>
      <c r="K46" s="9">
        <v>336.0</v>
      </c>
      <c r="L46" s="17">
        <f>1/L44*L42</f>
        <v>0.6932921574</v>
      </c>
      <c r="M46" s="17">
        <f>1/L44*N44</f>
        <v>0.6372881356</v>
      </c>
      <c r="N46" s="16"/>
      <c r="O46" s="17"/>
      <c r="AG46" s="10" t="s">
        <v>63</v>
      </c>
    </row>
    <row r="47">
      <c r="A47" s="1">
        <v>1.0</v>
      </c>
      <c r="B47" s="2">
        <v>222.0</v>
      </c>
      <c r="C47" s="2">
        <v>222.0</v>
      </c>
      <c r="D47" s="5">
        <v>187.0</v>
      </c>
      <c r="E47" s="5">
        <v>193.0</v>
      </c>
      <c r="F47" s="7">
        <v>187.0</v>
      </c>
      <c r="G47" s="7">
        <v>187.0</v>
      </c>
      <c r="H47" s="8">
        <v>124.0</v>
      </c>
      <c r="I47" s="8">
        <v>126.0</v>
      </c>
      <c r="J47" s="9">
        <v>336.0</v>
      </c>
      <c r="K47" s="9">
        <v>345.0</v>
      </c>
      <c r="L47" s="17"/>
      <c r="M47" s="17"/>
      <c r="N47" s="17"/>
      <c r="O47" s="17"/>
      <c r="AC47" s="10"/>
      <c r="AF47" s="1">
        <f>AG47/2</f>
        <v>0.1271186441</v>
      </c>
      <c r="AG47" s="1">
        <f>SUM((1/2*AJ19)+(1/2*AJ15)+(1/2*AJ10)+(1/2*AJ9)+(1/2*AJ7)+AJ5+(1/2*AJ4)+(1/2*AJ2))</f>
        <v>0.2542372881</v>
      </c>
      <c r="AH47" s="1">
        <f>AG47^2</f>
        <v>0.06463659868</v>
      </c>
    </row>
    <row r="48">
      <c r="A48" s="1">
        <v>1.0</v>
      </c>
      <c r="B48" s="2">
        <v>222.0</v>
      </c>
      <c r="C48" s="2">
        <v>222.0</v>
      </c>
      <c r="D48" s="5">
        <v>193.0</v>
      </c>
      <c r="E48" s="5">
        <v>195.0</v>
      </c>
      <c r="F48" s="7">
        <v>176.0</v>
      </c>
      <c r="G48" s="7">
        <v>187.0</v>
      </c>
      <c r="H48" s="8">
        <v>124.0</v>
      </c>
      <c r="I48" s="8">
        <v>128.0</v>
      </c>
      <c r="J48" s="9">
        <v>330.0</v>
      </c>
      <c r="K48" s="9">
        <v>339.0</v>
      </c>
      <c r="L48" s="17"/>
      <c r="M48" s="17"/>
      <c r="N48" s="17"/>
      <c r="O48" s="17"/>
      <c r="AG48" s="10" t="s">
        <v>64</v>
      </c>
    </row>
    <row r="49">
      <c r="A49" s="1">
        <v>1.0</v>
      </c>
      <c r="B49" s="2">
        <v>222.0</v>
      </c>
      <c r="C49" s="2">
        <v>222.0</v>
      </c>
      <c r="D49" s="5">
        <v>184.0</v>
      </c>
      <c r="E49" s="5">
        <v>193.0</v>
      </c>
      <c r="F49" s="7">
        <v>187.0</v>
      </c>
      <c r="G49" s="7">
        <v>187.0</v>
      </c>
      <c r="H49" s="8">
        <v>126.0</v>
      </c>
      <c r="I49" s="8">
        <v>130.0</v>
      </c>
      <c r="J49" s="9">
        <v>321.0</v>
      </c>
      <c r="K49" s="9">
        <v>336.0</v>
      </c>
      <c r="L49" s="17"/>
      <c r="M49" s="17"/>
      <c r="N49" s="17"/>
      <c r="O49" s="17"/>
      <c r="AC49" s="10"/>
      <c r="AF49" s="1">
        <f>AG49/2</f>
        <v>0.02118644068</v>
      </c>
      <c r="AG49" s="1">
        <f>SUM((1/2*AJ26)+(1/2*AJ14)+(1/2*AJ12)+(1/2*AJ7))</f>
        <v>0.04237288136</v>
      </c>
      <c r="AH49" s="1">
        <f>AG49^2</f>
        <v>0.001795461074</v>
      </c>
    </row>
    <row r="50">
      <c r="A50" s="1">
        <v>1.0</v>
      </c>
      <c r="B50" s="2">
        <v>222.0</v>
      </c>
      <c r="C50" s="2">
        <v>222.0</v>
      </c>
      <c r="D50" s="5">
        <v>184.0</v>
      </c>
      <c r="E50" s="5">
        <v>193.0</v>
      </c>
      <c r="F50" s="7">
        <v>176.0</v>
      </c>
      <c r="G50" s="7">
        <v>187.0</v>
      </c>
      <c r="H50" s="8">
        <v>118.0</v>
      </c>
      <c r="I50" s="8">
        <v>128.0</v>
      </c>
      <c r="J50" s="9">
        <v>317.0</v>
      </c>
      <c r="K50" s="9">
        <v>332.0</v>
      </c>
      <c r="M50" s="10" t="s">
        <v>65</v>
      </c>
      <c r="AG50" s="10" t="s">
        <v>23</v>
      </c>
    </row>
    <row r="51">
      <c r="A51" s="1">
        <v>1.0</v>
      </c>
      <c r="B51" s="2">
        <v>222.0</v>
      </c>
      <c r="C51" s="2">
        <v>222.0</v>
      </c>
      <c r="D51" s="5">
        <v>184.0</v>
      </c>
      <c r="E51" s="5">
        <v>195.0</v>
      </c>
      <c r="F51" s="7">
        <v>187.0</v>
      </c>
      <c r="G51" s="7">
        <v>187.0</v>
      </c>
      <c r="H51" s="8">
        <v>116.0</v>
      </c>
      <c r="I51" s="8">
        <v>122.0</v>
      </c>
      <c r="J51" s="9">
        <v>321.0</v>
      </c>
      <c r="K51" s="9">
        <v>336.0</v>
      </c>
      <c r="AG51" s="1">
        <f t="shared" ref="AG51:AH51" si="11">SUM(AG31,AG33,AG35,AG37,AG39,AG41,AG43,AG45,AG47,AG49)</f>
        <v>1</v>
      </c>
      <c r="AH51" s="1">
        <f t="shared" si="11"/>
        <v>0.1442114335</v>
      </c>
    </row>
    <row r="52">
      <c r="A52" s="1">
        <v>1.0</v>
      </c>
      <c r="B52" s="2">
        <v>222.0</v>
      </c>
      <c r="C52" s="2">
        <v>222.0</v>
      </c>
      <c r="D52" s="5">
        <v>187.0</v>
      </c>
      <c r="E52" s="5">
        <v>187.0</v>
      </c>
      <c r="F52" s="7">
        <v>187.0</v>
      </c>
      <c r="G52" s="7">
        <v>187.0</v>
      </c>
      <c r="H52" s="8">
        <v>112.0</v>
      </c>
      <c r="I52" s="8">
        <v>126.0</v>
      </c>
      <c r="J52" s="9">
        <v>330.0</v>
      </c>
      <c r="K52" s="9">
        <v>332.0</v>
      </c>
      <c r="AG52" s="10"/>
      <c r="AH52" s="10"/>
    </row>
    <row r="53">
      <c r="A53" s="1">
        <v>1.0</v>
      </c>
      <c r="B53" s="2">
        <v>222.0</v>
      </c>
      <c r="C53" s="2">
        <v>222.0</v>
      </c>
      <c r="D53" s="5">
        <v>187.0</v>
      </c>
      <c r="E53" s="5">
        <v>187.0</v>
      </c>
      <c r="F53" s="7">
        <v>187.0</v>
      </c>
      <c r="G53" s="7">
        <v>187.0</v>
      </c>
      <c r="H53" s="8">
        <v>118.0</v>
      </c>
      <c r="I53" s="8">
        <v>124.0</v>
      </c>
      <c r="J53" s="9">
        <v>336.0</v>
      </c>
      <c r="K53" s="9">
        <v>339.0</v>
      </c>
    </row>
    <row r="54">
      <c r="A54" s="1">
        <v>1.0</v>
      </c>
      <c r="B54" s="2">
        <v>222.0</v>
      </c>
      <c r="C54" s="2">
        <v>222.0</v>
      </c>
      <c r="D54" s="5">
        <v>187.0</v>
      </c>
      <c r="E54" s="5">
        <v>187.0</v>
      </c>
      <c r="F54" s="7">
        <v>187.0</v>
      </c>
      <c r="G54" s="7">
        <v>187.0</v>
      </c>
      <c r="H54" s="8">
        <v>116.0</v>
      </c>
      <c r="I54" s="8">
        <v>118.0</v>
      </c>
      <c r="J54" s="9">
        <v>330.0</v>
      </c>
      <c r="K54" s="9">
        <v>339.0</v>
      </c>
    </row>
    <row r="55">
      <c r="A55" s="1">
        <v>1.0</v>
      </c>
      <c r="B55" s="2">
        <v>222.0</v>
      </c>
      <c r="C55" s="2">
        <v>222.0</v>
      </c>
      <c r="D55" s="5">
        <v>193.0</v>
      </c>
      <c r="E55" s="5">
        <v>193.0</v>
      </c>
      <c r="F55" s="7">
        <v>187.0</v>
      </c>
      <c r="G55" s="7">
        <v>187.0</v>
      </c>
      <c r="H55" s="8">
        <v>118.0</v>
      </c>
      <c r="I55" s="8">
        <v>124.0</v>
      </c>
      <c r="J55" s="9">
        <v>321.0</v>
      </c>
      <c r="K55" s="9">
        <v>330.0</v>
      </c>
    </row>
    <row r="56">
      <c r="A56" s="1">
        <v>1.0</v>
      </c>
      <c r="B56" s="2">
        <v>222.0</v>
      </c>
      <c r="C56" s="2">
        <v>222.0</v>
      </c>
      <c r="D56" s="5">
        <v>184.0</v>
      </c>
      <c r="E56" s="5">
        <v>187.0</v>
      </c>
      <c r="F56" s="7">
        <v>187.0</v>
      </c>
      <c r="G56" s="7">
        <v>187.0</v>
      </c>
      <c r="H56" s="8">
        <v>118.0</v>
      </c>
      <c r="I56" s="8">
        <v>126.0</v>
      </c>
      <c r="J56" s="9">
        <v>330.0</v>
      </c>
      <c r="K56" s="9">
        <v>332.0</v>
      </c>
    </row>
    <row r="57">
      <c r="A57" s="1">
        <v>1.0</v>
      </c>
      <c r="B57" s="2">
        <v>222.0</v>
      </c>
      <c r="C57" s="2">
        <v>222.0</v>
      </c>
      <c r="D57" s="5">
        <v>191.0</v>
      </c>
      <c r="E57" s="5">
        <v>193.0</v>
      </c>
      <c r="F57" s="7">
        <v>187.0</v>
      </c>
      <c r="G57" s="7">
        <v>187.0</v>
      </c>
      <c r="H57" s="8">
        <v>118.0</v>
      </c>
      <c r="I57" s="8">
        <v>128.0</v>
      </c>
      <c r="J57" s="9">
        <v>319.0</v>
      </c>
      <c r="K57" s="9">
        <v>332.0</v>
      </c>
    </row>
    <row r="58">
      <c r="A58" s="1">
        <v>1.0</v>
      </c>
      <c r="B58" s="2">
        <v>222.0</v>
      </c>
      <c r="C58" s="2">
        <v>226.0</v>
      </c>
      <c r="D58" s="5">
        <v>184.0</v>
      </c>
      <c r="E58" s="5">
        <v>195.0</v>
      </c>
      <c r="F58" s="7">
        <v>187.0</v>
      </c>
      <c r="G58" s="7">
        <v>187.0</v>
      </c>
      <c r="H58" s="8">
        <v>118.0</v>
      </c>
      <c r="I58" s="8">
        <v>122.0</v>
      </c>
      <c r="J58" s="9">
        <v>319.0</v>
      </c>
      <c r="K58" s="9">
        <v>339.0</v>
      </c>
    </row>
    <row r="59">
      <c r="A59" s="1">
        <v>1.0</v>
      </c>
      <c r="B59" s="2">
        <v>224.0</v>
      </c>
      <c r="C59" s="2">
        <v>224.0</v>
      </c>
      <c r="D59" s="5">
        <v>184.0</v>
      </c>
      <c r="E59" s="5">
        <v>193.0</v>
      </c>
      <c r="F59" s="7">
        <v>187.0</v>
      </c>
      <c r="G59" s="7">
        <v>187.0</v>
      </c>
      <c r="H59" s="8">
        <v>122.0</v>
      </c>
      <c r="I59" s="8">
        <v>128.0</v>
      </c>
      <c r="J59" s="9">
        <v>330.0</v>
      </c>
      <c r="K59" s="9">
        <v>339.0</v>
      </c>
    </row>
    <row r="60">
      <c r="A60" s="1">
        <v>1.0</v>
      </c>
      <c r="B60" s="2">
        <v>224.0</v>
      </c>
      <c r="C60" s="2">
        <v>224.0</v>
      </c>
      <c r="D60" s="5">
        <v>187.0</v>
      </c>
      <c r="E60" s="5">
        <v>195.0</v>
      </c>
      <c r="F60" s="7">
        <v>182.0</v>
      </c>
      <c r="G60" s="7">
        <v>187.0</v>
      </c>
      <c r="H60" s="8">
        <v>118.0</v>
      </c>
      <c r="I60" s="8">
        <v>126.0</v>
      </c>
      <c r="J60" s="9">
        <v>321.0</v>
      </c>
      <c r="K60" s="9">
        <v>339.0</v>
      </c>
    </row>
    <row r="61">
      <c r="A61" s="10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18" t="s">
        <v>1</v>
      </c>
      <c r="M1" s="18" t="s">
        <v>2</v>
      </c>
      <c r="N1" s="19" t="s">
        <v>11</v>
      </c>
      <c r="O1" s="10" t="s">
        <v>12</v>
      </c>
      <c r="P1" s="5" t="s">
        <v>3</v>
      </c>
      <c r="Q1" s="5" t="s">
        <v>4</v>
      </c>
      <c r="R1" s="10" t="s">
        <v>11</v>
      </c>
      <c r="S1" s="10" t="s">
        <v>12</v>
      </c>
      <c r="T1" s="7" t="s">
        <v>5</v>
      </c>
      <c r="U1" s="7" t="s">
        <v>6</v>
      </c>
      <c r="V1" s="10" t="s">
        <v>11</v>
      </c>
      <c r="W1" s="10" t="s">
        <v>12</v>
      </c>
      <c r="X1" s="10"/>
      <c r="Y1" s="8" t="s">
        <v>7</v>
      </c>
      <c r="Z1" s="8" t="s">
        <v>8</v>
      </c>
      <c r="AA1" s="10" t="s">
        <v>11</v>
      </c>
      <c r="AB1" s="10" t="s">
        <v>12</v>
      </c>
      <c r="AC1" s="10"/>
      <c r="AD1" s="9" t="s">
        <v>9</v>
      </c>
      <c r="AE1" s="9" t="s">
        <v>10</v>
      </c>
      <c r="AF1" s="10" t="s">
        <v>11</v>
      </c>
      <c r="AG1" s="10" t="s">
        <v>12</v>
      </c>
      <c r="AH1" s="10"/>
    </row>
    <row r="2">
      <c r="A2" s="1">
        <v>2.0</v>
      </c>
      <c r="B2" s="2">
        <v>208.0</v>
      </c>
      <c r="C2" s="2">
        <v>208.0</v>
      </c>
      <c r="D2" s="5">
        <v>193.0</v>
      </c>
      <c r="E2" s="5">
        <v>195.0</v>
      </c>
      <c r="F2" s="7">
        <v>187.0</v>
      </c>
      <c r="G2" s="7">
        <v>187.0</v>
      </c>
      <c r="H2" s="8">
        <v>126.0</v>
      </c>
      <c r="I2" s="8">
        <v>128.0</v>
      </c>
      <c r="J2" s="9">
        <v>315.0</v>
      </c>
      <c r="K2" s="9">
        <v>345.0</v>
      </c>
      <c r="L2" s="12">
        <f>IFERROR(__xludf.DUMMYFUNCTION("UNIQUE(B2:C61)"),208.0)</f>
        <v>208</v>
      </c>
      <c r="M2" s="12">
        <f>IFERROR(__xludf.DUMMYFUNCTION("""COMPUTED_VALUE"""),208.0)</f>
        <v>208</v>
      </c>
      <c r="N2" s="20">
        <f t="shared" ref="N2:N21" si="1">COUNTIFS(B2:B61,L2,C2:C61,M2)</f>
        <v>1</v>
      </c>
      <c r="O2" s="20">
        <f t="shared" ref="O2:O21" si="2">N2/60</f>
        <v>0.01666666667</v>
      </c>
      <c r="P2" s="5">
        <f>IFERROR(__xludf.DUMMYFUNCTION("UNIQUE(D2:E61)"),193.0)</f>
        <v>193</v>
      </c>
      <c r="Q2" s="5">
        <f>IFERROR(__xludf.DUMMYFUNCTION("""COMPUTED_VALUE"""),195.0)</f>
        <v>195</v>
      </c>
      <c r="R2" s="1">
        <f t="shared" ref="R2:R16" si="3">COUNTIFS(D1:D61,P2,E1:E61,Q2)</f>
        <v>2</v>
      </c>
      <c r="S2" s="1">
        <f t="shared" ref="S2:S16" si="4">R2/60</f>
        <v>0.03333333333</v>
      </c>
      <c r="T2" s="7">
        <f>IFERROR(__xludf.DUMMYFUNCTION("UNIQUE(F2:G61)"),187.0)</f>
        <v>187</v>
      </c>
      <c r="U2" s="7">
        <f>IFERROR(__xludf.DUMMYFUNCTION("""COMPUTED_VALUE"""),187.0)</f>
        <v>187</v>
      </c>
      <c r="V2" s="1">
        <f t="shared" ref="V2:V4" si="5">COUNTIFS(F1:F61,T2,G1:G61,U2)</f>
        <v>51</v>
      </c>
      <c r="W2" s="1">
        <f t="shared" ref="W2:W4" si="6">V2/60</f>
        <v>0.85</v>
      </c>
      <c r="Y2" s="8">
        <f>IFERROR(__xludf.DUMMYFUNCTION("UNIQUE(H2:I61)"),126.0)</f>
        <v>126</v>
      </c>
      <c r="Z2" s="8">
        <f>IFERROR(__xludf.DUMMYFUNCTION("""COMPUTED_VALUE"""),128.0)</f>
        <v>128</v>
      </c>
      <c r="AA2" s="1">
        <f t="shared" ref="AA2:AA25" si="7">COUNTIFS(H1:H61,Y2,I1:I61,Z2)</f>
        <v>4</v>
      </c>
      <c r="AB2" s="1">
        <f t="shared" ref="AB2:AB25" si="8">AA2/60</f>
        <v>0.06666666667</v>
      </c>
      <c r="AD2" s="9">
        <f>IFERROR(__xludf.DUMMYFUNCTION("UNIQUE(J2:K61)"),315.0)</f>
        <v>315</v>
      </c>
      <c r="AE2" s="9">
        <f>IFERROR(__xludf.DUMMYFUNCTION("""COMPUTED_VALUE"""),345.0)</f>
        <v>345</v>
      </c>
      <c r="AF2" s="1">
        <f t="shared" ref="AF2:AF33" si="9">COUNTIFS(J2:J61,AD2,K2:K61,AE2)</f>
        <v>1</v>
      </c>
      <c r="AG2" s="1">
        <f t="shared" ref="AG2:AG33" si="10">AF2/60</f>
        <v>0.01666666667</v>
      </c>
    </row>
    <row r="3">
      <c r="A3" s="1">
        <v>2.0</v>
      </c>
      <c r="B3" s="2">
        <v>208.0</v>
      </c>
      <c r="C3" s="2">
        <v>218.0</v>
      </c>
      <c r="D3" s="5">
        <v>184.0</v>
      </c>
      <c r="E3" s="5">
        <v>193.0</v>
      </c>
      <c r="F3" s="7">
        <v>187.0</v>
      </c>
      <c r="G3" s="7">
        <v>187.0</v>
      </c>
      <c r="H3" s="8">
        <v>120.0</v>
      </c>
      <c r="I3" s="8">
        <v>126.0</v>
      </c>
      <c r="J3" s="9">
        <v>324.0</v>
      </c>
      <c r="K3" s="9">
        <v>324.0</v>
      </c>
      <c r="L3" s="12">
        <f>IFERROR(__xludf.DUMMYFUNCTION("""COMPUTED_VALUE"""),208.0)</f>
        <v>208</v>
      </c>
      <c r="M3" s="12">
        <f>IFERROR(__xludf.DUMMYFUNCTION("""COMPUTED_VALUE"""),218.0)</f>
        <v>218</v>
      </c>
      <c r="N3" s="20">
        <f t="shared" si="1"/>
        <v>1</v>
      </c>
      <c r="O3" s="20">
        <f t="shared" si="2"/>
        <v>0.01666666667</v>
      </c>
      <c r="P3" s="5">
        <f>IFERROR(__xludf.DUMMYFUNCTION("""COMPUTED_VALUE"""),184.0)</f>
        <v>184</v>
      </c>
      <c r="Q3" s="5">
        <f>IFERROR(__xludf.DUMMYFUNCTION("""COMPUTED_VALUE"""),193.0)</f>
        <v>193</v>
      </c>
      <c r="R3" s="1">
        <f t="shared" si="3"/>
        <v>7</v>
      </c>
      <c r="S3" s="1">
        <f t="shared" si="4"/>
        <v>0.1166666667</v>
      </c>
      <c r="T3" s="7">
        <f>IFERROR(__xludf.DUMMYFUNCTION("""COMPUTED_VALUE"""),182.0)</f>
        <v>182</v>
      </c>
      <c r="U3" s="7">
        <f>IFERROR(__xludf.DUMMYFUNCTION("""COMPUTED_VALUE"""),187.0)</f>
        <v>187</v>
      </c>
      <c r="V3" s="1">
        <f t="shared" si="5"/>
        <v>4</v>
      </c>
      <c r="W3" s="1">
        <f t="shared" si="6"/>
        <v>0.06666666667</v>
      </c>
      <c r="Y3" s="8">
        <f>IFERROR(__xludf.DUMMYFUNCTION("""COMPUTED_VALUE"""),120.0)</f>
        <v>120</v>
      </c>
      <c r="Z3" s="8">
        <f>IFERROR(__xludf.DUMMYFUNCTION("""COMPUTED_VALUE"""),126.0)</f>
        <v>126</v>
      </c>
      <c r="AA3" s="1">
        <f t="shared" si="7"/>
        <v>3</v>
      </c>
      <c r="AB3" s="1">
        <f t="shared" si="8"/>
        <v>0.05</v>
      </c>
      <c r="AD3" s="9">
        <f>IFERROR(__xludf.DUMMYFUNCTION("""COMPUTED_VALUE"""),324.0)</f>
        <v>324</v>
      </c>
      <c r="AE3" s="9">
        <f>IFERROR(__xludf.DUMMYFUNCTION("""COMPUTED_VALUE"""),324.0)</f>
        <v>324</v>
      </c>
      <c r="AF3" s="1">
        <f t="shared" si="9"/>
        <v>2</v>
      </c>
      <c r="AG3" s="1">
        <f t="shared" si="10"/>
        <v>0.03333333333</v>
      </c>
    </row>
    <row r="4">
      <c r="A4" s="1">
        <v>2.0</v>
      </c>
      <c r="B4" s="2">
        <v>208.0</v>
      </c>
      <c r="C4" s="2">
        <v>220.0</v>
      </c>
      <c r="D4" s="5">
        <v>187.0</v>
      </c>
      <c r="E4" s="5">
        <v>191.0</v>
      </c>
      <c r="F4" s="7">
        <v>187.0</v>
      </c>
      <c r="G4" s="7">
        <v>187.0</v>
      </c>
      <c r="H4" s="8">
        <v>112.0</v>
      </c>
      <c r="I4" s="8">
        <v>126.0</v>
      </c>
      <c r="J4" s="9">
        <v>317.0</v>
      </c>
      <c r="K4" s="9">
        <v>339.0</v>
      </c>
      <c r="L4" s="12">
        <f>IFERROR(__xludf.DUMMYFUNCTION("""COMPUTED_VALUE"""),208.0)</f>
        <v>208</v>
      </c>
      <c r="M4" s="12">
        <f>IFERROR(__xludf.DUMMYFUNCTION("""COMPUTED_VALUE"""),220.0)</f>
        <v>220</v>
      </c>
      <c r="N4" s="20">
        <f t="shared" si="1"/>
        <v>2</v>
      </c>
      <c r="O4" s="20">
        <f t="shared" si="2"/>
        <v>0.03333333333</v>
      </c>
      <c r="P4" s="5">
        <f>IFERROR(__xludf.DUMMYFUNCTION("""COMPUTED_VALUE"""),187.0)</f>
        <v>187</v>
      </c>
      <c r="Q4" s="5">
        <f>IFERROR(__xludf.DUMMYFUNCTION("""COMPUTED_VALUE"""),191.0)</f>
        <v>191</v>
      </c>
      <c r="R4" s="1">
        <f t="shared" si="3"/>
        <v>3</v>
      </c>
      <c r="S4" s="1">
        <f t="shared" si="4"/>
        <v>0.05</v>
      </c>
      <c r="T4" s="7">
        <f>IFERROR(__xludf.DUMMYFUNCTION("""COMPUTED_VALUE"""),176.0)</f>
        <v>176</v>
      </c>
      <c r="U4" s="7">
        <f>IFERROR(__xludf.DUMMYFUNCTION("""COMPUTED_VALUE"""),187.0)</f>
        <v>187</v>
      </c>
      <c r="V4" s="1">
        <f t="shared" si="5"/>
        <v>5</v>
      </c>
      <c r="W4" s="1">
        <f t="shared" si="6"/>
        <v>0.08333333333</v>
      </c>
      <c r="Y4" s="8">
        <f>IFERROR(__xludf.DUMMYFUNCTION("""COMPUTED_VALUE"""),112.0)</f>
        <v>112</v>
      </c>
      <c r="Z4" s="8">
        <f>IFERROR(__xludf.DUMMYFUNCTION("""COMPUTED_VALUE"""),126.0)</f>
        <v>126</v>
      </c>
      <c r="AA4" s="1">
        <f t="shared" si="7"/>
        <v>2</v>
      </c>
      <c r="AB4" s="1">
        <f t="shared" si="8"/>
        <v>0.03333333333</v>
      </c>
      <c r="AD4" s="9">
        <f>IFERROR(__xludf.DUMMYFUNCTION("""COMPUTED_VALUE"""),317.0)</f>
        <v>317</v>
      </c>
      <c r="AE4" s="9">
        <f>IFERROR(__xludf.DUMMYFUNCTION("""COMPUTED_VALUE"""),339.0)</f>
        <v>339</v>
      </c>
      <c r="AF4" s="1">
        <f t="shared" si="9"/>
        <v>1</v>
      </c>
      <c r="AG4" s="1">
        <f t="shared" si="10"/>
        <v>0.01666666667</v>
      </c>
    </row>
    <row r="5">
      <c r="A5" s="1">
        <v>2.0</v>
      </c>
      <c r="B5" s="2">
        <v>208.0</v>
      </c>
      <c r="C5" s="2">
        <v>220.0</v>
      </c>
      <c r="D5" s="5">
        <v>184.0</v>
      </c>
      <c r="E5" s="5">
        <v>195.0</v>
      </c>
      <c r="F5" s="7">
        <v>187.0</v>
      </c>
      <c r="G5" s="7">
        <v>187.0</v>
      </c>
      <c r="H5" s="8">
        <v>120.0</v>
      </c>
      <c r="I5" s="8">
        <v>126.0</v>
      </c>
      <c r="J5" s="9">
        <v>339.0</v>
      </c>
      <c r="K5" s="9">
        <v>339.0</v>
      </c>
      <c r="L5" s="12">
        <f>IFERROR(__xludf.DUMMYFUNCTION("""COMPUTED_VALUE"""),208.0)</f>
        <v>208</v>
      </c>
      <c r="M5" s="12">
        <f>IFERROR(__xludf.DUMMYFUNCTION("""COMPUTED_VALUE"""),222.0)</f>
        <v>222</v>
      </c>
      <c r="N5" s="20">
        <f t="shared" si="1"/>
        <v>1</v>
      </c>
      <c r="O5" s="20">
        <f t="shared" si="2"/>
        <v>0.01666666667</v>
      </c>
      <c r="P5" s="5">
        <f>IFERROR(__xludf.DUMMYFUNCTION("""COMPUTED_VALUE"""),184.0)</f>
        <v>184</v>
      </c>
      <c r="Q5" s="5">
        <f>IFERROR(__xludf.DUMMYFUNCTION("""COMPUTED_VALUE"""),195.0)</f>
        <v>195</v>
      </c>
      <c r="R5" s="1">
        <f t="shared" si="3"/>
        <v>6</v>
      </c>
      <c r="S5" s="1">
        <f t="shared" si="4"/>
        <v>0.1</v>
      </c>
      <c r="Y5" s="8">
        <f>IFERROR(__xludf.DUMMYFUNCTION("""COMPUTED_VALUE"""),124.0)</f>
        <v>124</v>
      </c>
      <c r="Z5" s="8">
        <f>IFERROR(__xludf.DUMMYFUNCTION("""COMPUTED_VALUE"""),126.0)</f>
        <v>126</v>
      </c>
      <c r="AA5" s="1">
        <f t="shared" si="7"/>
        <v>4</v>
      </c>
      <c r="AB5" s="1">
        <f t="shared" si="8"/>
        <v>0.06666666667</v>
      </c>
      <c r="AD5" s="9">
        <f>IFERROR(__xludf.DUMMYFUNCTION("""COMPUTED_VALUE"""),339.0)</f>
        <v>339</v>
      </c>
      <c r="AE5" s="9">
        <f>IFERROR(__xludf.DUMMYFUNCTION("""COMPUTED_VALUE"""),339.0)</f>
        <v>339</v>
      </c>
      <c r="AF5" s="1">
        <f t="shared" si="9"/>
        <v>2</v>
      </c>
      <c r="AG5" s="1">
        <f t="shared" si="10"/>
        <v>0.03333333333</v>
      </c>
    </row>
    <row r="6">
      <c r="A6" s="1">
        <v>2.0</v>
      </c>
      <c r="B6" s="2">
        <v>208.0</v>
      </c>
      <c r="C6" s="2">
        <v>222.0</v>
      </c>
      <c r="D6" s="5">
        <v>184.0</v>
      </c>
      <c r="E6" s="5">
        <v>195.0</v>
      </c>
      <c r="F6" s="7">
        <v>187.0</v>
      </c>
      <c r="G6" s="7">
        <v>187.0</v>
      </c>
      <c r="H6" s="8">
        <v>124.0</v>
      </c>
      <c r="I6" s="8">
        <v>126.0</v>
      </c>
      <c r="J6" s="9">
        <v>332.0</v>
      </c>
      <c r="K6" s="9">
        <v>345.0</v>
      </c>
      <c r="L6" s="12">
        <f>IFERROR(__xludf.DUMMYFUNCTION("""COMPUTED_VALUE"""),208.0)</f>
        <v>208</v>
      </c>
      <c r="M6" s="12">
        <f>IFERROR(__xludf.DUMMYFUNCTION("""COMPUTED_VALUE"""),224.0)</f>
        <v>224</v>
      </c>
      <c r="N6" s="20">
        <f t="shared" si="1"/>
        <v>2</v>
      </c>
      <c r="O6" s="20">
        <f t="shared" si="2"/>
        <v>0.03333333333</v>
      </c>
      <c r="P6" s="5">
        <f>IFERROR(__xludf.DUMMYFUNCTION("""COMPUTED_VALUE"""),184.0)</f>
        <v>184</v>
      </c>
      <c r="Q6" s="5">
        <f>IFERROR(__xludf.DUMMYFUNCTION("""COMPUTED_VALUE"""),187.0)</f>
        <v>187</v>
      </c>
      <c r="R6" s="1">
        <f t="shared" si="3"/>
        <v>9</v>
      </c>
      <c r="S6" s="1">
        <f t="shared" si="4"/>
        <v>0.15</v>
      </c>
      <c r="V6" s="13" t="s">
        <v>13</v>
      </c>
      <c r="W6" s="5">
        <f>SUM(W2:W4)</f>
        <v>1</v>
      </c>
      <c r="X6" s="14" t="s">
        <v>14</v>
      </c>
      <c r="Y6" s="8">
        <f>IFERROR(__xludf.DUMMYFUNCTION("""COMPUTED_VALUE"""),118.0)</f>
        <v>118</v>
      </c>
      <c r="Z6" s="8">
        <f>IFERROR(__xludf.DUMMYFUNCTION("""COMPUTED_VALUE"""),122.0)</f>
        <v>122</v>
      </c>
      <c r="AA6" s="1">
        <f t="shared" si="7"/>
        <v>2</v>
      </c>
      <c r="AB6" s="1">
        <f t="shared" si="8"/>
        <v>0.03333333333</v>
      </c>
      <c r="AD6" s="9">
        <f>IFERROR(__xludf.DUMMYFUNCTION("""COMPUTED_VALUE"""),332.0)</f>
        <v>332</v>
      </c>
      <c r="AE6" s="9">
        <f>IFERROR(__xludf.DUMMYFUNCTION("""COMPUTED_VALUE"""),345.0)</f>
        <v>345</v>
      </c>
      <c r="AF6" s="1">
        <f t="shared" si="9"/>
        <v>2</v>
      </c>
      <c r="AG6" s="1">
        <f t="shared" si="10"/>
        <v>0.03333333333</v>
      </c>
    </row>
    <row r="7">
      <c r="A7" s="1">
        <v>2.0</v>
      </c>
      <c r="B7" s="2">
        <v>208.0</v>
      </c>
      <c r="C7" s="2">
        <v>224.0</v>
      </c>
      <c r="D7" s="5">
        <v>184.0</v>
      </c>
      <c r="E7" s="5">
        <v>193.0</v>
      </c>
      <c r="F7" s="7">
        <v>187.0</v>
      </c>
      <c r="G7" s="7">
        <v>187.0</v>
      </c>
      <c r="H7" s="8">
        <v>118.0</v>
      </c>
      <c r="I7" s="8">
        <v>122.0</v>
      </c>
      <c r="J7" s="9">
        <v>315.0</v>
      </c>
      <c r="K7" s="9">
        <v>339.0</v>
      </c>
      <c r="L7" s="12">
        <f>IFERROR(__xludf.DUMMYFUNCTION("""COMPUTED_VALUE"""),214.0)</f>
        <v>214</v>
      </c>
      <c r="M7" s="12">
        <f>IFERROR(__xludf.DUMMYFUNCTION("""COMPUTED_VALUE"""),222.0)</f>
        <v>222</v>
      </c>
      <c r="N7" s="20">
        <f t="shared" si="1"/>
        <v>4</v>
      </c>
      <c r="O7" s="20">
        <f t="shared" si="2"/>
        <v>0.06666666667</v>
      </c>
      <c r="P7" s="5">
        <f>IFERROR(__xludf.DUMMYFUNCTION("""COMPUTED_VALUE"""),187.0)</f>
        <v>187</v>
      </c>
      <c r="Q7" s="5">
        <f>IFERROR(__xludf.DUMMYFUNCTION("""COMPUTED_VALUE"""),187.0)</f>
        <v>187</v>
      </c>
      <c r="R7" s="1">
        <f t="shared" si="3"/>
        <v>6</v>
      </c>
      <c r="S7" s="1">
        <f t="shared" si="4"/>
        <v>0.1</v>
      </c>
      <c r="X7" s="15">
        <f>SUM(W3,W4)</f>
        <v>0.15</v>
      </c>
      <c r="Y7" s="8">
        <f>IFERROR(__xludf.DUMMYFUNCTION("""COMPUTED_VALUE"""),124.0)</f>
        <v>124</v>
      </c>
      <c r="Z7" s="8">
        <f>IFERROR(__xludf.DUMMYFUNCTION("""COMPUTED_VALUE"""),128.0)</f>
        <v>128</v>
      </c>
      <c r="AA7" s="1">
        <f t="shared" si="7"/>
        <v>3</v>
      </c>
      <c r="AB7" s="1">
        <f t="shared" si="8"/>
        <v>0.05</v>
      </c>
      <c r="AD7" s="9">
        <f>IFERROR(__xludf.DUMMYFUNCTION("""COMPUTED_VALUE"""),315.0)</f>
        <v>315</v>
      </c>
      <c r="AE7" s="9">
        <f>IFERROR(__xludf.DUMMYFUNCTION("""COMPUTED_VALUE"""),339.0)</f>
        <v>339</v>
      </c>
      <c r="AF7" s="1">
        <f t="shared" si="9"/>
        <v>5</v>
      </c>
      <c r="AG7" s="1">
        <f t="shared" si="10"/>
        <v>0.08333333333</v>
      </c>
    </row>
    <row r="8">
      <c r="A8" s="1">
        <v>2.0</v>
      </c>
      <c r="B8" s="2">
        <v>208.0</v>
      </c>
      <c r="C8" s="2">
        <v>224.0</v>
      </c>
      <c r="D8" s="5">
        <v>184.0</v>
      </c>
      <c r="E8" s="5">
        <v>187.0</v>
      </c>
      <c r="F8" s="7">
        <v>187.0</v>
      </c>
      <c r="G8" s="7">
        <v>187.0</v>
      </c>
      <c r="H8" s="8">
        <v>124.0</v>
      </c>
      <c r="I8" s="8">
        <v>128.0</v>
      </c>
      <c r="J8" s="9">
        <v>330.0</v>
      </c>
      <c r="K8" s="9">
        <v>330.0</v>
      </c>
      <c r="L8" s="12">
        <f>IFERROR(__xludf.DUMMYFUNCTION("""COMPUTED_VALUE"""),216.0)</f>
        <v>216</v>
      </c>
      <c r="M8" s="12">
        <f>IFERROR(__xludf.DUMMYFUNCTION("""COMPUTED_VALUE"""),218.0)</f>
        <v>218</v>
      </c>
      <c r="N8" s="20">
        <f t="shared" si="1"/>
        <v>1</v>
      </c>
      <c r="O8" s="20">
        <f t="shared" si="2"/>
        <v>0.01666666667</v>
      </c>
      <c r="P8" s="5">
        <f>IFERROR(__xludf.DUMMYFUNCTION("""COMPUTED_VALUE"""),187.0)</f>
        <v>187</v>
      </c>
      <c r="Q8" s="5">
        <f>IFERROR(__xludf.DUMMYFUNCTION("""COMPUTED_VALUE"""),195.0)</f>
        <v>195</v>
      </c>
      <c r="R8" s="1">
        <f t="shared" si="3"/>
        <v>4</v>
      </c>
      <c r="S8" s="1">
        <f t="shared" si="4"/>
        <v>0.06666666667</v>
      </c>
      <c r="U8" s="10" t="s">
        <v>16</v>
      </c>
      <c r="V8" s="10" t="s">
        <v>17</v>
      </c>
      <c r="X8" s="14" t="s">
        <v>19</v>
      </c>
      <c r="Y8" s="8">
        <f>IFERROR(__xludf.DUMMYFUNCTION("""COMPUTED_VALUE"""),118.0)</f>
        <v>118</v>
      </c>
      <c r="Z8" s="8">
        <f>IFERROR(__xludf.DUMMYFUNCTION("""COMPUTED_VALUE"""),118.0)</f>
        <v>118</v>
      </c>
      <c r="AA8" s="1">
        <f t="shared" si="7"/>
        <v>6</v>
      </c>
      <c r="AB8" s="1">
        <f t="shared" si="8"/>
        <v>0.1</v>
      </c>
      <c r="AD8" s="9">
        <f>IFERROR(__xludf.DUMMYFUNCTION("""COMPUTED_VALUE"""),330.0)</f>
        <v>330</v>
      </c>
      <c r="AE8" s="9">
        <f>IFERROR(__xludf.DUMMYFUNCTION("""COMPUTED_VALUE"""),330.0)</f>
        <v>330</v>
      </c>
      <c r="AF8" s="1">
        <f t="shared" si="9"/>
        <v>2</v>
      </c>
      <c r="AG8" s="1">
        <f t="shared" si="10"/>
        <v>0.03333333333</v>
      </c>
    </row>
    <row r="9">
      <c r="A9" s="1">
        <v>2.0</v>
      </c>
      <c r="B9" s="2">
        <v>214.0</v>
      </c>
      <c r="C9" s="2">
        <v>222.0</v>
      </c>
      <c r="D9" s="5">
        <v>187.0</v>
      </c>
      <c r="E9" s="5">
        <v>187.0</v>
      </c>
      <c r="F9" s="7">
        <v>187.0</v>
      </c>
      <c r="G9" s="7">
        <v>187.0</v>
      </c>
      <c r="H9" s="8">
        <v>118.0</v>
      </c>
      <c r="I9" s="8">
        <v>118.0</v>
      </c>
      <c r="J9" s="9">
        <v>330.0</v>
      </c>
      <c r="K9" s="9">
        <v>332.0</v>
      </c>
      <c r="L9" s="12">
        <f>IFERROR(__xludf.DUMMYFUNCTION("""COMPUTED_VALUE"""),216.0)</f>
        <v>216</v>
      </c>
      <c r="M9" s="12">
        <f>IFERROR(__xludf.DUMMYFUNCTION("""COMPUTED_VALUE"""),220.0)</f>
        <v>220</v>
      </c>
      <c r="N9" s="20">
        <f t="shared" si="1"/>
        <v>2</v>
      </c>
      <c r="O9" s="20">
        <f t="shared" si="2"/>
        <v>0.03333333333</v>
      </c>
      <c r="P9" s="5">
        <f>IFERROR(__xludf.DUMMYFUNCTION("""COMPUTED_VALUE"""),187.0)</f>
        <v>187</v>
      </c>
      <c r="Q9" s="5">
        <f>IFERROR(__xludf.DUMMYFUNCTION("""COMPUTED_VALUE"""),193.0)</f>
        <v>193</v>
      </c>
      <c r="R9" s="1">
        <f t="shared" si="3"/>
        <v>5</v>
      </c>
      <c r="S9" s="1">
        <f t="shared" si="4"/>
        <v>0.08333333333</v>
      </c>
      <c r="T9" s="10" t="s">
        <v>22</v>
      </c>
      <c r="U9" s="1">
        <f>W4/2</f>
        <v>0.04166666667</v>
      </c>
      <c r="V9" s="1">
        <f t="shared" ref="V9:V11" si="11">U9^2</f>
        <v>0.001736111111</v>
      </c>
      <c r="X9" s="15">
        <f>1-V12</f>
        <v>0.1415277778</v>
      </c>
      <c r="Y9" s="8">
        <f>IFERROR(__xludf.DUMMYFUNCTION("""COMPUTED_VALUE"""),118.0)</f>
        <v>118</v>
      </c>
      <c r="Z9" s="8">
        <f>IFERROR(__xludf.DUMMYFUNCTION("""COMPUTED_VALUE"""),120.0)</f>
        <v>120</v>
      </c>
      <c r="AA9" s="1">
        <f t="shared" si="7"/>
        <v>3</v>
      </c>
      <c r="AB9" s="1">
        <f t="shared" si="8"/>
        <v>0.05</v>
      </c>
      <c r="AD9" s="9">
        <f>IFERROR(__xludf.DUMMYFUNCTION("""COMPUTED_VALUE"""),330.0)</f>
        <v>330</v>
      </c>
      <c r="AE9" s="9">
        <f>IFERROR(__xludf.DUMMYFUNCTION("""COMPUTED_VALUE"""),332.0)</f>
        <v>332</v>
      </c>
      <c r="AF9" s="1">
        <f t="shared" si="9"/>
        <v>2</v>
      </c>
      <c r="AG9" s="1">
        <f t="shared" si="10"/>
        <v>0.03333333333</v>
      </c>
    </row>
    <row r="10">
      <c r="A10" s="1">
        <v>2.0</v>
      </c>
      <c r="B10" s="2">
        <v>214.0</v>
      </c>
      <c r="C10" s="2">
        <v>222.0</v>
      </c>
      <c r="D10" s="5">
        <v>184.0</v>
      </c>
      <c r="E10" s="5">
        <v>193.0</v>
      </c>
      <c r="F10" s="7">
        <v>187.0</v>
      </c>
      <c r="G10" s="7">
        <v>187.0</v>
      </c>
      <c r="H10" s="8">
        <v>118.0</v>
      </c>
      <c r="I10" s="8">
        <v>118.0</v>
      </c>
      <c r="J10" s="9">
        <v>319.0</v>
      </c>
      <c r="K10" s="9">
        <v>332.0</v>
      </c>
      <c r="L10" s="12">
        <f>IFERROR(__xludf.DUMMYFUNCTION("""COMPUTED_VALUE"""),216.0)</f>
        <v>216</v>
      </c>
      <c r="M10" s="12">
        <f>IFERROR(__xludf.DUMMYFUNCTION("""COMPUTED_VALUE"""),222.0)</f>
        <v>222</v>
      </c>
      <c r="N10" s="20">
        <f t="shared" si="1"/>
        <v>3</v>
      </c>
      <c r="O10" s="20">
        <f t="shared" si="2"/>
        <v>0.05</v>
      </c>
      <c r="P10" s="5">
        <f>IFERROR(__xludf.DUMMYFUNCTION("""COMPUTED_VALUE"""),191.0)</f>
        <v>191</v>
      </c>
      <c r="Q10" s="5">
        <f>IFERROR(__xludf.DUMMYFUNCTION("""COMPUTED_VALUE"""),195.0)</f>
        <v>195</v>
      </c>
      <c r="R10" s="1">
        <f t="shared" si="3"/>
        <v>1</v>
      </c>
      <c r="S10" s="1">
        <f t="shared" si="4"/>
        <v>0.01666666667</v>
      </c>
      <c r="T10" s="10" t="s">
        <v>20</v>
      </c>
      <c r="U10" s="1">
        <f>W3/2</f>
        <v>0.03333333333</v>
      </c>
      <c r="V10" s="1">
        <f t="shared" si="11"/>
        <v>0.001111111111</v>
      </c>
      <c r="X10" s="14" t="s">
        <v>21</v>
      </c>
      <c r="Y10" s="8">
        <f>IFERROR(__xludf.DUMMYFUNCTION("""COMPUTED_VALUE"""),112.0)</f>
        <v>112</v>
      </c>
      <c r="Z10" s="8">
        <f>IFERROR(__xludf.DUMMYFUNCTION("""COMPUTED_VALUE"""),118.0)</f>
        <v>118</v>
      </c>
      <c r="AA10" s="1">
        <f t="shared" si="7"/>
        <v>1</v>
      </c>
      <c r="AB10" s="1">
        <f t="shared" si="8"/>
        <v>0.01666666667</v>
      </c>
      <c r="AD10" s="9">
        <f>IFERROR(__xludf.DUMMYFUNCTION("""COMPUTED_VALUE"""),319.0)</f>
        <v>319</v>
      </c>
      <c r="AE10" s="9">
        <f>IFERROR(__xludf.DUMMYFUNCTION("""COMPUTED_VALUE"""),332.0)</f>
        <v>332</v>
      </c>
      <c r="AF10" s="1">
        <f t="shared" si="9"/>
        <v>2</v>
      </c>
      <c r="AG10" s="1">
        <f t="shared" si="10"/>
        <v>0.03333333333</v>
      </c>
    </row>
    <row r="11">
      <c r="A11" s="1">
        <v>2.0</v>
      </c>
      <c r="B11" s="2">
        <v>214.0</v>
      </c>
      <c r="C11" s="2">
        <v>222.0</v>
      </c>
      <c r="D11" s="5">
        <v>184.0</v>
      </c>
      <c r="E11" s="5">
        <v>195.0</v>
      </c>
      <c r="F11" s="7">
        <v>187.0</v>
      </c>
      <c r="G11" s="7">
        <v>187.0</v>
      </c>
      <c r="H11" s="8">
        <v>120.0</v>
      </c>
      <c r="I11" s="8">
        <v>126.0</v>
      </c>
      <c r="J11" s="9">
        <v>324.0</v>
      </c>
      <c r="K11" s="9">
        <v>330.0</v>
      </c>
      <c r="L11" s="12">
        <f>IFERROR(__xludf.DUMMYFUNCTION("""COMPUTED_VALUE"""),216.0)</f>
        <v>216</v>
      </c>
      <c r="M11" s="12">
        <f>IFERROR(__xludf.DUMMYFUNCTION("""COMPUTED_VALUE"""),224.0)</f>
        <v>224</v>
      </c>
      <c r="N11" s="20">
        <f t="shared" si="1"/>
        <v>1</v>
      </c>
      <c r="O11" s="20">
        <f t="shared" si="2"/>
        <v>0.01666666667</v>
      </c>
      <c r="P11" s="5">
        <f>IFERROR(__xludf.DUMMYFUNCTION("""COMPUTED_VALUE"""),184.0)</f>
        <v>184</v>
      </c>
      <c r="Q11" s="5">
        <f>IFERROR(__xludf.DUMMYFUNCTION("""COMPUTED_VALUE"""),191.0)</f>
        <v>191</v>
      </c>
      <c r="R11" s="1">
        <f t="shared" si="3"/>
        <v>3</v>
      </c>
      <c r="S11" s="1">
        <f t="shared" si="4"/>
        <v>0.05</v>
      </c>
      <c r="T11" s="10" t="s">
        <v>18</v>
      </c>
      <c r="U11" s="1">
        <f>W2+W3/2+W4/2</f>
        <v>0.925</v>
      </c>
      <c r="V11" s="1">
        <f t="shared" si="11"/>
        <v>0.855625</v>
      </c>
      <c r="X11" s="15">
        <f>(X9-X7)/X9</f>
        <v>-0.0598626104</v>
      </c>
      <c r="Y11" s="8">
        <f>IFERROR(__xludf.DUMMYFUNCTION("""COMPUTED_VALUE"""),118.0)</f>
        <v>118</v>
      </c>
      <c r="Z11" s="8">
        <f>IFERROR(__xludf.DUMMYFUNCTION("""COMPUTED_VALUE"""),128.0)</f>
        <v>128</v>
      </c>
      <c r="AA11" s="1">
        <f t="shared" si="7"/>
        <v>3</v>
      </c>
      <c r="AB11" s="1">
        <f t="shared" si="8"/>
        <v>0.05</v>
      </c>
      <c r="AD11" s="9">
        <f>IFERROR(__xludf.DUMMYFUNCTION("""COMPUTED_VALUE"""),324.0)</f>
        <v>324</v>
      </c>
      <c r="AE11" s="9">
        <f>IFERROR(__xludf.DUMMYFUNCTION("""COMPUTED_VALUE"""),330.0)</f>
        <v>330</v>
      </c>
      <c r="AF11" s="1">
        <f t="shared" si="9"/>
        <v>3</v>
      </c>
      <c r="AG11" s="1">
        <f t="shared" si="10"/>
        <v>0.05</v>
      </c>
    </row>
    <row r="12">
      <c r="A12" s="1">
        <v>2.0</v>
      </c>
      <c r="B12" s="2">
        <v>214.0</v>
      </c>
      <c r="C12" s="2">
        <v>222.0</v>
      </c>
      <c r="D12" s="5">
        <v>187.0</v>
      </c>
      <c r="E12" s="5">
        <v>195.0</v>
      </c>
      <c r="F12" s="7">
        <v>187.0</v>
      </c>
      <c r="G12" s="7">
        <v>187.0</v>
      </c>
      <c r="H12" s="8">
        <v>118.0</v>
      </c>
      <c r="I12" s="8">
        <v>120.0</v>
      </c>
      <c r="J12" s="9">
        <v>315.0</v>
      </c>
      <c r="K12" s="9">
        <v>339.0</v>
      </c>
      <c r="L12" s="12">
        <f>IFERROR(__xludf.DUMMYFUNCTION("""COMPUTED_VALUE"""),218.0)</f>
        <v>218</v>
      </c>
      <c r="M12" s="12">
        <f>IFERROR(__xludf.DUMMYFUNCTION("""COMPUTED_VALUE"""),218.0)</f>
        <v>218</v>
      </c>
      <c r="N12" s="20">
        <f t="shared" si="1"/>
        <v>3</v>
      </c>
      <c r="O12" s="20">
        <f t="shared" si="2"/>
        <v>0.05</v>
      </c>
      <c r="P12" s="5">
        <f>IFERROR(__xludf.DUMMYFUNCTION("""COMPUTED_VALUE"""),184.0)</f>
        <v>184</v>
      </c>
      <c r="Q12" s="5">
        <f>IFERROR(__xludf.DUMMYFUNCTION("""COMPUTED_VALUE"""),184.0)</f>
        <v>184</v>
      </c>
      <c r="R12" s="1">
        <f t="shared" si="3"/>
        <v>7</v>
      </c>
      <c r="S12" s="1">
        <f t="shared" si="4"/>
        <v>0.1166666667</v>
      </c>
      <c r="T12" s="10" t="s">
        <v>23</v>
      </c>
      <c r="U12" s="1">
        <f>SUM(U9:U11)</f>
        <v>1</v>
      </c>
      <c r="V12" s="1">
        <f>V9+V10+V11</f>
        <v>0.8584722222</v>
      </c>
      <c r="Y12" s="8">
        <f>IFERROR(__xludf.DUMMYFUNCTION("""COMPUTED_VALUE"""),116.0)</f>
        <v>116</v>
      </c>
      <c r="Z12" s="8">
        <f>IFERROR(__xludf.DUMMYFUNCTION("""COMPUTED_VALUE"""),118.0)</f>
        <v>118</v>
      </c>
      <c r="AA12" s="1">
        <f t="shared" si="7"/>
        <v>3</v>
      </c>
      <c r="AB12" s="1">
        <f t="shared" si="8"/>
        <v>0.05</v>
      </c>
      <c r="AD12" s="9">
        <f>IFERROR(__xludf.DUMMYFUNCTION("""COMPUTED_VALUE"""),315.0)</f>
        <v>315</v>
      </c>
      <c r="AE12" s="9">
        <f>IFERROR(__xludf.DUMMYFUNCTION("""COMPUTED_VALUE"""),332.0)</f>
        <v>332</v>
      </c>
      <c r="AF12" s="1">
        <f t="shared" si="9"/>
        <v>3</v>
      </c>
      <c r="AG12" s="1">
        <f t="shared" si="10"/>
        <v>0.05</v>
      </c>
    </row>
    <row r="13">
      <c r="A13" s="1">
        <v>2.0</v>
      </c>
      <c r="B13" s="2">
        <v>216.0</v>
      </c>
      <c r="C13" s="2">
        <v>218.0</v>
      </c>
      <c r="D13" s="5">
        <v>184.0</v>
      </c>
      <c r="E13" s="5">
        <v>193.0</v>
      </c>
      <c r="F13" s="7">
        <v>187.0</v>
      </c>
      <c r="G13" s="7">
        <v>187.0</v>
      </c>
      <c r="H13" s="8">
        <v>126.0</v>
      </c>
      <c r="I13" s="8">
        <v>128.0</v>
      </c>
      <c r="J13" s="9">
        <v>324.0</v>
      </c>
      <c r="K13" s="9">
        <v>330.0</v>
      </c>
      <c r="L13" s="12">
        <f>IFERROR(__xludf.DUMMYFUNCTION("""COMPUTED_VALUE"""),218.0)</f>
        <v>218</v>
      </c>
      <c r="M13" s="12">
        <f>IFERROR(__xludf.DUMMYFUNCTION("""COMPUTED_VALUE"""),220.0)</f>
        <v>220</v>
      </c>
      <c r="N13" s="20">
        <f t="shared" si="1"/>
        <v>3</v>
      </c>
      <c r="O13" s="20">
        <f t="shared" si="2"/>
        <v>0.05</v>
      </c>
      <c r="P13" s="5">
        <f>IFERROR(__xludf.DUMMYFUNCTION("""COMPUTED_VALUE"""),193.0)</f>
        <v>193</v>
      </c>
      <c r="Q13" s="5">
        <f>IFERROR(__xludf.DUMMYFUNCTION("""COMPUTED_VALUE"""),193.0)</f>
        <v>193</v>
      </c>
      <c r="R13" s="1">
        <f t="shared" si="3"/>
        <v>2</v>
      </c>
      <c r="S13" s="1">
        <f t="shared" si="4"/>
        <v>0.03333333333</v>
      </c>
      <c r="Y13" s="8">
        <f>IFERROR(__xludf.DUMMYFUNCTION("""COMPUTED_VALUE"""),122.0)</f>
        <v>122</v>
      </c>
      <c r="Z13" s="8">
        <f>IFERROR(__xludf.DUMMYFUNCTION("""COMPUTED_VALUE"""),126.0)</f>
        <v>126</v>
      </c>
      <c r="AA13" s="1">
        <f t="shared" si="7"/>
        <v>2</v>
      </c>
      <c r="AB13" s="1">
        <f t="shared" si="8"/>
        <v>0.03333333333</v>
      </c>
      <c r="AD13" s="9">
        <f>IFERROR(__xludf.DUMMYFUNCTION("""COMPUTED_VALUE"""),321.0)</f>
        <v>321</v>
      </c>
      <c r="AE13" s="9">
        <f>IFERROR(__xludf.DUMMYFUNCTION("""COMPUTED_VALUE"""),321.0)</f>
        <v>321</v>
      </c>
      <c r="AF13" s="1">
        <f t="shared" si="9"/>
        <v>2</v>
      </c>
      <c r="AG13" s="1">
        <f t="shared" si="10"/>
        <v>0.03333333333</v>
      </c>
    </row>
    <row r="14">
      <c r="A14" s="1">
        <v>2.0</v>
      </c>
      <c r="B14" s="2">
        <v>216.0</v>
      </c>
      <c r="C14" s="2">
        <v>220.0</v>
      </c>
      <c r="D14" s="5">
        <v>184.0</v>
      </c>
      <c r="E14" s="5">
        <v>193.0</v>
      </c>
      <c r="F14" s="7">
        <v>187.0</v>
      </c>
      <c r="G14" s="7">
        <v>187.0</v>
      </c>
      <c r="H14" s="8">
        <v>112.0</v>
      </c>
      <c r="I14" s="8">
        <v>118.0</v>
      </c>
      <c r="J14" s="9">
        <v>315.0</v>
      </c>
      <c r="K14" s="9">
        <v>332.0</v>
      </c>
      <c r="L14" s="12">
        <f>IFERROR(__xludf.DUMMYFUNCTION("""COMPUTED_VALUE"""),218.0)</f>
        <v>218</v>
      </c>
      <c r="M14" s="12">
        <f>IFERROR(__xludf.DUMMYFUNCTION("""COMPUTED_VALUE"""),222.0)</f>
        <v>222</v>
      </c>
      <c r="N14" s="20">
        <f t="shared" si="1"/>
        <v>2</v>
      </c>
      <c r="O14" s="20">
        <f t="shared" si="2"/>
        <v>0.03333333333</v>
      </c>
      <c r="P14" s="5">
        <f>IFERROR(__xludf.DUMMYFUNCTION("""COMPUTED_VALUE"""),191.0)</f>
        <v>191</v>
      </c>
      <c r="Q14" s="5">
        <f>IFERROR(__xludf.DUMMYFUNCTION("""COMPUTED_VALUE"""),193.0)</f>
        <v>193</v>
      </c>
      <c r="R14" s="1">
        <f t="shared" si="3"/>
        <v>2</v>
      </c>
      <c r="S14" s="1">
        <f t="shared" si="4"/>
        <v>0.03333333333</v>
      </c>
      <c r="T14" s="14" t="s">
        <v>67</v>
      </c>
      <c r="Y14" s="8">
        <f>IFERROR(__xludf.DUMMYFUNCTION("""COMPUTED_VALUE"""),116.0)</f>
        <v>116</v>
      </c>
      <c r="Z14" s="8">
        <f>IFERROR(__xludf.DUMMYFUNCTION("""COMPUTED_VALUE"""),122.0)</f>
        <v>122</v>
      </c>
      <c r="AA14" s="1">
        <f t="shared" si="7"/>
        <v>2</v>
      </c>
      <c r="AB14" s="1">
        <f t="shared" si="8"/>
        <v>0.03333333333</v>
      </c>
      <c r="AD14" s="9">
        <f>IFERROR(__xludf.DUMMYFUNCTION("""COMPUTED_VALUE"""),336.0)</f>
        <v>336</v>
      </c>
      <c r="AE14" s="9">
        <f>IFERROR(__xludf.DUMMYFUNCTION("""COMPUTED_VALUE"""),345.0)</f>
        <v>345</v>
      </c>
      <c r="AF14" s="1">
        <f t="shared" si="9"/>
        <v>2</v>
      </c>
      <c r="AG14" s="1">
        <f t="shared" si="10"/>
        <v>0.03333333333</v>
      </c>
    </row>
    <row r="15">
      <c r="A15" s="1">
        <v>2.0</v>
      </c>
      <c r="B15" s="2">
        <v>216.0</v>
      </c>
      <c r="C15" s="2">
        <v>220.0</v>
      </c>
      <c r="D15" s="5">
        <v>187.0</v>
      </c>
      <c r="E15" s="5">
        <v>187.0</v>
      </c>
      <c r="F15" s="7">
        <v>182.0</v>
      </c>
      <c r="G15" s="7">
        <v>187.0</v>
      </c>
      <c r="H15" s="8">
        <v>118.0</v>
      </c>
      <c r="I15" s="8">
        <v>128.0</v>
      </c>
      <c r="J15" s="9">
        <v>321.0</v>
      </c>
      <c r="K15" s="9">
        <v>321.0</v>
      </c>
      <c r="L15" s="12">
        <f>IFERROR(__xludf.DUMMYFUNCTION("""COMPUTED_VALUE"""),220.0)</f>
        <v>220</v>
      </c>
      <c r="M15" s="12">
        <f>IFERROR(__xludf.DUMMYFUNCTION("""COMPUTED_VALUE"""),220.0)</f>
        <v>220</v>
      </c>
      <c r="N15" s="20">
        <f t="shared" si="1"/>
        <v>5</v>
      </c>
      <c r="O15" s="20">
        <f t="shared" si="2"/>
        <v>0.08333333333</v>
      </c>
      <c r="P15" s="5">
        <f>IFERROR(__xludf.DUMMYFUNCTION("""COMPUTED_VALUE"""),193.0)</f>
        <v>193</v>
      </c>
      <c r="Q15" s="5">
        <f>IFERROR(__xludf.DUMMYFUNCTION("""COMPUTED_VALUE"""),196.0)</f>
        <v>196</v>
      </c>
      <c r="R15" s="1">
        <f t="shared" si="3"/>
        <v>1</v>
      </c>
      <c r="S15" s="1">
        <f t="shared" si="4"/>
        <v>0.01666666667</v>
      </c>
      <c r="T15" s="15">
        <f>SUM(S2,S3,S5,S6,S8,S9,S10,S11,S14,S15,S16)</f>
        <v>0.7</v>
      </c>
      <c r="Y15" s="8">
        <f>IFERROR(__xludf.DUMMYFUNCTION("""COMPUTED_VALUE"""),116.0)</f>
        <v>116</v>
      </c>
      <c r="Z15" s="8">
        <f>IFERROR(__xludf.DUMMYFUNCTION("""COMPUTED_VALUE"""),130.0)</f>
        <v>130</v>
      </c>
      <c r="AA15" s="1">
        <f t="shared" si="7"/>
        <v>1</v>
      </c>
      <c r="AB15" s="1">
        <f t="shared" si="8"/>
        <v>0.01666666667</v>
      </c>
      <c r="AD15" s="9">
        <f>IFERROR(__xludf.DUMMYFUNCTION("""COMPUTED_VALUE"""),321.0)</f>
        <v>321</v>
      </c>
      <c r="AE15" s="9">
        <f>IFERROR(__xludf.DUMMYFUNCTION("""COMPUTED_VALUE"""),339.0)</f>
        <v>339</v>
      </c>
      <c r="AF15" s="1">
        <f t="shared" si="9"/>
        <v>3</v>
      </c>
      <c r="AG15" s="1">
        <f t="shared" si="10"/>
        <v>0.05</v>
      </c>
    </row>
    <row r="16">
      <c r="A16" s="1">
        <v>2.0</v>
      </c>
      <c r="B16" s="2">
        <v>216.0</v>
      </c>
      <c r="C16" s="2">
        <v>222.0</v>
      </c>
      <c r="D16" s="5">
        <v>187.0</v>
      </c>
      <c r="E16" s="5">
        <v>193.0</v>
      </c>
      <c r="F16" s="7">
        <v>187.0</v>
      </c>
      <c r="G16" s="7">
        <v>187.0</v>
      </c>
      <c r="H16" s="8">
        <v>116.0</v>
      </c>
      <c r="I16" s="8">
        <v>118.0</v>
      </c>
      <c r="J16" s="9">
        <v>336.0</v>
      </c>
      <c r="K16" s="9">
        <v>345.0</v>
      </c>
      <c r="L16" s="12">
        <f>IFERROR(__xludf.DUMMYFUNCTION("""COMPUTED_VALUE"""),220.0)</f>
        <v>220</v>
      </c>
      <c r="M16" s="12">
        <f>IFERROR(__xludf.DUMMYFUNCTION("""COMPUTED_VALUE"""),222.0)</f>
        <v>222</v>
      </c>
      <c r="N16" s="20">
        <f t="shared" si="1"/>
        <v>10</v>
      </c>
      <c r="O16" s="20">
        <f t="shared" si="2"/>
        <v>0.1666666667</v>
      </c>
      <c r="P16" s="5">
        <f>IFERROR(__xludf.DUMMYFUNCTION("""COMPUTED_VALUE"""),195.0)</f>
        <v>195</v>
      </c>
      <c r="Q16" s="5">
        <f>IFERROR(__xludf.DUMMYFUNCTION("""COMPUTED_VALUE"""),195.0)</f>
        <v>195</v>
      </c>
      <c r="R16" s="1">
        <f t="shared" si="3"/>
        <v>2</v>
      </c>
      <c r="S16" s="1">
        <f t="shared" si="4"/>
        <v>0.03333333333</v>
      </c>
      <c r="T16" s="14" t="s">
        <v>19</v>
      </c>
      <c r="Y16" s="8">
        <f>IFERROR(__xludf.DUMMYFUNCTION("""COMPUTED_VALUE"""),118.0)</f>
        <v>118</v>
      </c>
      <c r="Z16" s="8">
        <f>IFERROR(__xludf.DUMMYFUNCTION("""COMPUTED_VALUE"""),126.0)</f>
        <v>126</v>
      </c>
      <c r="AA16" s="1">
        <f t="shared" si="7"/>
        <v>7</v>
      </c>
      <c r="AB16" s="1">
        <f t="shared" si="8"/>
        <v>0.1166666667</v>
      </c>
      <c r="AD16" s="9">
        <f>IFERROR(__xludf.DUMMYFUNCTION("""COMPUTED_VALUE"""),332.0)</f>
        <v>332</v>
      </c>
      <c r="AE16" s="9">
        <f>IFERROR(__xludf.DUMMYFUNCTION("""COMPUTED_VALUE"""),332.0)</f>
        <v>332</v>
      </c>
      <c r="AF16" s="1">
        <f t="shared" si="9"/>
        <v>3</v>
      </c>
      <c r="AG16" s="1">
        <f t="shared" si="10"/>
        <v>0.05</v>
      </c>
    </row>
    <row r="17">
      <c r="A17" s="1">
        <v>2.0</v>
      </c>
      <c r="B17" s="2">
        <v>216.0</v>
      </c>
      <c r="C17" s="2">
        <v>222.0</v>
      </c>
      <c r="D17" s="5">
        <v>184.0</v>
      </c>
      <c r="E17" s="5">
        <v>187.0</v>
      </c>
      <c r="F17" s="7">
        <v>187.0</v>
      </c>
      <c r="G17" s="7">
        <v>187.0</v>
      </c>
      <c r="H17" s="8">
        <v>122.0</v>
      </c>
      <c r="I17" s="8">
        <v>126.0</v>
      </c>
      <c r="J17" s="9">
        <v>321.0</v>
      </c>
      <c r="K17" s="9">
        <v>339.0</v>
      </c>
      <c r="L17" s="12">
        <f>IFERROR(__xludf.DUMMYFUNCTION("""COMPUTED_VALUE"""),220.0)</f>
        <v>220</v>
      </c>
      <c r="M17" s="12">
        <f>IFERROR(__xludf.DUMMYFUNCTION("""COMPUTED_VALUE"""),224.0)</f>
        <v>224</v>
      </c>
      <c r="N17" s="20">
        <f t="shared" si="1"/>
        <v>3</v>
      </c>
      <c r="O17" s="20">
        <f t="shared" si="2"/>
        <v>0.05</v>
      </c>
      <c r="T17" s="14">
        <f>1-S27</f>
        <v>0.7623611111</v>
      </c>
      <c r="Y17" s="8">
        <f>IFERROR(__xludf.DUMMYFUNCTION("""COMPUTED_VALUE"""),122.0)</f>
        <v>122</v>
      </c>
      <c r="Z17" s="8">
        <f>IFERROR(__xludf.DUMMYFUNCTION("""COMPUTED_VALUE"""),128.0)</f>
        <v>128</v>
      </c>
      <c r="AA17" s="1">
        <f t="shared" si="7"/>
        <v>1</v>
      </c>
      <c r="AB17" s="1">
        <f t="shared" si="8"/>
        <v>0.01666666667</v>
      </c>
      <c r="AD17" s="9">
        <f>IFERROR(__xludf.DUMMYFUNCTION("""COMPUTED_VALUE"""),315.0)</f>
        <v>315</v>
      </c>
      <c r="AE17" s="9">
        <f>IFERROR(__xludf.DUMMYFUNCTION("""COMPUTED_VALUE"""),321.0)</f>
        <v>321</v>
      </c>
      <c r="AF17" s="1">
        <f t="shared" si="9"/>
        <v>1</v>
      </c>
      <c r="AG17" s="1">
        <f t="shared" si="10"/>
        <v>0.01666666667</v>
      </c>
    </row>
    <row r="18">
      <c r="A18" s="1">
        <v>2.0</v>
      </c>
      <c r="B18" s="2">
        <v>216.0</v>
      </c>
      <c r="C18" s="2">
        <v>222.0</v>
      </c>
      <c r="D18" s="5">
        <v>184.0</v>
      </c>
      <c r="E18" s="5">
        <v>195.0</v>
      </c>
      <c r="F18" s="7">
        <v>187.0</v>
      </c>
      <c r="G18" s="7">
        <v>187.0</v>
      </c>
      <c r="H18" s="8">
        <v>126.0</v>
      </c>
      <c r="I18" s="8">
        <v>128.0</v>
      </c>
      <c r="J18" s="9">
        <v>332.0</v>
      </c>
      <c r="K18" s="9">
        <v>345.0</v>
      </c>
      <c r="L18" s="12">
        <f>IFERROR(__xludf.DUMMYFUNCTION("""COMPUTED_VALUE"""),220.0)</f>
        <v>220</v>
      </c>
      <c r="M18" s="12">
        <f>IFERROR(__xludf.DUMMYFUNCTION("""COMPUTED_VALUE"""),226.0)</f>
        <v>226</v>
      </c>
      <c r="N18" s="20">
        <f t="shared" si="1"/>
        <v>1</v>
      </c>
      <c r="O18" s="20">
        <f t="shared" si="2"/>
        <v>0.01666666667</v>
      </c>
      <c r="R18" s="13" t="s">
        <v>13</v>
      </c>
      <c r="S18" s="5">
        <f>SUM(S2:S16)</f>
        <v>1</v>
      </c>
      <c r="T18" s="14" t="s">
        <v>21</v>
      </c>
      <c r="Y18" s="8">
        <f>IFERROR(__xludf.DUMMYFUNCTION("""COMPUTED_VALUE"""),122.0)</f>
        <v>122</v>
      </c>
      <c r="Z18" s="8">
        <f>IFERROR(__xludf.DUMMYFUNCTION("""COMPUTED_VALUE"""),124.0)</f>
        <v>124</v>
      </c>
      <c r="AA18" s="1">
        <f t="shared" si="7"/>
        <v>2</v>
      </c>
      <c r="AB18" s="1">
        <f t="shared" si="8"/>
        <v>0.03333333333</v>
      </c>
      <c r="AD18" s="9">
        <f>IFERROR(__xludf.DUMMYFUNCTION("""COMPUTED_VALUE"""),330.0)</f>
        <v>330</v>
      </c>
      <c r="AE18" s="9">
        <f>IFERROR(__xludf.DUMMYFUNCTION("""COMPUTED_VALUE"""),339.0)</f>
        <v>339</v>
      </c>
      <c r="AF18" s="1">
        <f t="shared" si="9"/>
        <v>3</v>
      </c>
      <c r="AG18" s="1">
        <f t="shared" si="10"/>
        <v>0.05</v>
      </c>
    </row>
    <row r="19">
      <c r="A19" s="1">
        <v>2.0</v>
      </c>
      <c r="B19" s="2">
        <v>216.0</v>
      </c>
      <c r="C19" s="2">
        <v>224.0</v>
      </c>
      <c r="D19" s="5">
        <v>187.0</v>
      </c>
      <c r="E19" s="5">
        <v>187.0</v>
      </c>
      <c r="F19" s="7">
        <v>182.0</v>
      </c>
      <c r="G19" s="7">
        <v>187.0</v>
      </c>
      <c r="H19" s="8">
        <v>116.0</v>
      </c>
      <c r="I19" s="8">
        <v>122.0</v>
      </c>
      <c r="J19" s="9">
        <v>339.0</v>
      </c>
      <c r="K19" s="9">
        <v>339.0</v>
      </c>
      <c r="L19" s="12">
        <f>IFERROR(__xludf.DUMMYFUNCTION("""COMPUTED_VALUE"""),222.0)</f>
        <v>222</v>
      </c>
      <c r="M19" s="12">
        <f>IFERROR(__xludf.DUMMYFUNCTION("""COMPUTED_VALUE"""),222.0)</f>
        <v>222</v>
      </c>
      <c r="N19" s="20">
        <f t="shared" si="1"/>
        <v>12</v>
      </c>
      <c r="O19" s="20">
        <f t="shared" si="2"/>
        <v>0.2</v>
      </c>
      <c r="T19" s="15">
        <f>(T17-T15)/T17</f>
        <v>0.08179996356</v>
      </c>
      <c r="Y19" s="8">
        <f>IFERROR(__xludf.DUMMYFUNCTION("""COMPUTED_VALUE"""),112.0)</f>
        <v>112</v>
      </c>
      <c r="Z19" s="8">
        <f>IFERROR(__xludf.DUMMYFUNCTION("""COMPUTED_VALUE"""),128.0)</f>
        <v>128</v>
      </c>
      <c r="AA19" s="1">
        <f t="shared" si="7"/>
        <v>1</v>
      </c>
      <c r="AB19" s="1">
        <f t="shared" si="8"/>
        <v>0.01666666667</v>
      </c>
      <c r="AD19" s="9">
        <f>IFERROR(__xludf.DUMMYFUNCTION("""COMPUTED_VALUE"""),317.0)</f>
        <v>317</v>
      </c>
      <c r="AE19" s="9">
        <f>IFERROR(__xludf.DUMMYFUNCTION("""COMPUTED_VALUE"""),336.0)</f>
        <v>336</v>
      </c>
      <c r="AF19" s="1">
        <f t="shared" si="9"/>
        <v>1</v>
      </c>
      <c r="AG19" s="1">
        <f t="shared" si="10"/>
        <v>0.01666666667</v>
      </c>
    </row>
    <row r="20">
      <c r="A20" s="1">
        <v>2.0</v>
      </c>
      <c r="B20" s="2">
        <v>218.0</v>
      </c>
      <c r="C20" s="2">
        <v>218.0</v>
      </c>
      <c r="D20" s="5">
        <v>184.0</v>
      </c>
      <c r="E20" s="5">
        <v>187.0</v>
      </c>
      <c r="F20" s="7">
        <v>187.0</v>
      </c>
      <c r="G20" s="7">
        <v>187.0</v>
      </c>
      <c r="H20" s="8">
        <v>118.0</v>
      </c>
      <c r="I20" s="8">
        <v>118.0</v>
      </c>
      <c r="J20" s="9">
        <v>332.0</v>
      </c>
      <c r="K20" s="9">
        <v>332.0</v>
      </c>
      <c r="L20" s="12">
        <f>IFERROR(__xludf.DUMMYFUNCTION("""COMPUTED_VALUE"""),222.0)</f>
        <v>222</v>
      </c>
      <c r="M20" s="12">
        <f>IFERROR(__xludf.DUMMYFUNCTION("""COMPUTED_VALUE"""),224.0)</f>
        <v>224</v>
      </c>
      <c r="N20" s="20">
        <f t="shared" si="1"/>
        <v>2</v>
      </c>
      <c r="O20" s="20">
        <f t="shared" si="2"/>
        <v>0.03333333333</v>
      </c>
      <c r="R20" s="10" t="s">
        <v>16</v>
      </c>
      <c r="S20" s="10" t="s">
        <v>17</v>
      </c>
      <c r="T20" s="10" t="s">
        <v>15</v>
      </c>
      <c r="Y20" s="8">
        <f>IFERROR(__xludf.DUMMYFUNCTION("""COMPUTED_VALUE"""),118.0)</f>
        <v>118</v>
      </c>
      <c r="Z20" s="8">
        <f>IFERROR(__xludf.DUMMYFUNCTION("""COMPUTED_VALUE"""),124.0)</f>
        <v>124</v>
      </c>
      <c r="AA20" s="1">
        <f t="shared" si="7"/>
        <v>2</v>
      </c>
      <c r="AB20" s="1">
        <f t="shared" si="8"/>
        <v>0.03333333333</v>
      </c>
      <c r="AD20" s="9">
        <f>IFERROR(__xludf.DUMMYFUNCTION("""COMPUTED_VALUE"""),336.0)</f>
        <v>336</v>
      </c>
      <c r="AE20" s="9">
        <f>IFERROR(__xludf.DUMMYFUNCTION("""COMPUTED_VALUE"""),339.0)</f>
        <v>339</v>
      </c>
      <c r="AF20" s="1">
        <f t="shared" si="9"/>
        <v>2</v>
      </c>
      <c r="AG20" s="1">
        <f t="shared" si="10"/>
        <v>0.03333333333</v>
      </c>
    </row>
    <row r="21">
      <c r="A21" s="1">
        <v>2.0</v>
      </c>
      <c r="B21" s="2">
        <v>218.0</v>
      </c>
      <c r="C21" s="2">
        <v>218.0</v>
      </c>
      <c r="D21" s="5">
        <v>191.0</v>
      </c>
      <c r="E21" s="5">
        <v>195.0</v>
      </c>
      <c r="F21" s="7">
        <v>187.0</v>
      </c>
      <c r="G21" s="7">
        <v>187.0</v>
      </c>
      <c r="H21" s="8">
        <v>116.0</v>
      </c>
      <c r="I21" s="8">
        <v>130.0</v>
      </c>
      <c r="J21" s="9">
        <v>315.0</v>
      </c>
      <c r="K21" s="9">
        <v>321.0</v>
      </c>
      <c r="L21" s="12">
        <f>IFERROR(__xludf.DUMMYFUNCTION("""COMPUTED_VALUE"""),222.0)</f>
        <v>222</v>
      </c>
      <c r="M21" s="12">
        <f>IFERROR(__xludf.DUMMYFUNCTION("""COMPUTED_VALUE"""),226.0)</f>
        <v>226</v>
      </c>
      <c r="N21" s="20">
        <f t="shared" si="1"/>
        <v>1</v>
      </c>
      <c r="O21" s="20">
        <f t="shared" si="2"/>
        <v>0.01666666667</v>
      </c>
      <c r="Q21" s="10" t="s">
        <v>30</v>
      </c>
      <c r="R21" s="1">
        <f>S3/2+S5/2+S6/2+S11/2+S12</f>
        <v>0.325</v>
      </c>
      <c r="S21" s="1">
        <f t="shared" ref="S21:S26" si="12">R21^2</f>
        <v>0.105625</v>
      </c>
      <c r="T21" s="1">
        <f t="shared" ref="T21:T26" si="13">R21/2</f>
        <v>0.1625</v>
      </c>
      <c r="Y21" s="8">
        <f>IFERROR(__xludf.DUMMYFUNCTION("""COMPUTED_VALUE"""),116.0)</f>
        <v>116</v>
      </c>
      <c r="Z21" s="8">
        <f>IFERROR(__xludf.DUMMYFUNCTION("""COMPUTED_VALUE"""),126.0)</f>
        <v>126</v>
      </c>
      <c r="AA21" s="1">
        <f t="shared" si="7"/>
        <v>2</v>
      </c>
      <c r="AB21" s="1">
        <f t="shared" si="8"/>
        <v>0.03333333333</v>
      </c>
      <c r="AD21" s="9">
        <f>IFERROR(__xludf.DUMMYFUNCTION("""COMPUTED_VALUE"""),319.0)</f>
        <v>319</v>
      </c>
      <c r="AE21" s="9">
        <f>IFERROR(__xludf.DUMMYFUNCTION("""COMPUTED_VALUE"""),345.0)</f>
        <v>345</v>
      </c>
      <c r="AF21" s="1">
        <f t="shared" si="9"/>
        <v>1</v>
      </c>
      <c r="AG21" s="1">
        <f t="shared" si="10"/>
        <v>0.01666666667</v>
      </c>
    </row>
    <row r="22">
      <c r="A22" s="1">
        <v>2.0</v>
      </c>
      <c r="B22" s="2">
        <v>218.0</v>
      </c>
      <c r="C22" s="2">
        <v>218.0</v>
      </c>
      <c r="D22" s="5">
        <v>184.0</v>
      </c>
      <c r="E22" s="5">
        <v>191.0</v>
      </c>
      <c r="F22" s="7">
        <v>187.0</v>
      </c>
      <c r="G22" s="7">
        <v>187.0</v>
      </c>
      <c r="H22" s="8">
        <v>124.0</v>
      </c>
      <c r="I22" s="8">
        <v>126.0</v>
      </c>
      <c r="J22" s="9">
        <v>330.0</v>
      </c>
      <c r="K22" s="9">
        <v>339.0</v>
      </c>
      <c r="L22" s="19"/>
      <c r="M22" s="19"/>
      <c r="N22" s="19"/>
      <c r="O22" s="19"/>
      <c r="Q22" s="10" t="s">
        <v>18</v>
      </c>
      <c r="R22" s="1">
        <f>S4/2+S6/2+S7+S8/2+S9/2</f>
        <v>0.275</v>
      </c>
      <c r="S22" s="1">
        <f t="shared" si="12"/>
        <v>0.075625</v>
      </c>
      <c r="T22" s="1">
        <f t="shared" si="13"/>
        <v>0.1375</v>
      </c>
      <c r="Y22" s="8">
        <f>IFERROR(__xludf.DUMMYFUNCTION("""COMPUTED_VALUE"""),126.0)</f>
        <v>126</v>
      </c>
      <c r="Z22" s="8">
        <f>IFERROR(__xludf.DUMMYFUNCTION("""COMPUTED_VALUE"""),126.0)</f>
        <v>126</v>
      </c>
      <c r="AA22" s="1">
        <f t="shared" si="7"/>
        <v>3</v>
      </c>
      <c r="AB22" s="1">
        <f t="shared" si="8"/>
        <v>0.05</v>
      </c>
      <c r="AD22" s="9">
        <f>IFERROR(__xludf.DUMMYFUNCTION("""COMPUTED_VALUE"""),317.0)</f>
        <v>317</v>
      </c>
      <c r="AE22" s="9">
        <f>IFERROR(__xludf.DUMMYFUNCTION("""COMPUTED_VALUE"""),324.0)</f>
        <v>324</v>
      </c>
      <c r="AF22" s="1">
        <f t="shared" si="9"/>
        <v>2</v>
      </c>
      <c r="AG22" s="1">
        <f t="shared" si="10"/>
        <v>0.03333333333</v>
      </c>
    </row>
    <row r="23">
      <c r="A23" s="1">
        <v>2.0</v>
      </c>
      <c r="B23" s="2">
        <v>218.0</v>
      </c>
      <c r="C23" s="2">
        <v>220.0</v>
      </c>
      <c r="D23" s="5">
        <v>184.0</v>
      </c>
      <c r="E23" s="5">
        <v>195.0</v>
      </c>
      <c r="F23" s="7">
        <v>187.0</v>
      </c>
      <c r="G23" s="7">
        <v>187.0</v>
      </c>
      <c r="H23" s="8">
        <v>118.0</v>
      </c>
      <c r="I23" s="8">
        <v>126.0</v>
      </c>
      <c r="J23" s="9">
        <v>321.0</v>
      </c>
      <c r="K23" s="9">
        <v>321.0</v>
      </c>
      <c r="L23" s="19"/>
      <c r="M23" s="19"/>
      <c r="N23" s="21" t="s">
        <v>13</v>
      </c>
      <c r="O23" s="22">
        <f>SUM(O2:O21)</f>
        <v>1</v>
      </c>
      <c r="P23" s="14" t="s">
        <v>14</v>
      </c>
      <c r="Q23" s="10" t="s">
        <v>33</v>
      </c>
      <c r="R23" s="1">
        <f>S4/2+S11/2+S14/2+S10/2</f>
        <v>0.075</v>
      </c>
      <c r="S23" s="1">
        <f t="shared" si="12"/>
        <v>0.005625</v>
      </c>
      <c r="T23" s="1">
        <f t="shared" si="13"/>
        <v>0.0375</v>
      </c>
      <c r="Y23" s="8">
        <f>IFERROR(__xludf.DUMMYFUNCTION("""COMPUTED_VALUE"""),120.0)</f>
        <v>120</v>
      </c>
      <c r="Z23" s="8">
        <f>IFERROR(__xludf.DUMMYFUNCTION("""COMPUTED_VALUE"""),124.0)</f>
        <v>124</v>
      </c>
      <c r="AA23" s="1">
        <f t="shared" si="7"/>
        <v>1</v>
      </c>
      <c r="AB23" s="1">
        <f t="shared" si="8"/>
        <v>0.01666666667</v>
      </c>
      <c r="AD23" s="9">
        <f>IFERROR(__xludf.DUMMYFUNCTION("""COMPUTED_VALUE"""),332.0)</f>
        <v>332</v>
      </c>
      <c r="AE23" s="9">
        <f>IFERROR(__xludf.DUMMYFUNCTION("""COMPUTED_VALUE"""),336.0)</f>
        <v>336</v>
      </c>
      <c r="AF23" s="1">
        <f t="shared" si="9"/>
        <v>2</v>
      </c>
      <c r="AG23" s="1">
        <f t="shared" si="10"/>
        <v>0.03333333333</v>
      </c>
    </row>
    <row r="24">
      <c r="A24" s="1">
        <v>2.0</v>
      </c>
      <c r="B24" s="2">
        <v>218.0</v>
      </c>
      <c r="C24" s="2">
        <v>220.0</v>
      </c>
      <c r="D24" s="5">
        <v>184.0</v>
      </c>
      <c r="E24" s="5">
        <v>184.0</v>
      </c>
      <c r="F24" s="7">
        <v>176.0</v>
      </c>
      <c r="G24" s="7">
        <v>187.0</v>
      </c>
      <c r="H24" s="8">
        <v>124.0</v>
      </c>
      <c r="I24" s="8">
        <v>126.0</v>
      </c>
      <c r="J24" s="9">
        <v>324.0</v>
      </c>
      <c r="K24" s="9">
        <v>324.0</v>
      </c>
      <c r="L24" s="19"/>
      <c r="M24" s="19" t="s">
        <v>68</v>
      </c>
      <c r="N24" s="10" t="s">
        <v>17</v>
      </c>
      <c r="O24" s="10" t="s">
        <v>15</v>
      </c>
      <c r="P24" s="15">
        <f>SUM(O3,O4,O5,O6,O7,O8,O9,O10,O11,O13,O14,,O16,O17,O20,O21,O18)</f>
        <v>0.65</v>
      </c>
      <c r="Q24" s="10" t="s">
        <v>36</v>
      </c>
      <c r="R24" s="1">
        <f>S2/2+S3/2+S9/2+S13+S14/2+S15/2</f>
        <v>0.175</v>
      </c>
      <c r="S24" s="1">
        <f t="shared" si="12"/>
        <v>0.030625</v>
      </c>
      <c r="T24" s="1">
        <f t="shared" si="13"/>
        <v>0.0875</v>
      </c>
      <c r="Y24" s="8">
        <f>IFERROR(__xludf.DUMMYFUNCTION("""COMPUTED_VALUE"""),116.0)</f>
        <v>116</v>
      </c>
      <c r="Z24" s="8">
        <f>IFERROR(__xludf.DUMMYFUNCTION("""COMPUTED_VALUE"""),116.0)</f>
        <v>116</v>
      </c>
      <c r="AA24" s="1">
        <f t="shared" si="7"/>
        <v>1</v>
      </c>
      <c r="AB24" s="1">
        <f t="shared" si="8"/>
        <v>0.01666666667</v>
      </c>
      <c r="AD24" s="9">
        <f>IFERROR(__xludf.DUMMYFUNCTION("""COMPUTED_VALUE"""),315.0)</f>
        <v>315</v>
      </c>
      <c r="AE24" s="9">
        <f>IFERROR(__xludf.DUMMYFUNCTION("""COMPUTED_VALUE"""),336.0)</f>
        <v>336</v>
      </c>
      <c r="AF24" s="1">
        <f t="shared" si="9"/>
        <v>1</v>
      </c>
      <c r="AG24" s="1">
        <f t="shared" si="10"/>
        <v>0.01666666667</v>
      </c>
    </row>
    <row r="25">
      <c r="A25" s="1">
        <v>2.0</v>
      </c>
      <c r="B25" s="2">
        <v>218.0</v>
      </c>
      <c r="C25" s="2">
        <v>220.0</v>
      </c>
      <c r="D25" s="5">
        <v>184.0</v>
      </c>
      <c r="E25" s="5">
        <v>195.0</v>
      </c>
      <c r="F25" s="7">
        <v>187.0</v>
      </c>
      <c r="G25" s="7">
        <v>187.0</v>
      </c>
      <c r="H25" s="8">
        <v>118.0</v>
      </c>
      <c r="I25" s="8">
        <v>126.0</v>
      </c>
      <c r="J25" s="9">
        <v>324.0</v>
      </c>
      <c r="K25" s="9">
        <v>330.0</v>
      </c>
      <c r="L25" s="19" t="s">
        <v>27</v>
      </c>
      <c r="M25" s="20">
        <f>O3/2+O4/2+O5/2+O6/2+O2</f>
        <v>0.06666666667</v>
      </c>
      <c r="N25" s="1">
        <f t="shared" ref="N25:N32" si="14">M25^2</f>
        <v>0.004444444444</v>
      </c>
      <c r="O25" s="1">
        <f t="shared" ref="O25:O32" si="15">M25/2</f>
        <v>0.03333333333</v>
      </c>
      <c r="P25" s="14" t="s">
        <v>19</v>
      </c>
      <c r="Q25" s="10" t="s">
        <v>40</v>
      </c>
      <c r="R25" s="1">
        <f>S16+S10/2+S8/2+S5/2+S2/2</f>
        <v>0.1416666667</v>
      </c>
      <c r="S25" s="1">
        <f t="shared" si="12"/>
        <v>0.02006944444</v>
      </c>
      <c r="T25" s="1">
        <f t="shared" si="13"/>
        <v>0.07083333333</v>
      </c>
      <c r="Y25" s="8">
        <f>IFERROR(__xludf.DUMMYFUNCTION("""COMPUTED_VALUE"""),116.0)</f>
        <v>116</v>
      </c>
      <c r="Z25" s="8">
        <f>IFERROR(__xludf.DUMMYFUNCTION("""COMPUTED_VALUE"""),120.0)</f>
        <v>120</v>
      </c>
      <c r="AA25" s="1">
        <f t="shared" si="7"/>
        <v>1</v>
      </c>
      <c r="AB25" s="1">
        <f t="shared" si="8"/>
        <v>0.01666666667</v>
      </c>
      <c r="AD25" s="9">
        <f>IFERROR(__xludf.DUMMYFUNCTION("""COMPUTED_VALUE"""),324.0)</f>
        <v>324</v>
      </c>
      <c r="AE25" s="9">
        <f>IFERROR(__xludf.DUMMYFUNCTION("""COMPUTED_VALUE"""),339.0)</f>
        <v>339</v>
      </c>
      <c r="AF25" s="1">
        <f t="shared" si="9"/>
        <v>1</v>
      </c>
      <c r="AG25" s="1">
        <f t="shared" si="10"/>
        <v>0.01666666667</v>
      </c>
    </row>
    <row r="26">
      <c r="A26" s="1">
        <v>2.0</v>
      </c>
      <c r="B26" s="2">
        <v>218.0</v>
      </c>
      <c r="C26" s="2">
        <v>222.0</v>
      </c>
      <c r="D26" s="5">
        <v>187.0</v>
      </c>
      <c r="E26" s="5">
        <v>195.0</v>
      </c>
      <c r="F26" s="7">
        <v>187.0</v>
      </c>
      <c r="G26" s="7">
        <v>187.0</v>
      </c>
      <c r="H26" s="8">
        <v>118.0</v>
      </c>
      <c r="I26" s="8">
        <v>122.0</v>
      </c>
      <c r="J26" s="9">
        <v>317.0</v>
      </c>
      <c r="K26" s="9">
        <v>336.0</v>
      </c>
      <c r="L26" s="19" t="s">
        <v>69</v>
      </c>
      <c r="M26" s="20">
        <f>O7/2</f>
        <v>0.03333333333</v>
      </c>
      <c r="N26" s="1">
        <f t="shared" si="14"/>
        <v>0.001111111111</v>
      </c>
      <c r="O26" s="1">
        <f t="shared" si="15"/>
        <v>0.01666666667</v>
      </c>
      <c r="P26" s="15">
        <f>1-N33</f>
        <v>0.7544444444</v>
      </c>
      <c r="Q26" s="10" t="s">
        <v>44</v>
      </c>
      <c r="R26" s="1">
        <f>S15/2</f>
        <v>0.008333333333</v>
      </c>
      <c r="S26" s="1">
        <f t="shared" si="12"/>
        <v>0.00006944444444</v>
      </c>
      <c r="T26" s="1">
        <f t="shared" si="13"/>
        <v>0.004166666667</v>
      </c>
      <c r="AD26" s="9">
        <f>IFERROR(__xludf.DUMMYFUNCTION("""COMPUTED_VALUE"""),321.0)</f>
        <v>321</v>
      </c>
      <c r="AE26" s="9">
        <f>IFERROR(__xludf.DUMMYFUNCTION("""COMPUTED_VALUE"""),345.0)</f>
        <v>345</v>
      </c>
      <c r="AF26" s="1">
        <f t="shared" si="9"/>
        <v>3</v>
      </c>
      <c r="AG26" s="1">
        <f t="shared" si="10"/>
        <v>0.05</v>
      </c>
    </row>
    <row r="27">
      <c r="A27" s="1">
        <v>2.0</v>
      </c>
      <c r="B27" s="2">
        <v>218.0</v>
      </c>
      <c r="C27" s="2">
        <v>222.0</v>
      </c>
      <c r="D27" s="5">
        <v>187.0</v>
      </c>
      <c r="E27" s="5">
        <v>191.0</v>
      </c>
      <c r="F27" s="7">
        <v>187.0</v>
      </c>
      <c r="G27" s="7">
        <v>187.0</v>
      </c>
      <c r="H27" s="8">
        <v>118.0</v>
      </c>
      <c r="I27" s="8">
        <v>126.0</v>
      </c>
      <c r="J27" s="9">
        <v>330.0</v>
      </c>
      <c r="K27" s="9">
        <v>339.0</v>
      </c>
      <c r="L27" s="19" t="s">
        <v>29</v>
      </c>
      <c r="M27" s="20">
        <f>O8/2+O9/2+O10/2+O11/2</f>
        <v>0.05833333333</v>
      </c>
      <c r="N27" s="1">
        <f t="shared" si="14"/>
        <v>0.003402777778</v>
      </c>
      <c r="O27" s="1">
        <f t="shared" si="15"/>
        <v>0.02916666667</v>
      </c>
      <c r="P27" s="14" t="s">
        <v>21</v>
      </c>
      <c r="Q27" s="10" t="s">
        <v>23</v>
      </c>
      <c r="R27" s="1">
        <f t="shared" ref="R27:S27" si="16">SUM(R21:R26)</f>
        <v>1</v>
      </c>
      <c r="S27" s="1">
        <f t="shared" si="16"/>
        <v>0.2376388889</v>
      </c>
      <c r="U27" s="23"/>
      <c r="AA27" s="13" t="s">
        <v>13</v>
      </c>
      <c r="AB27" s="5">
        <f>SUM(AB2:AB25)</f>
        <v>1</v>
      </c>
      <c r="AC27" s="14" t="s">
        <v>14</v>
      </c>
      <c r="AD27" s="9">
        <f>IFERROR(__xludf.DUMMYFUNCTION("""COMPUTED_VALUE"""),315.0)</f>
        <v>315</v>
      </c>
      <c r="AE27" s="9">
        <f>IFERROR(__xludf.DUMMYFUNCTION("""COMPUTED_VALUE"""),330.0)</f>
        <v>330</v>
      </c>
      <c r="AF27" s="1">
        <f t="shared" si="9"/>
        <v>1</v>
      </c>
      <c r="AG27" s="1">
        <f t="shared" si="10"/>
        <v>0.01666666667</v>
      </c>
    </row>
    <row r="28">
      <c r="A28" s="1">
        <v>2.0</v>
      </c>
      <c r="B28" s="2">
        <v>220.0</v>
      </c>
      <c r="C28" s="2">
        <v>220.0</v>
      </c>
      <c r="D28" s="5">
        <v>187.0</v>
      </c>
      <c r="E28" s="5">
        <v>187.0</v>
      </c>
      <c r="F28" s="7">
        <v>187.0</v>
      </c>
      <c r="G28" s="7">
        <v>187.0</v>
      </c>
      <c r="H28" s="8">
        <v>118.0</v>
      </c>
      <c r="I28" s="8">
        <v>120.0</v>
      </c>
      <c r="J28" s="9">
        <v>336.0</v>
      </c>
      <c r="K28" s="9">
        <v>339.0</v>
      </c>
      <c r="L28" s="19" t="s">
        <v>32</v>
      </c>
      <c r="M28" s="20">
        <f>O3/2+O12+O13/2+O14/2+O8/2</f>
        <v>0.1083333333</v>
      </c>
      <c r="N28" s="1">
        <f t="shared" si="14"/>
        <v>0.01173611111</v>
      </c>
      <c r="O28" s="1">
        <f t="shared" si="15"/>
        <v>0.05416666667</v>
      </c>
      <c r="P28" s="15">
        <f>(P26-P24)/P26</f>
        <v>0.1384388807</v>
      </c>
      <c r="Q28" s="10">
        <v>6.0</v>
      </c>
      <c r="Z28" s="10" t="s">
        <v>68</v>
      </c>
      <c r="AA28" s="10" t="s">
        <v>17</v>
      </c>
      <c r="AB28" s="10" t="s">
        <v>15</v>
      </c>
      <c r="AC28" s="15">
        <f>AB2+AB3+AB4+AB5+AB6+AB7+AB9+AB10+AB11+AB12+AB13+AB14+AB15+AB16+AB17+AB18+AB19+AB20+AB21+AB23+AB25</f>
        <v>0.8333333333</v>
      </c>
      <c r="AD28" s="9">
        <f>IFERROR(__xludf.DUMMYFUNCTION("""COMPUTED_VALUE"""),330.0)</f>
        <v>330</v>
      </c>
      <c r="AE28" s="9">
        <f>IFERROR(__xludf.DUMMYFUNCTION("""COMPUTED_VALUE"""),345.0)</f>
        <v>345</v>
      </c>
      <c r="AF28" s="1">
        <f t="shared" si="9"/>
        <v>2</v>
      </c>
      <c r="AG28" s="1">
        <f t="shared" si="10"/>
        <v>0.03333333333</v>
      </c>
    </row>
    <row r="29">
      <c r="A29" s="1">
        <v>2.0</v>
      </c>
      <c r="B29" s="2">
        <v>220.0</v>
      </c>
      <c r="C29" s="2">
        <v>220.0</v>
      </c>
      <c r="D29" s="5">
        <v>187.0</v>
      </c>
      <c r="E29" s="5">
        <v>187.0</v>
      </c>
      <c r="F29" s="7">
        <v>187.0</v>
      </c>
      <c r="G29" s="7">
        <v>187.0</v>
      </c>
      <c r="H29" s="8">
        <v>124.0</v>
      </c>
      <c r="I29" s="8">
        <v>128.0</v>
      </c>
      <c r="J29" s="9">
        <v>319.0</v>
      </c>
      <c r="K29" s="9">
        <v>345.0</v>
      </c>
      <c r="L29" s="19" t="s">
        <v>35</v>
      </c>
      <c r="M29" s="20">
        <f>(O15)+(O16/2)+(O17/2)+(O18/2)+(O4/2)+(O9/2)+(O13/2)</f>
        <v>0.2583333333</v>
      </c>
      <c r="N29" s="1">
        <f t="shared" si="14"/>
        <v>0.06673611111</v>
      </c>
      <c r="O29" s="1">
        <f t="shared" si="15"/>
        <v>0.1291666667</v>
      </c>
      <c r="Y29" s="10" t="s">
        <v>31</v>
      </c>
      <c r="Z29" s="1">
        <f>AB4/2+AB10/2+AB19/2</f>
        <v>0.03333333333</v>
      </c>
      <c r="AA29" s="1">
        <f t="shared" ref="AA29:AA37" si="17">Z29^2</f>
        <v>0.001111111111</v>
      </c>
      <c r="AB29" s="1">
        <f t="shared" ref="AB29:AB37" si="18">Z29/2</f>
        <v>0.01666666667</v>
      </c>
      <c r="AC29" s="14" t="s">
        <v>19</v>
      </c>
      <c r="AD29" s="9">
        <f>IFERROR(__xludf.DUMMYFUNCTION("""COMPUTED_VALUE"""),339.0)</f>
        <v>339</v>
      </c>
      <c r="AE29" s="9">
        <f>IFERROR(__xludf.DUMMYFUNCTION("""COMPUTED_VALUE"""),345.0)</f>
        <v>345</v>
      </c>
      <c r="AF29" s="1">
        <f t="shared" si="9"/>
        <v>1</v>
      </c>
      <c r="AG29" s="1">
        <f t="shared" si="10"/>
        <v>0.01666666667</v>
      </c>
    </row>
    <row r="30">
      <c r="A30" s="1">
        <v>2.0</v>
      </c>
      <c r="B30" s="2">
        <v>220.0</v>
      </c>
      <c r="C30" s="2">
        <v>220.0</v>
      </c>
      <c r="D30" s="5">
        <v>184.0</v>
      </c>
      <c r="E30" s="5">
        <v>184.0</v>
      </c>
      <c r="F30" s="7">
        <v>187.0</v>
      </c>
      <c r="G30" s="7">
        <v>187.0</v>
      </c>
      <c r="H30" s="8">
        <v>122.0</v>
      </c>
      <c r="I30" s="8">
        <v>128.0</v>
      </c>
      <c r="J30" s="9">
        <v>317.0</v>
      </c>
      <c r="K30" s="9">
        <v>324.0</v>
      </c>
      <c r="L30" s="19" t="s">
        <v>39</v>
      </c>
      <c r="M30" s="20">
        <f>O5/2+(O7/2)+(O10/2)+(O14/2)+(O16/2)+(O19)+(O20/2)+O21/2</f>
        <v>0.3916666667</v>
      </c>
      <c r="N30" s="1">
        <f t="shared" si="14"/>
        <v>0.1534027778</v>
      </c>
      <c r="O30" s="1">
        <f t="shared" si="15"/>
        <v>0.1958333333</v>
      </c>
      <c r="Y30" s="10" t="s">
        <v>34</v>
      </c>
      <c r="Z30" s="1">
        <f>AB25/2+AB24+AB21/2+AB15/2+AB14/2+AB12/2</f>
        <v>0.09166666667</v>
      </c>
      <c r="AA30" s="1">
        <f t="shared" si="17"/>
        <v>0.008402777778</v>
      </c>
      <c r="AB30" s="1">
        <f t="shared" si="18"/>
        <v>0.04583333333</v>
      </c>
      <c r="AC30" s="15">
        <f>1-AA38</f>
        <v>0.8222222222</v>
      </c>
      <c r="AD30" s="9">
        <f>IFERROR(__xludf.DUMMYFUNCTION("""COMPUTED_VALUE"""),317.0)</f>
        <v>317</v>
      </c>
      <c r="AE30" s="9">
        <f>IFERROR(__xludf.DUMMYFUNCTION("""COMPUTED_VALUE"""),330.0)</f>
        <v>330</v>
      </c>
      <c r="AF30" s="1">
        <f t="shared" si="9"/>
        <v>1</v>
      </c>
      <c r="AG30" s="1">
        <f t="shared" si="10"/>
        <v>0.01666666667</v>
      </c>
    </row>
    <row r="31">
      <c r="A31" s="1">
        <v>2.0</v>
      </c>
      <c r="B31" s="2">
        <v>220.0</v>
      </c>
      <c r="C31" s="2">
        <v>220.0</v>
      </c>
      <c r="D31" s="5">
        <v>193.0</v>
      </c>
      <c r="E31" s="5">
        <v>193.0</v>
      </c>
      <c r="F31" s="7">
        <v>187.0</v>
      </c>
      <c r="G31" s="7">
        <v>187.0</v>
      </c>
      <c r="H31" s="8">
        <v>116.0</v>
      </c>
      <c r="I31" s="8">
        <v>122.0</v>
      </c>
      <c r="J31" s="9">
        <v>332.0</v>
      </c>
      <c r="K31" s="9">
        <v>336.0</v>
      </c>
      <c r="L31" s="19" t="s">
        <v>43</v>
      </c>
      <c r="M31" s="20">
        <f>O6/2+O11/2+O17/2+O20/2</f>
        <v>0.06666666667</v>
      </c>
      <c r="N31" s="1">
        <f t="shared" si="14"/>
        <v>0.004444444444</v>
      </c>
      <c r="O31" s="1">
        <f t="shared" si="15"/>
        <v>0.03333333333</v>
      </c>
      <c r="Y31" s="10" t="s">
        <v>37</v>
      </c>
      <c r="Z31" s="1">
        <f>AB20/2+AB16/2+AB12/2+AB11/2+AB10/2+AB9/2+AB8+AB6/2</f>
        <v>0.275</v>
      </c>
      <c r="AA31" s="1">
        <f t="shared" si="17"/>
        <v>0.075625</v>
      </c>
      <c r="AB31" s="1">
        <f t="shared" si="18"/>
        <v>0.1375</v>
      </c>
      <c r="AC31" s="14" t="s">
        <v>21</v>
      </c>
      <c r="AD31" s="9">
        <f>IFERROR(__xludf.DUMMYFUNCTION("""COMPUTED_VALUE"""),321.0)</f>
        <v>321</v>
      </c>
      <c r="AE31" s="9">
        <f>IFERROR(__xludf.DUMMYFUNCTION("""COMPUTED_VALUE"""),336.0)</f>
        <v>336</v>
      </c>
      <c r="AF31" s="1">
        <f t="shared" si="9"/>
        <v>1</v>
      </c>
      <c r="AG31" s="1">
        <f t="shared" si="10"/>
        <v>0.01666666667</v>
      </c>
    </row>
    <row r="32">
      <c r="A32" s="1">
        <v>2.0</v>
      </c>
      <c r="B32" s="2">
        <v>220.0</v>
      </c>
      <c r="C32" s="2">
        <v>220.0</v>
      </c>
      <c r="D32" s="5">
        <v>184.0</v>
      </c>
      <c r="E32" s="5">
        <v>184.0</v>
      </c>
      <c r="F32" s="7">
        <v>187.0</v>
      </c>
      <c r="G32" s="7">
        <v>187.0</v>
      </c>
      <c r="H32" s="8">
        <v>122.0</v>
      </c>
      <c r="I32" s="8">
        <v>124.0</v>
      </c>
      <c r="J32" s="9">
        <v>315.0</v>
      </c>
      <c r="K32" s="9">
        <v>339.0</v>
      </c>
      <c r="L32" s="19" t="s">
        <v>47</v>
      </c>
      <c r="M32" s="20">
        <f>O18/2+O21/2</f>
        <v>0.01666666667</v>
      </c>
      <c r="N32" s="1">
        <f t="shared" si="14"/>
        <v>0.0002777777778</v>
      </c>
      <c r="O32" s="1">
        <f t="shared" si="15"/>
        <v>0.008333333333</v>
      </c>
      <c r="Q32" s="10"/>
      <c r="Y32" s="10" t="s">
        <v>41</v>
      </c>
      <c r="Z32" s="1">
        <f>AB25/2+AB23/2+AB9/2+AB3/2</f>
        <v>0.06666666667</v>
      </c>
      <c r="AA32" s="1">
        <f t="shared" si="17"/>
        <v>0.004444444444</v>
      </c>
      <c r="AB32" s="1">
        <f t="shared" si="18"/>
        <v>0.03333333333</v>
      </c>
      <c r="AC32" s="15">
        <f>(AC30-AC28)/AC30</f>
        <v>-0.01351351351</v>
      </c>
      <c r="AD32" s="9">
        <f>IFERROR(__xludf.DUMMYFUNCTION("""COMPUTED_VALUE"""),330.0)</f>
        <v>330</v>
      </c>
      <c r="AE32" s="9">
        <f>IFERROR(__xludf.DUMMYFUNCTION("""COMPUTED_VALUE"""),336.0)</f>
        <v>336</v>
      </c>
      <c r="AF32" s="1">
        <f t="shared" si="9"/>
        <v>1</v>
      </c>
      <c r="AG32" s="1">
        <f t="shared" si="10"/>
        <v>0.01666666667</v>
      </c>
    </row>
    <row r="33">
      <c r="A33" s="1">
        <v>2.0</v>
      </c>
      <c r="B33" s="2">
        <v>220.0</v>
      </c>
      <c r="C33" s="2">
        <v>222.0</v>
      </c>
      <c r="D33" s="5">
        <v>191.0</v>
      </c>
      <c r="E33" s="5">
        <v>193.0</v>
      </c>
      <c r="F33" s="7">
        <v>187.0</v>
      </c>
      <c r="G33" s="7">
        <v>187.0</v>
      </c>
      <c r="H33" s="8">
        <v>118.0</v>
      </c>
      <c r="I33" s="8">
        <v>126.0</v>
      </c>
      <c r="J33" s="9">
        <v>315.0</v>
      </c>
      <c r="K33" s="9">
        <v>336.0</v>
      </c>
      <c r="L33" s="19" t="s">
        <v>23</v>
      </c>
      <c r="M33" s="20">
        <f t="shared" ref="M33:N33" si="19">SUM(M25:M32)</f>
        <v>1</v>
      </c>
      <c r="N33" s="1">
        <f t="shared" si="19"/>
        <v>0.2455555556</v>
      </c>
      <c r="Y33" s="10" t="s">
        <v>45</v>
      </c>
      <c r="Z33" s="1">
        <f>AB18/2+AB13/2+AB14/2+AB17/2+AB6/2</f>
        <v>0.075</v>
      </c>
      <c r="AA33" s="1">
        <f t="shared" si="17"/>
        <v>0.005625</v>
      </c>
      <c r="AB33" s="1">
        <f t="shared" si="18"/>
        <v>0.0375</v>
      </c>
      <c r="AD33" s="9">
        <f>IFERROR(__xludf.DUMMYFUNCTION("""COMPUTED_VALUE"""),332.0)</f>
        <v>332</v>
      </c>
      <c r="AE33" s="9">
        <f>IFERROR(__xludf.DUMMYFUNCTION("""COMPUTED_VALUE"""),339.0)</f>
        <v>339</v>
      </c>
      <c r="AF33" s="1">
        <f t="shared" si="9"/>
        <v>1</v>
      </c>
      <c r="AG33" s="1">
        <f t="shared" si="10"/>
        <v>0.01666666667</v>
      </c>
    </row>
    <row r="34">
      <c r="A34" s="1">
        <v>2.0</v>
      </c>
      <c r="B34" s="2">
        <v>220.0</v>
      </c>
      <c r="C34" s="2">
        <v>222.0</v>
      </c>
      <c r="D34" s="5">
        <v>184.0</v>
      </c>
      <c r="E34" s="5">
        <v>187.0</v>
      </c>
      <c r="F34" s="7">
        <v>176.0</v>
      </c>
      <c r="G34" s="7">
        <v>187.0</v>
      </c>
      <c r="H34" s="8">
        <v>118.0</v>
      </c>
      <c r="I34" s="8">
        <v>126.0</v>
      </c>
      <c r="J34" s="9">
        <v>330.0</v>
      </c>
      <c r="K34" s="9">
        <v>332.0</v>
      </c>
      <c r="L34" s="10" t="s">
        <v>70</v>
      </c>
      <c r="M34" s="10"/>
      <c r="P34" s="10"/>
      <c r="Y34" s="10" t="s">
        <v>49</v>
      </c>
      <c r="Z34" s="1">
        <f>AB23/2+AB20/2+AB18/2+AB5/2+AB7/2</f>
        <v>0.1</v>
      </c>
      <c r="AA34" s="1">
        <f t="shared" si="17"/>
        <v>0.01</v>
      </c>
      <c r="AB34" s="1">
        <f t="shared" si="18"/>
        <v>0.05</v>
      </c>
    </row>
    <row r="35">
      <c r="A35" s="1">
        <v>2.0</v>
      </c>
      <c r="B35" s="2">
        <v>220.0</v>
      </c>
      <c r="C35" s="2">
        <v>222.0</v>
      </c>
      <c r="D35" s="5">
        <v>184.0</v>
      </c>
      <c r="E35" s="5">
        <v>187.0</v>
      </c>
      <c r="F35" s="7">
        <v>187.0</v>
      </c>
      <c r="G35" s="7">
        <v>187.0</v>
      </c>
      <c r="H35" s="8">
        <v>112.0</v>
      </c>
      <c r="I35" s="8">
        <v>128.0</v>
      </c>
      <c r="J35" s="9">
        <v>336.0</v>
      </c>
      <c r="K35" s="9">
        <v>345.0</v>
      </c>
      <c r="L35" s="1">
        <f>M25*0.5+M26*0.5+M27*0.5+M28*0.5+M29*0.5+M30*0.5+M31*0.5+M32*0.5</f>
        <v>0.5</v>
      </c>
      <c r="Y35" s="10" t="s">
        <v>51</v>
      </c>
      <c r="Z35" s="1">
        <f>AB16/2+AB13/2+AB21/2+AB22+AB5/2+AB4/2+AB3/2+AB2/2</f>
        <v>0.25</v>
      </c>
      <c r="AA35" s="1">
        <f t="shared" si="17"/>
        <v>0.0625</v>
      </c>
      <c r="AB35" s="1">
        <f t="shared" si="18"/>
        <v>0.125</v>
      </c>
      <c r="AF35" s="13" t="s">
        <v>13</v>
      </c>
      <c r="AG35" s="5">
        <f>SUM(AG2:AG33)</f>
        <v>1</v>
      </c>
      <c r="AH35" s="14" t="s">
        <v>19</v>
      </c>
    </row>
    <row r="36">
      <c r="A36" s="1">
        <v>2.0</v>
      </c>
      <c r="B36" s="2">
        <v>220.0</v>
      </c>
      <c r="C36" s="2">
        <v>222.0</v>
      </c>
      <c r="D36" s="5">
        <v>187.0</v>
      </c>
      <c r="E36" s="5">
        <v>195.0</v>
      </c>
      <c r="F36" s="7">
        <v>187.0</v>
      </c>
      <c r="G36" s="7">
        <v>187.0</v>
      </c>
      <c r="H36" s="8">
        <v>118.0</v>
      </c>
      <c r="I36" s="8">
        <v>124.0</v>
      </c>
      <c r="J36" s="9">
        <v>324.0</v>
      </c>
      <c r="K36" s="9">
        <v>339.0</v>
      </c>
      <c r="L36" s="10" t="s">
        <v>61</v>
      </c>
      <c r="M36" s="10" t="s">
        <v>62</v>
      </c>
      <c r="N36" s="10" t="s">
        <v>71</v>
      </c>
      <c r="O36" s="10" t="s">
        <v>72</v>
      </c>
      <c r="P36" s="10" t="s">
        <v>73</v>
      </c>
      <c r="Y36" s="10" t="s">
        <v>53</v>
      </c>
      <c r="Z36" s="1">
        <f>AB19/2+AB17/2+AB11/2+AB7/2+AB2/2</f>
        <v>0.1</v>
      </c>
      <c r="AA36" s="1">
        <f t="shared" si="17"/>
        <v>0.01</v>
      </c>
      <c r="AB36" s="1">
        <f t="shared" si="18"/>
        <v>0.05</v>
      </c>
      <c r="AE36" s="10" t="s">
        <v>68</v>
      </c>
      <c r="AF36" s="10" t="s">
        <v>17</v>
      </c>
      <c r="AG36" s="10" t="s">
        <v>15</v>
      </c>
      <c r="AH36" s="15">
        <f>1-AF47</f>
        <v>0.8805555556</v>
      </c>
    </row>
    <row r="37">
      <c r="A37" s="1">
        <v>2.0</v>
      </c>
      <c r="B37" s="2">
        <v>220.0</v>
      </c>
      <c r="C37" s="2">
        <v>222.0</v>
      </c>
      <c r="D37" s="5">
        <v>184.0</v>
      </c>
      <c r="E37" s="5">
        <v>184.0</v>
      </c>
      <c r="F37" s="7">
        <v>187.0</v>
      </c>
      <c r="G37" s="7">
        <v>187.0</v>
      </c>
      <c r="H37" s="8">
        <v>124.0</v>
      </c>
      <c r="I37" s="8">
        <v>126.0</v>
      </c>
      <c r="J37" s="9">
        <v>315.0</v>
      </c>
      <c r="K37" s="9">
        <v>332.0</v>
      </c>
      <c r="L37" s="1">
        <f>SUM(P26+T17+X9+AC30+AH36)/5</f>
        <v>0.6722222222</v>
      </c>
      <c r="M37" s="1">
        <f>SUM(P24+T15+X7+AC28+AH38)/5</f>
        <v>0.63</v>
      </c>
      <c r="N37" s="10">
        <v>0.5</v>
      </c>
      <c r="O37" s="1">
        <f>N37*L37</f>
        <v>0.3361111111</v>
      </c>
      <c r="P37" s="1">
        <f>N37*M37</f>
        <v>0.315</v>
      </c>
      <c r="Y37" s="10" t="s">
        <v>56</v>
      </c>
      <c r="Z37" s="1">
        <f>AB15/2</f>
        <v>0.008333333333</v>
      </c>
      <c r="AA37" s="1">
        <f t="shared" si="17"/>
        <v>0.00006944444444</v>
      </c>
      <c r="AB37" s="1">
        <f t="shared" si="18"/>
        <v>0.004166666667</v>
      </c>
      <c r="AD37" s="10" t="s">
        <v>38</v>
      </c>
      <c r="AE37" s="1">
        <f>AG2/2+AG12/2+AG17/2+AG24/2+AG27/2+AG7/2</f>
        <v>0.1</v>
      </c>
      <c r="AF37" s="1">
        <f t="shared" ref="AF37:AF46" si="21">AE37^2</f>
        <v>0.01</v>
      </c>
      <c r="AG37" s="1">
        <f t="shared" ref="AG37:AG46" si="22">AE37/2</f>
        <v>0.05</v>
      </c>
      <c r="AH37" s="14" t="s">
        <v>14</v>
      </c>
    </row>
    <row r="38">
      <c r="A38" s="1">
        <v>2.0</v>
      </c>
      <c r="B38" s="2">
        <v>220.0</v>
      </c>
      <c r="C38" s="2">
        <v>222.0</v>
      </c>
      <c r="D38" s="5">
        <v>193.0</v>
      </c>
      <c r="E38" s="5">
        <v>196.0</v>
      </c>
      <c r="F38" s="7">
        <v>187.0</v>
      </c>
      <c r="G38" s="7">
        <v>187.0</v>
      </c>
      <c r="H38" s="8">
        <v>116.0</v>
      </c>
      <c r="I38" s="8">
        <v>126.0</v>
      </c>
      <c r="J38" s="9">
        <v>321.0</v>
      </c>
      <c r="K38" s="9">
        <v>345.0</v>
      </c>
      <c r="Y38" s="10" t="s">
        <v>23</v>
      </c>
      <c r="Z38" s="1">
        <f t="shared" ref="Z38:AA38" si="20">SUM(Z29:Z37)</f>
        <v>1</v>
      </c>
      <c r="AA38" s="1">
        <f t="shared" si="20"/>
        <v>0.1777777778</v>
      </c>
      <c r="AD38" s="10" t="s">
        <v>42</v>
      </c>
      <c r="AE38" s="1">
        <f>AG4/2+AG19/2+AG22/2+AG30/2</f>
        <v>0.04166666667</v>
      </c>
      <c r="AF38" s="1">
        <f t="shared" si="21"/>
        <v>0.001736111111</v>
      </c>
      <c r="AG38" s="1">
        <f t="shared" si="22"/>
        <v>0.02083333333</v>
      </c>
      <c r="AH38" s="15">
        <f>SUM(AG2+AG4+AG6+AG7+AG9+AG10+AG11+AG12+AG14+AG15+AG17+AG18+AG19+AG20+AG21+AG22+AG23+AG24+AG25+AG26+AG27+AG28+AG29+AG30+AG31+AG32+AG33)</f>
        <v>0.8166666667</v>
      </c>
    </row>
    <row r="39">
      <c r="A39" s="1">
        <v>2.0</v>
      </c>
      <c r="B39" s="2">
        <v>220.0</v>
      </c>
      <c r="C39" s="2">
        <v>222.0</v>
      </c>
      <c r="D39" s="5">
        <v>187.0</v>
      </c>
      <c r="E39" s="5">
        <v>191.0</v>
      </c>
      <c r="F39" s="7">
        <v>182.0</v>
      </c>
      <c r="G39" s="7">
        <v>187.0</v>
      </c>
      <c r="H39" s="8">
        <v>118.0</v>
      </c>
      <c r="I39" s="8">
        <v>118.0</v>
      </c>
      <c r="J39" s="9">
        <v>315.0</v>
      </c>
      <c r="K39" s="9">
        <v>330.0</v>
      </c>
      <c r="AD39" s="10" t="s">
        <v>46</v>
      </c>
      <c r="AE39" s="1">
        <f>AG10/2+AG21/2</f>
        <v>0.025</v>
      </c>
      <c r="AF39" s="1">
        <f t="shared" si="21"/>
        <v>0.000625</v>
      </c>
      <c r="AG39" s="1">
        <f t="shared" si="22"/>
        <v>0.0125</v>
      </c>
      <c r="AH39" s="14" t="s">
        <v>21</v>
      </c>
    </row>
    <row r="40">
      <c r="A40" s="1">
        <v>2.0</v>
      </c>
      <c r="B40" s="2">
        <v>220.0</v>
      </c>
      <c r="C40" s="2">
        <v>222.0</v>
      </c>
      <c r="D40" s="5">
        <v>191.0</v>
      </c>
      <c r="E40" s="5">
        <v>193.0</v>
      </c>
      <c r="F40" s="7">
        <v>187.0</v>
      </c>
      <c r="G40" s="7">
        <v>187.0</v>
      </c>
      <c r="H40" s="8">
        <v>126.0</v>
      </c>
      <c r="I40" s="8">
        <v>126.0</v>
      </c>
      <c r="J40" s="9">
        <v>321.0</v>
      </c>
      <c r="K40" s="9">
        <v>345.0</v>
      </c>
      <c r="AD40" s="10" t="s">
        <v>50</v>
      </c>
      <c r="AE40" s="1">
        <f>AG13+AG15/2+AG17/2+AG26/2+AG31/2</f>
        <v>0.1</v>
      </c>
      <c r="AF40" s="1">
        <f t="shared" si="21"/>
        <v>0.01</v>
      </c>
      <c r="AG40" s="1">
        <f t="shared" si="22"/>
        <v>0.05</v>
      </c>
      <c r="AH40" s="15">
        <f>(AH36-AH38)/AH36</f>
        <v>0.07255520505</v>
      </c>
    </row>
    <row r="41">
      <c r="A41" s="1">
        <v>2.0</v>
      </c>
      <c r="B41" s="2">
        <v>220.0</v>
      </c>
      <c r="C41" s="2">
        <v>222.0</v>
      </c>
      <c r="D41" s="5">
        <v>187.0</v>
      </c>
      <c r="E41" s="5">
        <v>195.0</v>
      </c>
      <c r="F41" s="7">
        <v>182.0</v>
      </c>
      <c r="G41" s="7">
        <v>187.0</v>
      </c>
      <c r="H41" s="8">
        <v>118.0</v>
      </c>
      <c r="I41" s="8">
        <v>120.0</v>
      </c>
      <c r="J41" s="9">
        <v>317.0</v>
      </c>
      <c r="K41" s="9">
        <v>324.0</v>
      </c>
      <c r="AD41" s="10" t="s">
        <v>52</v>
      </c>
      <c r="AE41" s="1">
        <f>AG3+AG11/2+AG22/2+AG25/2</f>
        <v>0.08333333333</v>
      </c>
      <c r="AF41" s="1">
        <f t="shared" si="21"/>
        <v>0.006944444444</v>
      </c>
      <c r="AG41" s="1">
        <f t="shared" si="22"/>
        <v>0.04166666667</v>
      </c>
    </row>
    <row r="42">
      <c r="A42" s="1">
        <v>2.0</v>
      </c>
      <c r="B42" s="2">
        <v>220.0</v>
      </c>
      <c r="C42" s="2">
        <v>222.0</v>
      </c>
      <c r="D42" s="5">
        <v>184.0</v>
      </c>
      <c r="E42" s="5">
        <v>187.0</v>
      </c>
      <c r="F42" s="7">
        <v>187.0</v>
      </c>
      <c r="G42" s="7">
        <v>187.0</v>
      </c>
      <c r="H42" s="8">
        <v>118.0</v>
      </c>
      <c r="I42" s="8">
        <v>128.0</v>
      </c>
      <c r="J42" s="9">
        <v>330.0</v>
      </c>
      <c r="K42" s="9">
        <v>345.0</v>
      </c>
      <c r="AD42" s="10" t="s">
        <v>54</v>
      </c>
      <c r="AE42" s="1">
        <f>AG8+AG9/2+AG11/2+AG18/2+AG27/2+AG28/2+AG30/2+AG32/2</f>
        <v>0.1416666667</v>
      </c>
      <c r="AF42" s="1">
        <f t="shared" si="21"/>
        <v>0.02006944444</v>
      </c>
      <c r="AG42" s="1">
        <f t="shared" si="22"/>
        <v>0.07083333333</v>
      </c>
    </row>
    <row r="43">
      <c r="A43" s="1">
        <v>2.0</v>
      </c>
      <c r="B43" s="2">
        <v>220.0</v>
      </c>
      <c r="C43" s="2">
        <v>224.0</v>
      </c>
      <c r="D43" s="5">
        <v>184.0</v>
      </c>
      <c r="E43" s="5">
        <v>187.0</v>
      </c>
      <c r="F43" s="7">
        <v>176.0</v>
      </c>
      <c r="G43" s="7">
        <v>187.0</v>
      </c>
      <c r="H43" s="8">
        <v>118.0</v>
      </c>
      <c r="I43" s="8">
        <v>128.0</v>
      </c>
      <c r="J43" s="9">
        <v>339.0</v>
      </c>
      <c r="K43" s="9">
        <v>345.0</v>
      </c>
      <c r="AD43" s="10" t="s">
        <v>57</v>
      </c>
      <c r="AE43" s="1">
        <f>AG6/2+AG9/2+AG10/2+AG12/2+AG16+AG23/2+AG33/2</f>
        <v>0.15</v>
      </c>
      <c r="AF43" s="1">
        <f t="shared" si="21"/>
        <v>0.0225</v>
      </c>
      <c r="AG43" s="1">
        <f t="shared" si="22"/>
        <v>0.075</v>
      </c>
    </row>
    <row r="44">
      <c r="A44" s="1">
        <v>2.0</v>
      </c>
      <c r="B44" s="2">
        <v>220.0</v>
      </c>
      <c r="C44" s="2">
        <v>224.0</v>
      </c>
      <c r="D44" s="5">
        <v>184.0</v>
      </c>
      <c r="E44" s="5">
        <v>193.0</v>
      </c>
      <c r="F44" s="7">
        <v>187.0</v>
      </c>
      <c r="G44" s="7">
        <v>187.0</v>
      </c>
      <c r="H44" s="8">
        <v>122.0</v>
      </c>
      <c r="I44" s="8">
        <v>126.0</v>
      </c>
      <c r="J44" s="9">
        <v>319.0</v>
      </c>
      <c r="K44" s="9">
        <v>332.0</v>
      </c>
      <c r="AD44" s="10" t="s">
        <v>60</v>
      </c>
      <c r="AE44" s="1">
        <f>AG14/2+AG19/2+AG20/2+AG23/2+AG24/2+AG31/2+AG32/2</f>
        <v>0.08333333333</v>
      </c>
      <c r="AF44" s="1">
        <f t="shared" si="21"/>
        <v>0.006944444444</v>
      </c>
      <c r="AG44" s="1">
        <f t="shared" si="22"/>
        <v>0.04166666667</v>
      </c>
    </row>
    <row r="45">
      <c r="A45" s="1">
        <v>2.0</v>
      </c>
      <c r="B45" s="2">
        <v>220.0</v>
      </c>
      <c r="C45" s="2">
        <v>224.0</v>
      </c>
      <c r="D45" s="5">
        <v>184.0</v>
      </c>
      <c r="E45" s="5">
        <v>187.0</v>
      </c>
      <c r="F45" s="7">
        <v>176.0</v>
      </c>
      <c r="G45" s="7">
        <v>187.0</v>
      </c>
      <c r="H45" s="8">
        <v>126.0</v>
      </c>
      <c r="I45" s="8">
        <v>128.0</v>
      </c>
      <c r="J45" s="9">
        <v>336.0</v>
      </c>
      <c r="K45" s="9">
        <v>339.0</v>
      </c>
      <c r="AD45" s="10" t="s">
        <v>63</v>
      </c>
      <c r="AE45" s="1">
        <f>AG33/2+AG29/2+AG25/2+AG20/2+AG18/2+AG15/2+AG7/2+AG4/2+AG5</f>
        <v>0.175</v>
      </c>
      <c r="AF45" s="1">
        <f t="shared" si="21"/>
        <v>0.030625</v>
      </c>
      <c r="AG45" s="1">
        <f t="shared" si="22"/>
        <v>0.0875</v>
      </c>
    </row>
    <row r="46">
      <c r="A46" s="1">
        <v>2.0</v>
      </c>
      <c r="B46" s="2">
        <v>220.0</v>
      </c>
      <c r="C46" s="2">
        <v>226.0</v>
      </c>
      <c r="D46" s="5">
        <v>184.0</v>
      </c>
      <c r="E46" s="5">
        <v>191.0</v>
      </c>
      <c r="F46" s="7">
        <v>187.0</v>
      </c>
      <c r="G46" s="7">
        <v>187.0</v>
      </c>
      <c r="H46" s="8">
        <v>124.0</v>
      </c>
      <c r="I46" s="8">
        <v>128.0</v>
      </c>
      <c r="J46" s="9">
        <v>330.0</v>
      </c>
      <c r="K46" s="9">
        <v>339.0</v>
      </c>
      <c r="AD46" s="10" t="s">
        <v>64</v>
      </c>
      <c r="AE46" s="1">
        <f>AG29/2+AG28/2+AG26/2+AG21/2+AG14/2+AG6/2+AG2/2</f>
        <v>0.1</v>
      </c>
      <c r="AF46" s="1">
        <f t="shared" si="21"/>
        <v>0.01</v>
      </c>
      <c r="AG46" s="1">
        <f t="shared" si="22"/>
        <v>0.05</v>
      </c>
    </row>
    <row r="47">
      <c r="A47" s="1">
        <v>2.0</v>
      </c>
      <c r="B47" s="2">
        <v>222.0</v>
      </c>
      <c r="C47" s="2">
        <v>222.0</v>
      </c>
      <c r="D47" s="5">
        <v>187.0</v>
      </c>
      <c r="E47" s="5">
        <v>193.0</v>
      </c>
      <c r="F47" s="7">
        <v>187.0</v>
      </c>
      <c r="G47" s="7">
        <v>187.0</v>
      </c>
      <c r="H47" s="8">
        <v>126.0</v>
      </c>
      <c r="I47" s="8">
        <v>126.0</v>
      </c>
      <c r="J47" s="9">
        <v>317.0</v>
      </c>
      <c r="K47" s="9">
        <v>330.0</v>
      </c>
      <c r="AD47" s="10" t="s">
        <v>74</v>
      </c>
      <c r="AE47" s="1">
        <f>SUM(AE36:AE46)</f>
        <v>1</v>
      </c>
      <c r="AF47" s="1">
        <f>SUM(AF37:AF46)</f>
        <v>0.1194444444</v>
      </c>
    </row>
    <row r="48">
      <c r="A48" s="1">
        <v>2.0</v>
      </c>
      <c r="B48" s="2">
        <v>222.0</v>
      </c>
      <c r="C48" s="2">
        <v>222.0</v>
      </c>
      <c r="D48" s="5">
        <v>184.0</v>
      </c>
      <c r="E48" s="5">
        <v>187.0</v>
      </c>
      <c r="F48" s="7">
        <v>187.0</v>
      </c>
      <c r="G48" s="7">
        <v>187.0</v>
      </c>
      <c r="H48" s="8">
        <v>118.0</v>
      </c>
      <c r="I48" s="8">
        <v>126.0</v>
      </c>
      <c r="J48" s="9">
        <v>321.0</v>
      </c>
      <c r="K48" s="9">
        <v>336.0</v>
      </c>
    </row>
    <row r="49">
      <c r="A49" s="1">
        <v>2.0</v>
      </c>
      <c r="B49" s="2">
        <v>222.0</v>
      </c>
      <c r="C49" s="2">
        <v>222.0</v>
      </c>
      <c r="D49" s="5">
        <v>187.0</v>
      </c>
      <c r="E49" s="5">
        <v>193.0</v>
      </c>
      <c r="F49" s="7">
        <v>187.0</v>
      </c>
      <c r="G49" s="7">
        <v>187.0</v>
      </c>
      <c r="H49" s="8">
        <v>126.0</v>
      </c>
      <c r="I49" s="8">
        <v>126.0</v>
      </c>
      <c r="J49" s="9">
        <v>330.0</v>
      </c>
      <c r="K49" s="9">
        <v>336.0</v>
      </c>
    </row>
    <row r="50">
      <c r="A50" s="1">
        <v>2.0</v>
      </c>
      <c r="B50" s="2">
        <v>222.0</v>
      </c>
      <c r="C50" s="2">
        <v>222.0</v>
      </c>
      <c r="D50" s="5">
        <v>187.0</v>
      </c>
      <c r="E50" s="5">
        <v>193.0</v>
      </c>
      <c r="F50" s="7">
        <v>187.0</v>
      </c>
      <c r="G50" s="7">
        <v>187.0</v>
      </c>
      <c r="H50" s="8">
        <v>112.0</v>
      </c>
      <c r="I50" s="8">
        <v>126.0</v>
      </c>
      <c r="J50" s="9">
        <v>332.0</v>
      </c>
      <c r="K50" s="9">
        <v>339.0</v>
      </c>
    </row>
    <row r="51">
      <c r="A51" s="1">
        <v>2.0</v>
      </c>
      <c r="B51" s="2">
        <v>222.0</v>
      </c>
      <c r="C51" s="2">
        <v>222.0</v>
      </c>
      <c r="D51" s="5">
        <v>193.0</v>
      </c>
      <c r="E51" s="5">
        <v>195.0</v>
      </c>
      <c r="F51" s="7">
        <v>187.0</v>
      </c>
      <c r="G51" s="7">
        <v>187.0</v>
      </c>
      <c r="H51" s="8">
        <v>116.0</v>
      </c>
      <c r="I51" s="8">
        <v>118.0</v>
      </c>
      <c r="J51" s="9">
        <v>315.0</v>
      </c>
      <c r="K51" s="9">
        <v>339.0</v>
      </c>
    </row>
    <row r="52">
      <c r="A52" s="1">
        <v>2.0</v>
      </c>
      <c r="B52" s="2">
        <v>222.0</v>
      </c>
      <c r="C52" s="2">
        <v>222.0</v>
      </c>
      <c r="D52" s="5">
        <v>193.0</v>
      </c>
      <c r="E52" s="5">
        <v>193.0</v>
      </c>
      <c r="F52" s="7">
        <v>187.0</v>
      </c>
      <c r="G52" s="7">
        <v>187.0</v>
      </c>
      <c r="H52" s="8">
        <v>118.0</v>
      </c>
      <c r="I52" s="8">
        <v>118.0</v>
      </c>
      <c r="J52" s="9">
        <v>332.0</v>
      </c>
      <c r="K52" s="9">
        <v>336.0</v>
      </c>
    </row>
    <row r="53">
      <c r="A53" s="1">
        <v>2.0</v>
      </c>
      <c r="B53" s="2">
        <v>222.0</v>
      </c>
      <c r="C53" s="2">
        <v>222.0</v>
      </c>
      <c r="D53" s="5">
        <v>184.0</v>
      </c>
      <c r="E53" s="5">
        <v>184.0</v>
      </c>
      <c r="F53" s="7">
        <v>187.0</v>
      </c>
      <c r="G53" s="7">
        <v>187.0</v>
      </c>
      <c r="H53" s="8">
        <v>120.0</v>
      </c>
      <c r="I53" s="8">
        <v>124.0</v>
      </c>
      <c r="J53" s="9">
        <v>321.0</v>
      </c>
      <c r="K53" s="9">
        <v>345.0</v>
      </c>
    </row>
    <row r="54">
      <c r="A54" s="1">
        <v>2.0</v>
      </c>
      <c r="B54" s="2">
        <v>222.0</v>
      </c>
      <c r="C54" s="2">
        <v>222.0</v>
      </c>
      <c r="D54" s="5">
        <v>184.0</v>
      </c>
      <c r="E54" s="5">
        <v>191.0</v>
      </c>
      <c r="F54" s="7">
        <v>176.0</v>
      </c>
      <c r="G54" s="7">
        <v>187.0</v>
      </c>
      <c r="H54" s="8">
        <v>116.0</v>
      </c>
      <c r="I54" s="8">
        <v>118.0</v>
      </c>
      <c r="J54" s="9">
        <v>332.0</v>
      </c>
      <c r="K54" s="9">
        <v>332.0</v>
      </c>
    </row>
    <row r="55">
      <c r="A55" s="1">
        <v>2.0</v>
      </c>
      <c r="B55" s="2">
        <v>222.0</v>
      </c>
      <c r="C55" s="2">
        <v>222.0</v>
      </c>
      <c r="D55" s="5">
        <v>187.0</v>
      </c>
      <c r="E55" s="5">
        <v>187.0</v>
      </c>
      <c r="F55" s="7">
        <v>187.0</v>
      </c>
      <c r="G55" s="7">
        <v>187.0</v>
      </c>
      <c r="H55" s="8">
        <v>118.0</v>
      </c>
      <c r="I55" s="8">
        <v>118.0</v>
      </c>
      <c r="J55" s="9">
        <v>332.0</v>
      </c>
      <c r="K55" s="9">
        <v>332.0</v>
      </c>
    </row>
    <row r="56">
      <c r="A56" s="1">
        <v>2.0</v>
      </c>
      <c r="B56" s="2">
        <v>222.0</v>
      </c>
      <c r="C56" s="2">
        <v>222.0</v>
      </c>
      <c r="D56" s="5">
        <v>184.0</v>
      </c>
      <c r="E56" s="5">
        <v>184.0</v>
      </c>
      <c r="F56" s="7">
        <v>187.0</v>
      </c>
      <c r="G56" s="7">
        <v>187.0</v>
      </c>
      <c r="H56" s="8">
        <v>116.0</v>
      </c>
      <c r="I56" s="8">
        <v>116.0</v>
      </c>
      <c r="J56" s="9">
        <v>330.0</v>
      </c>
      <c r="K56" s="9">
        <v>330.0</v>
      </c>
    </row>
    <row r="57">
      <c r="A57" s="1">
        <v>2.0</v>
      </c>
      <c r="B57" s="2">
        <v>222.0</v>
      </c>
      <c r="C57" s="2">
        <v>222.0</v>
      </c>
      <c r="D57" s="5">
        <v>184.0</v>
      </c>
      <c r="E57" s="5">
        <v>184.0</v>
      </c>
      <c r="F57" s="7">
        <v>187.0</v>
      </c>
      <c r="G57" s="7">
        <v>187.0</v>
      </c>
      <c r="H57" s="8">
        <v>118.0</v>
      </c>
      <c r="I57" s="8">
        <v>124.0</v>
      </c>
      <c r="J57" s="9">
        <v>315.0</v>
      </c>
      <c r="K57" s="9">
        <v>332.0</v>
      </c>
    </row>
    <row r="58">
      <c r="A58" s="1">
        <v>2.0</v>
      </c>
      <c r="B58" s="2">
        <v>222.0</v>
      </c>
      <c r="C58" s="2">
        <v>222.0</v>
      </c>
      <c r="D58" s="5">
        <v>187.0</v>
      </c>
      <c r="E58" s="5">
        <v>193.0</v>
      </c>
      <c r="F58" s="7">
        <v>187.0</v>
      </c>
      <c r="G58" s="7">
        <v>187.0</v>
      </c>
      <c r="H58" s="8">
        <v>116.0</v>
      </c>
      <c r="I58" s="8">
        <v>120.0</v>
      </c>
      <c r="J58" s="9">
        <v>321.0</v>
      </c>
      <c r="K58" s="9">
        <v>339.0</v>
      </c>
    </row>
    <row r="59">
      <c r="A59" s="1">
        <v>2.0</v>
      </c>
      <c r="B59" s="2">
        <v>222.0</v>
      </c>
      <c r="C59" s="2">
        <v>224.0</v>
      </c>
      <c r="D59" s="5">
        <v>195.0</v>
      </c>
      <c r="E59" s="5">
        <v>195.0</v>
      </c>
      <c r="F59" s="7">
        <v>187.0</v>
      </c>
      <c r="G59" s="7">
        <v>187.0</v>
      </c>
      <c r="H59" s="8">
        <v>118.0</v>
      </c>
      <c r="I59" s="8">
        <v>126.0</v>
      </c>
      <c r="J59" s="9">
        <v>330.0</v>
      </c>
      <c r="K59" s="9">
        <v>345.0</v>
      </c>
    </row>
    <row r="60">
      <c r="A60" s="1">
        <v>2.0</v>
      </c>
      <c r="B60" s="2">
        <v>222.0</v>
      </c>
      <c r="C60" s="2">
        <v>224.0</v>
      </c>
      <c r="D60" s="5">
        <v>184.0</v>
      </c>
      <c r="E60" s="5">
        <v>193.0</v>
      </c>
      <c r="F60" s="7">
        <v>187.0</v>
      </c>
      <c r="G60" s="7">
        <v>187.0</v>
      </c>
      <c r="H60" s="8">
        <v>116.0</v>
      </c>
      <c r="I60" s="8">
        <v>126.0</v>
      </c>
      <c r="J60" s="9">
        <v>321.0</v>
      </c>
      <c r="K60" s="9">
        <v>339.0</v>
      </c>
    </row>
    <row r="61">
      <c r="A61" s="1">
        <v>2.0</v>
      </c>
      <c r="B61" s="2">
        <v>222.0</v>
      </c>
      <c r="C61" s="2">
        <v>226.0</v>
      </c>
      <c r="D61" s="5">
        <v>195.0</v>
      </c>
      <c r="E61" s="5">
        <v>195.0</v>
      </c>
      <c r="F61" s="7">
        <v>187.0</v>
      </c>
      <c r="G61" s="7">
        <v>187.0</v>
      </c>
      <c r="H61" s="8">
        <v>122.0</v>
      </c>
      <c r="I61" s="8">
        <v>124.0</v>
      </c>
      <c r="J61" s="9">
        <v>315.0</v>
      </c>
      <c r="K61" s="9">
        <v>339.0</v>
      </c>
    </row>
    <row r="62">
      <c r="A62" s="10" t="s">
        <v>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0">
        <v>1.0</v>
      </c>
      <c r="B2" s="10">
        <v>2.0</v>
      </c>
      <c r="D2" s="10" t="s">
        <v>76</v>
      </c>
    </row>
    <row r="3">
      <c r="A3" s="10" t="s">
        <v>61</v>
      </c>
      <c r="B3" s="10" t="s">
        <v>61</v>
      </c>
      <c r="D3" s="10" t="s">
        <v>77</v>
      </c>
    </row>
    <row r="4">
      <c r="A4" s="10">
        <v>0.6932921574</v>
      </c>
      <c r="B4" s="10">
        <v>0.6722222222</v>
      </c>
      <c r="D4" s="10">
        <v>0.5</v>
      </c>
      <c r="G4" s="10" t="s">
        <v>78</v>
      </c>
    </row>
    <row r="5">
      <c r="A5" s="10" t="s">
        <v>62</v>
      </c>
      <c r="B5" s="10" t="s">
        <v>62</v>
      </c>
      <c r="D5" s="10" t="s">
        <v>79</v>
      </c>
      <c r="G5" s="10" t="s">
        <v>80</v>
      </c>
      <c r="H5" s="10" t="s">
        <v>81</v>
      </c>
    </row>
    <row r="6">
      <c r="A6" s="10">
        <v>0.6372881356</v>
      </c>
      <c r="B6" s="10">
        <v>0.63</v>
      </c>
      <c r="D6" s="1">
        <f>A6*D4+B6*D4</f>
        <v>0.6336440678</v>
      </c>
      <c r="G6" s="1">
        <f>A6*D4</f>
        <v>0.3186440678</v>
      </c>
      <c r="H6" s="1">
        <f>B6*D4</f>
        <v>0.315</v>
      </c>
    </row>
    <row r="7">
      <c r="D7" s="10" t="s">
        <v>82</v>
      </c>
      <c r="G7" s="10" t="s">
        <v>83</v>
      </c>
      <c r="H7" s="10" t="s">
        <v>84</v>
      </c>
    </row>
    <row r="8">
      <c r="D8" s="1">
        <f>A4*D4+B4*D4</f>
        <v>0.6827571898</v>
      </c>
      <c r="G8" s="1">
        <f>A4*D4</f>
        <v>0.3466460787</v>
      </c>
      <c r="H8" s="1">
        <f>B4*D4</f>
        <v>0.3361111111</v>
      </c>
    </row>
    <row r="9">
      <c r="D9" s="10" t="s">
        <v>85</v>
      </c>
    </row>
    <row r="12">
      <c r="B12" s="10" t="s">
        <v>86</v>
      </c>
      <c r="C12" s="10" t="s">
        <v>87</v>
      </c>
      <c r="D12" s="10" t="s">
        <v>88</v>
      </c>
      <c r="E12" s="10" t="s">
        <v>89</v>
      </c>
      <c r="F12" s="10" t="s">
        <v>85</v>
      </c>
      <c r="G12" s="10" t="s">
        <v>90</v>
      </c>
      <c r="H12" s="10" t="s">
        <v>91</v>
      </c>
    </row>
    <row r="13">
      <c r="A13" s="10" t="s">
        <v>26</v>
      </c>
      <c r="B13" s="10">
        <f>'Populacja 1'!L20</f>
        <v>0.008474576271</v>
      </c>
      <c r="C13" s="10">
        <f t="shared" ref="C13:C21" si="1">B13^2</f>
        <v>0.00007181844298</v>
      </c>
      <c r="D13" s="10">
        <f t="shared" ref="D13:D21" si="2">1-C13</f>
        <v>0.9999281816</v>
      </c>
      <c r="E13" s="1">
        <f>SUM(D13:D54)</f>
        <v>35.47605158</v>
      </c>
      <c r="F13" s="1">
        <f>E13*0.5</f>
        <v>17.73802579</v>
      </c>
      <c r="G13" s="1">
        <f>(F13-D8)/F13</f>
        <v>0.9615088399</v>
      </c>
      <c r="H13" s="1">
        <f>(D8-D6)/D8</f>
        <v>0.07193351126</v>
      </c>
    </row>
    <row r="14">
      <c r="A14" s="19" t="s">
        <v>27</v>
      </c>
      <c r="B14" s="1">
        <f>'Populacja 1'!L22+'Populacja 2'!O25</f>
        <v>0.03757062147</v>
      </c>
      <c r="C14" s="1">
        <f t="shared" si="1"/>
        <v>0.001411551598</v>
      </c>
      <c r="D14" s="1">
        <f t="shared" si="2"/>
        <v>0.9985884484</v>
      </c>
    </row>
    <row r="15">
      <c r="A15" s="19" t="s">
        <v>69</v>
      </c>
      <c r="B15" s="1">
        <f>0.01694915254+0.01666666667</f>
        <v>0.03361581921</v>
      </c>
      <c r="C15" s="1">
        <f t="shared" si="1"/>
        <v>0.001130023301</v>
      </c>
      <c r="D15" s="1">
        <f t="shared" si="2"/>
        <v>0.9988699767</v>
      </c>
    </row>
    <row r="16">
      <c r="A16" s="19" t="s">
        <v>29</v>
      </c>
      <c r="B16" s="1">
        <f>0.008474576271+0.02916666667</f>
        <v>0.03764124294</v>
      </c>
      <c r="C16" s="1">
        <f t="shared" si="1"/>
        <v>0.00141686317</v>
      </c>
      <c r="D16" s="1">
        <f t="shared" si="2"/>
        <v>0.9985831368</v>
      </c>
    </row>
    <row r="17">
      <c r="A17" s="19" t="s">
        <v>32</v>
      </c>
      <c r="B17" s="1">
        <f>0.03813559322+0.05416666667</f>
        <v>0.09230225989</v>
      </c>
      <c r="C17" s="1">
        <f t="shared" si="1"/>
        <v>0.008519707181</v>
      </c>
      <c r="D17" s="1">
        <f t="shared" si="2"/>
        <v>0.9914802928</v>
      </c>
      <c r="I17" s="10"/>
    </row>
    <row r="18">
      <c r="A18" s="19" t="s">
        <v>35</v>
      </c>
      <c r="B18" s="1">
        <f>0.1101694915+0.1291666667</f>
        <v>0.2393361582</v>
      </c>
      <c r="C18" s="1">
        <f t="shared" si="1"/>
        <v>0.05728179662</v>
      </c>
      <c r="D18" s="1">
        <f t="shared" si="2"/>
        <v>0.9427182034</v>
      </c>
    </row>
    <row r="19">
      <c r="A19" s="19" t="s">
        <v>39</v>
      </c>
      <c r="B19" s="1">
        <f>'Populacja 1'!L32+'Populacja 2'!O30</f>
        <v>0.4627824859</v>
      </c>
      <c r="C19" s="1">
        <f t="shared" si="1"/>
        <v>0.2141676292</v>
      </c>
      <c r="D19" s="1">
        <f t="shared" si="2"/>
        <v>0.7858323708</v>
      </c>
    </row>
    <row r="20">
      <c r="A20" s="19" t="s">
        <v>43</v>
      </c>
      <c r="B20" s="1">
        <f>'Populacja 1'!N34+'Populacja 2'!O31</f>
        <v>0.03685243704</v>
      </c>
      <c r="C20" s="1">
        <f t="shared" si="1"/>
        <v>0.001358102116</v>
      </c>
      <c r="D20" s="1">
        <f t="shared" si="2"/>
        <v>0.9986418979</v>
      </c>
    </row>
    <row r="21">
      <c r="A21" s="19" t="s">
        <v>47</v>
      </c>
      <c r="B21" s="1">
        <f>'Populacja 1'!N36+'Populacja 2'!O32</f>
        <v>0.00897969932</v>
      </c>
      <c r="C21" s="1">
        <f t="shared" si="1"/>
        <v>0.00008063499988</v>
      </c>
      <c r="D21" s="1">
        <f t="shared" si="2"/>
        <v>0.999919365</v>
      </c>
    </row>
    <row r="23">
      <c r="A23" s="10" t="s">
        <v>30</v>
      </c>
      <c r="B23" s="10">
        <f>0.1694915254+0.1625</f>
        <v>0.3319915254</v>
      </c>
      <c r="C23" s="1">
        <f t="shared" ref="C23:C29" si="3">B23^2</f>
        <v>0.1102183729</v>
      </c>
      <c r="D23" s="1">
        <f t="shared" ref="D23:D29" si="4">1-C23</f>
        <v>0.8897816271</v>
      </c>
    </row>
    <row r="24">
      <c r="A24" s="10" t="s">
        <v>18</v>
      </c>
      <c r="B24" s="10">
        <f>0.1228813559+0.1375</f>
        <v>0.2603813559</v>
      </c>
      <c r="C24" s="1">
        <f t="shared" si="3"/>
        <v>0.0677984505</v>
      </c>
      <c r="D24" s="1">
        <f t="shared" si="4"/>
        <v>0.9322015495</v>
      </c>
    </row>
    <row r="25">
      <c r="A25" s="10" t="s">
        <v>48</v>
      </c>
      <c r="B25" s="1">
        <f>0.004237288136 </f>
        <v>0.004237288136</v>
      </c>
      <c r="C25" s="1">
        <f t="shared" si="3"/>
        <v>0.00001795461075</v>
      </c>
      <c r="D25" s="1">
        <f t="shared" si="4"/>
        <v>0.9999820454</v>
      </c>
    </row>
    <row r="26">
      <c r="A26" s="10" t="s">
        <v>33</v>
      </c>
      <c r="B26" s="10">
        <f>0.03813559322+0.0375</f>
        <v>0.07563559322</v>
      </c>
      <c r="C26" s="1">
        <f t="shared" si="3"/>
        <v>0.005720742962</v>
      </c>
      <c r="D26" s="1">
        <f t="shared" si="4"/>
        <v>0.994279257</v>
      </c>
    </row>
    <row r="27">
      <c r="A27" s="10" t="s">
        <v>36</v>
      </c>
      <c r="B27" s="10">
        <f>0.08474576271+0.0875</f>
        <v>0.1722457627</v>
      </c>
      <c r="C27" s="1">
        <f t="shared" si="3"/>
        <v>0.02966860277</v>
      </c>
      <c r="D27" s="1">
        <f t="shared" si="4"/>
        <v>0.9703313972</v>
      </c>
    </row>
    <row r="28">
      <c r="A28" s="10" t="s">
        <v>40</v>
      </c>
      <c r="B28" s="10">
        <f>0.05508474576+0.07083333333</f>
        <v>0.1259180791</v>
      </c>
      <c r="C28" s="1">
        <f t="shared" si="3"/>
        <v>0.01585536264</v>
      </c>
      <c r="D28" s="1">
        <f t="shared" si="4"/>
        <v>0.9841446374</v>
      </c>
    </row>
    <row r="29">
      <c r="A29" s="10" t="s">
        <v>44</v>
      </c>
      <c r="B29" s="1">
        <f>0.02542372881+0.004166666667</f>
        <v>0.02959039548</v>
      </c>
      <c r="C29" s="1">
        <f t="shared" si="3"/>
        <v>0.0008755915045</v>
      </c>
      <c r="D29" s="1">
        <f t="shared" si="4"/>
        <v>0.9991244085</v>
      </c>
    </row>
    <row r="31">
      <c r="A31" s="10" t="s">
        <v>22</v>
      </c>
      <c r="B31" s="1">
        <f>'Populacja 1'!V13+'Populacja 2'!V9</f>
        <v>0.01444797552</v>
      </c>
      <c r="C31" s="1">
        <f t="shared" ref="C31:C33" si="5">B31^2</f>
        <v>0.0002087439966</v>
      </c>
      <c r="D31" s="1">
        <f t="shared" ref="D31:D33" si="6">1-C31</f>
        <v>0.999791256</v>
      </c>
    </row>
    <row r="32">
      <c r="A32" s="10" t="s">
        <v>20</v>
      </c>
      <c r="B32" s="1">
        <f>'Populacja 1'!V11+'Populacja 2'!V10</f>
        <v>0.04348399247</v>
      </c>
      <c r="C32" s="1">
        <f t="shared" si="5"/>
        <v>0.001890857601</v>
      </c>
      <c r="D32" s="1">
        <f t="shared" si="6"/>
        <v>0.9981091424</v>
      </c>
    </row>
    <row r="33">
      <c r="A33" s="10" t="s">
        <v>18</v>
      </c>
      <c r="B33" s="1">
        <f>'Populacja 1'!V9+'Populacja 2'!V11</f>
        <v>1.300540254</v>
      </c>
      <c r="C33" s="1">
        <f t="shared" si="5"/>
        <v>1.691404953</v>
      </c>
      <c r="D33" s="1">
        <f t="shared" si="6"/>
        <v>-0.6914049529</v>
      </c>
    </row>
    <row r="35">
      <c r="A35" s="10" t="s">
        <v>31</v>
      </c>
      <c r="B35" s="1">
        <f>'Populacja 1'!AA26+'Populacja 2'!AB29</f>
        <v>0.02937853107</v>
      </c>
      <c r="C35" s="1">
        <f t="shared" ref="C35:C43" si="7">B35^2</f>
        <v>0.000863098088</v>
      </c>
      <c r="D35" s="1">
        <f t="shared" ref="D35:D43" si="8">1-C35</f>
        <v>0.9991369019</v>
      </c>
    </row>
    <row r="36">
      <c r="A36" s="10" t="s">
        <v>34</v>
      </c>
      <c r="B36" s="1">
        <f>'Populacja 1'!AA28+'Populacja 2'!AB30</f>
        <v>0.07973163842</v>
      </c>
      <c r="C36" s="1">
        <f t="shared" si="7"/>
        <v>0.006357134165</v>
      </c>
      <c r="D36" s="1">
        <f t="shared" si="8"/>
        <v>0.9936428658</v>
      </c>
    </row>
    <row r="37">
      <c r="A37" s="10" t="s">
        <v>37</v>
      </c>
      <c r="B37" s="1">
        <f>'Populacja 1'!AA30+'Populacja 2'!AB31</f>
        <v>0.2858050847</v>
      </c>
      <c r="C37" s="1">
        <f t="shared" si="7"/>
        <v>0.08168454647</v>
      </c>
      <c r="D37" s="1">
        <f t="shared" si="8"/>
        <v>0.9183154535</v>
      </c>
    </row>
    <row r="38">
      <c r="A38" s="10" t="s">
        <v>41</v>
      </c>
      <c r="B38" s="1">
        <f>'Populacja 1'!AA32+'Populacja 2'!AB32</f>
        <v>0.05028248588</v>
      </c>
      <c r="C38" s="1">
        <f t="shared" si="7"/>
        <v>0.002528328386</v>
      </c>
      <c r="D38" s="1">
        <f t="shared" si="8"/>
        <v>0.9974716716</v>
      </c>
    </row>
    <row r="39">
      <c r="A39" s="10" t="s">
        <v>45</v>
      </c>
      <c r="B39" s="1">
        <f>'Populacja 1'!AA34+'Populacja 2'!AB33</f>
        <v>0.07563559322</v>
      </c>
      <c r="C39" s="1">
        <f t="shared" si="7"/>
        <v>0.005720742962</v>
      </c>
      <c r="D39" s="1">
        <f t="shared" si="8"/>
        <v>0.994279257</v>
      </c>
    </row>
    <row r="40">
      <c r="A40" s="10" t="s">
        <v>49</v>
      </c>
      <c r="B40" s="1">
        <f>'Populacja 1'!AA36+'Populacja 2'!AB34</f>
        <v>0.09661016949</v>
      </c>
      <c r="C40" s="1">
        <f t="shared" si="7"/>
        <v>0.009333524849</v>
      </c>
      <c r="D40" s="1">
        <f t="shared" si="8"/>
        <v>0.9906664752</v>
      </c>
    </row>
    <row r="41">
      <c r="A41" s="10" t="s">
        <v>51</v>
      </c>
      <c r="B41" s="1">
        <f>'Populacja 1'!AA38+'Populacja 2'!AB35</f>
        <v>0.2605932203</v>
      </c>
      <c r="C41" s="1">
        <f t="shared" si="7"/>
        <v>0.06790882649</v>
      </c>
      <c r="D41" s="1">
        <f t="shared" si="8"/>
        <v>0.9320911735</v>
      </c>
    </row>
    <row r="42">
      <c r="A42" s="10" t="s">
        <v>53</v>
      </c>
      <c r="B42" s="1">
        <f>'Populacja 1'!AA40+'Populacja 2'!AB36</f>
        <v>0.1093220339</v>
      </c>
      <c r="C42" s="1">
        <f t="shared" si="7"/>
        <v>0.0119513071</v>
      </c>
      <c r="D42" s="1">
        <f t="shared" si="8"/>
        <v>0.9880486929</v>
      </c>
    </row>
    <row r="43">
      <c r="A43" s="10" t="s">
        <v>56</v>
      </c>
      <c r="B43" s="1">
        <f>'Populacja 1'!AA42+'Populacja 2'!AB37</f>
        <v>0.01264124294</v>
      </c>
      <c r="C43" s="1">
        <f t="shared" si="7"/>
        <v>0.000159801023</v>
      </c>
      <c r="D43" s="1">
        <f t="shared" si="8"/>
        <v>0.999840199</v>
      </c>
    </row>
    <row r="45">
      <c r="A45" s="10" t="s">
        <v>38</v>
      </c>
      <c r="B45" s="1">
        <f>0.05+0.03389830508 </f>
        <v>0.08389830508</v>
      </c>
      <c r="C45" s="1">
        <f t="shared" ref="C45:C54" si="9">B45^2</f>
        <v>0.007038925595</v>
      </c>
      <c r="D45" s="1">
        <f t="shared" ref="D45:D54" si="10">1-C45</f>
        <v>0.9929610744</v>
      </c>
    </row>
    <row r="46">
      <c r="A46" s="10" t="s">
        <v>42</v>
      </c>
      <c r="B46" s="1">
        <f>0.02083333333+0.01694915254</f>
        <v>0.03778248587</v>
      </c>
      <c r="C46" s="1">
        <f t="shared" si="9"/>
        <v>0.001427516239</v>
      </c>
      <c r="D46" s="1">
        <f t="shared" si="10"/>
        <v>0.9985724838</v>
      </c>
    </row>
    <row r="47">
      <c r="A47" s="10" t="s">
        <v>46</v>
      </c>
      <c r="B47" s="1">
        <f>0.0125+0.01694915254</f>
        <v>0.02944915254</v>
      </c>
      <c r="C47" s="1">
        <f t="shared" si="9"/>
        <v>0.0008672525853</v>
      </c>
      <c r="D47" s="1">
        <f t="shared" si="10"/>
        <v>0.9991327474</v>
      </c>
    </row>
    <row r="48">
      <c r="A48" s="10" t="s">
        <v>50</v>
      </c>
      <c r="B48" s="1">
        <f>0.05+0.06355932203</f>
        <v>0.113559322</v>
      </c>
      <c r="C48" s="1">
        <f t="shared" si="9"/>
        <v>0.01289571962</v>
      </c>
      <c r="D48" s="1">
        <f t="shared" si="10"/>
        <v>0.9871042804</v>
      </c>
    </row>
    <row r="49">
      <c r="A49" s="10" t="s">
        <v>52</v>
      </c>
      <c r="B49" s="1">
        <f>0.04166666667+0.02542372881</f>
        <v>0.06709039548</v>
      </c>
      <c r="C49" s="1">
        <f t="shared" si="9"/>
        <v>0.004501121166</v>
      </c>
      <c r="D49" s="1">
        <f t="shared" si="10"/>
        <v>0.9954988788</v>
      </c>
    </row>
    <row r="50">
      <c r="A50" s="10" t="s">
        <v>54</v>
      </c>
      <c r="B50" s="1">
        <f>0.07083333333+ 0.0593220339</f>
        <v>0.1301553672</v>
      </c>
      <c r="C50" s="1">
        <f t="shared" si="9"/>
        <v>0.01694041962</v>
      </c>
      <c r="D50" s="1">
        <f t="shared" si="10"/>
        <v>0.9830595804</v>
      </c>
    </row>
    <row r="51">
      <c r="A51" s="10" t="s">
        <v>57</v>
      </c>
      <c r="B51" s="1">
        <f>0.075+ 0.08050847458</f>
        <v>0.1555084746</v>
      </c>
      <c r="C51" s="1">
        <f t="shared" si="9"/>
        <v>0.02418288567</v>
      </c>
      <c r="D51" s="1">
        <f t="shared" si="10"/>
        <v>0.9758171143</v>
      </c>
    </row>
    <row r="52">
      <c r="A52" s="10" t="s">
        <v>60</v>
      </c>
      <c r="B52" s="1">
        <f>0.04166666667+0.05508474576 </f>
        <v>0.09675141243</v>
      </c>
      <c r="C52" s="1">
        <f t="shared" si="9"/>
        <v>0.009360835807</v>
      </c>
      <c r="D52" s="1">
        <f t="shared" si="10"/>
        <v>0.9906391642</v>
      </c>
    </row>
    <row r="53">
      <c r="A53" s="10" t="s">
        <v>63</v>
      </c>
      <c r="B53" s="1">
        <f>0.0875+0.1271186441</f>
        <v>0.2146186441</v>
      </c>
      <c r="C53" s="1">
        <f t="shared" si="9"/>
        <v>0.0460611624</v>
      </c>
      <c r="D53" s="1">
        <f t="shared" si="10"/>
        <v>0.9539388376</v>
      </c>
    </row>
    <row r="54">
      <c r="A54" s="10" t="s">
        <v>64</v>
      </c>
      <c r="B54" s="1">
        <f>0.05+0.02118644068</f>
        <v>0.07118644068</v>
      </c>
      <c r="C54" s="1">
        <f t="shared" si="9"/>
        <v>0.005067509337</v>
      </c>
      <c r="D54" s="1">
        <f t="shared" si="10"/>
        <v>0.9949324907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 t="s">
        <v>92</v>
      </c>
      <c r="B1" s="10" t="s">
        <v>93</v>
      </c>
      <c r="C1" s="10" t="s">
        <v>94</v>
      </c>
      <c r="D1" s="13" t="s">
        <v>95</v>
      </c>
      <c r="E1" s="10" t="s">
        <v>93</v>
      </c>
      <c r="F1" s="10" t="s">
        <v>94</v>
      </c>
      <c r="G1" s="25" t="s">
        <v>96</v>
      </c>
      <c r="H1" s="10" t="s">
        <v>93</v>
      </c>
      <c r="I1" s="10" t="s">
        <v>94</v>
      </c>
      <c r="J1" s="26" t="s">
        <v>97</v>
      </c>
      <c r="K1" s="10" t="s">
        <v>93</v>
      </c>
      <c r="L1" s="10" t="s">
        <v>94</v>
      </c>
      <c r="M1" s="27" t="s">
        <v>98</v>
      </c>
      <c r="N1" s="10" t="s">
        <v>93</v>
      </c>
      <c r="O1" s="10" t="s">
        <v>94</v>
      </c>
    </row>
    <row r="2">
      <c r="A2" s="10" t="s">
        <v>26</v>
      </c>
      <c r="B2" s="10">
        <v>0.01694915254237288</v>
      </c>
      <c r="C2" s="28">
        <v>0.0</v>
      </c>
      <c r="D2" s="10" t="s">
        <v>18</v>
      </c>
      <c r="E2" s="1">
        <v>0.24576271186440676</v>
      </c>
      <c r="F2" s="1">
        <v>0.275</v>
      </c>
      <c r="G2" s="10" t="s">
        <v>18</v>
      </c>
      <c r="H2" s="1">
        <v>0.8898305084745763</v>
      </c>
      <c r="I2" s="1">
        <v>0.9249999999999999</v>
      </c>
      <c r="J2" s="10" t="s">
        <v>31</v>
      </c>
      <c r="K2" s="1">
        <v>0.025423728813559324</v>
      </c>
      <c r="L2" s="1">
        <v>0.03333333333333333</v>
      </c>
      <c r="M2" s="10" t="s">
        <v>38</v>
      </c>
      <c r="N2" s="1">
        <v>0.06779661016949153</v>
      </c>
      <c r="O2" s="1">
        <v>0.09999999999999999</v>
      </c>
    </row>
    <row r="3">
      <c r="A3" s="10" t="s">
        <v>27</v>
      </c>
      <c r="B3" s="10">
        <v>0.00847457627118644</v>
      </c>
      <c r="C3" s="1">
        <v>0.06666666666666667</v>
      </c>
      <c r="D3" s="10" t="s">
        <v>30</v>
      </c>
      <c r="E3" s="1">
        <v>0.3389830508474576</v>
      </c>
      <c r="F3" s="1">
        <v>0.325</v>
      </c>
      <c r="G3" s="10" t="s">
        <v>20</v>
      </c>
      <c r="H3" s="1">
        <v>0.0847457627118644</v>
      </c>
      <c r="I3" s="1">
        <v>0.03333333333333333</v>
      </c>
      <c r="J3" s="10" t="s">
        <v>34</v>
      </c>
      <c r="K3" s="1">
        <v>0.06779661016949153</v>
      </c>
      <c r="L3" s="1">
        <v>0.09166666666666667</v>
      </c>
      <c r="M3" s="10" t="s">
        <v>42</v>
      </c>
      <c r="N3" s="1">
        <v>0.03389830508474576</v>
      </c>
      <c r="O3" s="1">
        <v>0.041666666666666664</v>
      </c>
    </row>
    <row r="4">
      <c r="A4" s="10" t="s">
        <v>28</v>
      </c>
      <c r="B4" s="1">
        <v>0.03389830508474576</v>
      </c>
      <c r="C4" s="1">
        <v>0.03333333333333333</v>
      </c>
      <c r="D4" s="10" t="s">
        <v>33</v>
      </c>
      <c r="E4" s="1">
        <v>0.07627118644067797</v>
      </c>
      <c r="F4" s="1">
        <v>0.075</v>
      </c>
      <c r="G4" s="10" t="s">
        <v>22</v>
      </c>
      <c r="H4" s="1">
        <v>0.025423728813559324</v>
      </c>
      <c r="I4" s="1">
        <v>0.041666666666666664</v>
      </c>
      <c r="J4" s="10" t="s">
        <v>37</v>
      </c>
      <c r="K4" s="1">
        <v>0.29661016949152547</v>
      </c>
      <c r="L4" s="1">
        <v>0.27499999999999997</v>
      </c>
      <c r="M4" s="10" t="s">
        <v>46</v>
      </c>
      <c r="N4" s="1">
        <v>0.03389830508474576</v>
      </c>
      <c r="O4" s="1">
        <v>0.025</v>
      </c>
    </row>
    <row r="5">
      <c r="A5" s="10" t="s">
        <v>29</v>
      </c>
      <c r="B5" s="1">
        <v>0.01694915254237288</v>
      </c>
      <c r="C5" s="1">
        <v>0.058333333333333334</v>
      </c>
      <c r="D5" s="10" t="s">
        <v>36</v>
      </c>
      <c r="E5" s="1">
        <v>0.16949152542372883</v>
      </c>
      <c r="F5" s="1">
        <v>0.175</v>
      </c>
      <c r="J5" s="10" t="s">
        <v>41</v>
      </c>
      <c r="K5" s="1">
        <v>0.03389830508474576</v>
      </c>
      <c r="L5" s="1">
        <v>0.06666666666666668</v>
      </c>
      <c r="M5" s="10" t="s">
        <v>50</v>
      </c>
      <c r="N5" s="1">
        <v>0.1271186440677966</v>
      </c>
      <c r="O5" s="1">
        <v>0.1</v>
      </c>
    </row>
    <row r="6">
      <c r="A6" s="10" t="s">
        <v>32</v>
      </c>
      <c r="B6" s="1">
        <v>0.07627118644067797</v>
      </c>
      <c r="C6" s="1">
        <v>0.10833333333333334</v>
      </c>
      <c r="D6" s="10" t="s">
        <v>40</v>
      </c>
      <c r="E6" s="1">
        <v>0.11016949152542373</v>
      </c>
      <c r="F6" s="1">
        <v>0.14166666666666666</v>
      </c>
      <c r="J6" s="10" t="s">
        <v>45</v>
      </c>
      <c r="K6" s="1">
        <v>0.07627118644067797</v>
      </c>
      <c r="L6" s="1">
        <v>0.075</v>
      </c>
      <c r="M6" s="10" t="s">
        <v>52</v>
      </c>
      <c r="N6" s="1">
        <v>0.05084745762711864</v>
      </c>
      <c r="O6" s="1">
        <v>0.08333333333333333</v>
      </c>
    </row>
    <row r="7">
      <c r="A7" s="10" t="s">
        <v>35</v>
      </c>
      <c r="B7" s="1">
        <v>0.22033898305084748</v>
      </c>
      <c r="C7" s="1">
        <v>0.2583333333333333</v>
      </c>
      <c r="D7" s="10" t="s">
        <v>44</v>
      </c>
      <c r="E7" s="1">
        <v>0.05084745762711864</v>
      </c>
      <c r="F7" s="1">
        <v>0.008333333333333333</v>
      </c>
      <c r="J7" s="10" t="s">
        <v>49</v>
      </c>
      <c r="K7" s="1">
        <v>0.09322033898305085</v>
      </c>
      <c r="L7" s="1">
        <v>0.1</v>
      </c>
      <c r="M7" s="10" t="s">
        <v>54</v>
      </c>
      <c r="N7" s="1">
        <v>0.11864406779661016</v>
      </c>
      <c r="O7" s="1">
        <v>0.14166666666666666</v>
      </c>
    </row>
    <row r="8">
      <c r="A8" s="10" t="s">
        <v>39</v>
      </c>
      <c r="B8" s="1">
        <v>0.5338983050847457</v>
      </c>
      <c r="C8" s="1">
        <v>0.3916666666666667</v>
      </c>
      <c r="D8" s="10" t="s">
        <v>48</v>
      </c>
      <c r="E8" s="1">
        <v>0.00847457627118644</v>
      </c>
      <c r="F8" s="28">
        <v>0.0</v>
      </c>
      <c r="J8" s="10" t="s">
        <v>51</v>
      </c>
      <c r="K8" s="20">
        <v>0.27118644067796605</v>
      </c>
      <c r="L8" s="1">
        <v>0.24999999999999997</v>
      </c>
      <c r="M8" s="10" t="s">
        <v>57</v>
      </c>
      <c r="N8" s="1">
        <v>0.1610169491525424</v>
      </c>
      <c r="O8" s="1">
        <v>0.15</v>
      </c>
    </row>
    <row r="9">
      <c r="A9" s="10" t="s">
        <v>43</v>
      </c>
      <c r="B9" s="1">
        <v>0.059322033898305086</v>
      </c>
      <c r="C9" s="1">
        <v>0.06666666666666667</v>
      </c>
      <c r="J9" s="10" t="s">
        <v>53</v>
      </c>
      <c r="K9" s="1">
        <v>0.11864406779661019</v>
      </c>
      <c r="L9" s="1">
        <v>0.1</v>
      </c>
      <c r="M9" s="10" t="s">
        <v>60</v>
      </c>
      <c r="N9" s="1">
        <v>0.11016949152542371</v>
      </c>
      <c r="O9" s="1">
        <v>0.08333333333333333</v>
      </c>
    </row>
    <row r="10">
      <c r="A10" s="10" t="s">
        <v>47</v>
      </c>
      <c r="B10" s="1">
        <v>0.025423728813559324</v>
      </c>
      <c r="C10" s="1">
        <v>0.016666666666666666</v>
      </c>
      <c r="J10" s="10" t="s">
        <v>56</v>
      </c>
      <c r="K10" s="1">
        <v>0.01694915254237288</v>
      </c>
      <c r="L10" s="1">
        <v>0.008333333333333333</v>
      </c>
      <c r="M10" s="10" t="s">
        <v>63</v>
      </c>
      <c r="N10" s="1">
        <v>0.2542372881355932</v>
      </c>
      <c r="O10" s="1">
        <v>0.175</v>
      </c>
    </row>
    <row r="11">
      <c r="M11" s="10" t="s">
        <v>64</v>
      </c>
      <c r="N11" s="1">
        <v>0.0423728813559322</v>
      </c>
      <c r="O11" s="1">
        <v>0.09999999999999999</v>
      </c>
    </row>
    <row r="43">
      <c r="C43" s="2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2011-11-10T12:57:10Z</dcterms:created>
  <dc:creator>OEM</dc:creator>
</cp:coreProperties>
</file>