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Jord\Idat\Hoja de Calculo I\ECU\"/>
    </mc:Choice>
  </mc:AlternateContent>
  <xr:revisionPtr revIDLastSave="0" documentId="8_{95EE1657-03E8-4894-B165-6ABAAA1EF4C1}" xr6:coauthVersionLast="37" xr6:coauthVersionMax="37" xr10:uidLastSave="{00000000-0000-0000-0000-000000000000}"/>
  <bookViews>
    <workbookView xWindow="0" yWindow="0" windowWidth="20490" windowHeight="7545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Sheet1!$A$12:$Q$33</definedName>
  </definedNames>
  <calcPr calcId="179021"/>
</workbook>
</file>

<file path=xl/calcChain.xml><?xml version="1.0" encoding="utf-8"?>
<calcChain xmlns="http://schemas.openxmlformats.org/spreadsheetml/2006/main">
  <c r="N14" i="1" l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M31" i="1"/>
  <c r="M32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K27" i="1"/>
  <c r="K28" i="1"/>
  <c r="K29" i="1"/>
  <c r="K30" i="1"/>
  <c r="K31" i="1"/>
  <c r="K32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13" i="1"/>
  <c r="J13" i="1"/>
  <c r="L27" i="1"/>
  <c r="L28" i="1"/>
  <c r="L29" i="1"/>
  <c r="L30" i="1"/>
  <c r="L31" i="1"/>
  <c r="L32" i="1"/>
  <c r="L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13" i="1"/>
  <c r="H13" i="1"/>
  <c r="N13" i="1" s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L33" i="1" l="1"/>
  <c r="M13" i="1"/>
  <c r="B47" i="1"/>
  <c r="B48" i="1"/>
  <c r="B49" i="1"/>
  <c r="B50" i="1"/>
  <c r="B46" i="1"/>
  <c r="B39" i="1"/>
  <c r="C9" i="1"/>
  <c r="K33" i="1" s="1"/>
  <c r="C10" i="1"/>
  <c r="I33" i="1" l="1"/>
  <c r="Q13" i="1" l="1"/>
  <c r="O13" i="1" l="1"/>
  <c r="P13" i="1" l="1"/>
  <c r="Q20" i="1" l="1"/>
  <c r="Q15" i="1"/>
  <c r="Q27" i="1"/>
  <c r="Q17" i="1"/>
  <c r="Q18" i="1"/>
  <c r="Q31" i="1"/>
  <c r="Q30" i="1"/>
  <c r="Q28" i="1"/>
  <c r="B43" i="1"/>
  <c r="H33" i="1"/>
  <c r="B41" i="1"/>
  <c r="Q14" i="1"/>
  <c r="B42" i="1"/>
  <c r="Q29" i="1"/>
  <c r="Q22" i="1"/>
  <c r="Q32" i="1"/>
  <c r="Q21" i="1"/>
  <c r="Q25" i="1"/>
  <c r="Q23" i="1"/>
  <c r="Q16" i="1"/>
  <c r="O29" i="1"/>
  <c r="Q19" i="1"/>
  <c r="Q26" i="1"/>
  <c r="Q24" i="1"/>
  <c r="O27" i="1"/>
  <c r="O24" i="1"/>
  <c r="O28" i="1"/>
  <c r="P28" i="1" s="1"/>
  <c r="M33" i="1"/>
  <c r="O16" i="1"/>
  <c r="P16" i="1" s="1"/>
  <c r="O23" i="1"/>
  <c r="P23" i="1" s="1"/>
  <c r="O30" i="1"/>
  <c r="O31" i="1"/>
  <c r="O32" i="1"/>
  <c r="N33" i="1"/>
  <c r="O21" i="1"/>
  <c r="O18" i="1"/>
  <c r="P18" i="1" s="1"/>
  <c r="O26" i="1"/>
  <c r="P26" i="1" s="1"/>
  <c r="O15" i="1"/>
  <c r="P29" i="1" l="1"/>
  <c r="P32" i="1"/>
  <c r="P31" i="1"/>
  <c r="O22" i="1"/>
  <c r="P22" i="1" s="1"/>
  <c r="P24" i="1"/>
  <c r="P21" i="1"/>
  <c r="J33" i="1"/>
  <c r="P27" i="1"/>
  <c r="O25" i="1"/>
  <c r="P25" i="1" s="1"/>
  <c r="O20" i="1"/>
  <c r="P20" i="1" s="1"/>
  <c r="P15" i="1"/>
  <c r="O19" i="1"/>
  <c r="P19" i="1" s="1"/>
  <c r="P30" i="1"/>
  <c r="O17" i="1"/>
  <c r="P17" i="1" s="1"/>
  <c r="G33" i="1" l="1"/>
  <c r="O14" i="1"/>
  <c r="B53" i="1" s="1"/>
  <c r="B54" i="1" l="1"/>
  <c r="O33" i="1"/>
  <c r="B57" i="1"/>
  <c r="P14" i="1"/>
  <c r="B55" i="1"/>
  <c r="B56" i="1"/>
  <c r="P33" i="1" l="1"/>
  <c r="B4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G11" authorId="0" shapeId="0" xr:uid="{E38E9162-B01E-4850-A58A-C353C90A641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Todo empleado tendrá un incremento del 8% por cada hijo, o “escolaridad”. ¡Calcular! </t>
        </r>
      </text>
    </comment>
  </commentList>
</comments>
</file>

<file path=xl/sharedStrings.xml><?xml version="1.0" encoding="utf-8"?>
<sst xmlns="http://schemas.openxmlformats.org/spreadsheetml/2006/main" count="142" uniqueCount="116">
  <si>
    <t>Licenciado en Educación</t>
  </si>
  <si>
    <t>Magister en Educación</t>
  </si>
  <si>
    <t>Ing. De Sistemas</t>
  </si>
  <si>
    <t>Administrador</t>
  </si>
  <si>
    <t>HORA ACTUAL</t>
  </si>
  <si>
    <t>Instructor en Redes</t>
  </si>
  <si>
    <t>FECHA ACTUAL</t>
  </si>
  <si>
    <t>COD</t>
  </si>
  <si>
    <t>DOCENTES</t>
  </si>
  <si>
    <t>TOTAL DSCTOS</t>
  </si>
  <si>
    <t>NETO MENSUAL</t>
  </si>
  <si>
    <t>OSERVACION</t>
  </si>
  <si>
    <t>CUADRO DE REPORTE</t>
  </si>
  <si>
    <t>INSTRUCCIONES Y CRITERIOS DE EVALUACIÓN:</t>
  </si>
  <si>
    <t>ESTADISTICA GENRAL</t>
  </si>
  <si>
    <t>Considerar y tener en cuenta lo siguiente:</t>
  </si>
  <si>
    <t>N.º DE NUMERO DE TRABAJADORES</t>
  </si>
  <si>
    <t>Desarrollar la siguiente estructura conteniendo el mismo formato.</t>
  </si>
  <si>
    <t> Ingresar la Fecha y Hora del sistema</t>
  </si>
  <si>
    <t>PROMEDIO DE GASTOS MENSUAL</t>
  </si>
  <si>
    <t> Ingresar La Planilla de Docentes Teniendo Como Referencia: H. Semanales, P x H, Nº de Semanas.</t>
  </si>
  <si>
    <t>MAYOR SUELDO</t>
  </si>
  <si>
    <t> Calcular el Pago Semanal y el Pago Mensual</t>
  </si>
  <si>
    <t>MENOR SUELDO</t>
  </si>
  <si>
    <t>EGRESOS DE PLANILLA</t>
  </si>
  <si>
    <t> Calcular El Nº de Horas Extras, Teniendo Como Referencia Horas Fijas Semanales.</t>
  </si>
  <si>
    <t>Calcular y Contabilizar el Número de Trabajadores por</t>
  </si>
  <si>
    <t> Calcular El Pago De Hora, Teniendo Como Referencia La Bonificación De Hora Extra</t>
  </si>
  <si>
    <t>Especialidad</t>
  </si>
  <si>
    <t> Calcular Las Horas No Trabajadas, Teniendo Como Referencia Las Horas Fijas Semanales</t>
  </si>
  <si>
    <t> Calcular El Descuento De Hora, Teniendo Como Referencia El Dscto De Hora No Trabajada</t>
  </si>
  <si>
    <t> Considerar los Descuentos de EsSalud y Solidaridad para todos los trabajadores que figuran en planilla, siempre y cuando su básico sea mayor o igual que S/. 2,000.00</t>
  </si>
  <si>
    <t> Hallar el Total Descuento, utilizando operadores aritméticos y/o funciones anidadas.</t>
  </si>
  <si>
    <t> Hallar el Neto a pagar, utilizando operadores.</t>
  </si>
  <si>
    <t> En la Observación, apoyarse con el cuadro de TABLA DE DATOS</t>
  </si>
  <si>
    <t>Calcular Estadísticamente los Pagos y/o Egresos por</t>
  </si>
  <si>
    <t> Aplicar celdas absolutas, si lo amerita, tomando como referencia su criterio técnico de algunos campos</t>
  </si>
  <si>
    <t>Pagos  Licenciados</t>
  </si>
  <si>
    <t>Pagos Magisters</t>
  </si>
  <si>
    <t>CALCULAR EL RESUMEN ESTADISTICO EN RELACIÓN A LA BASE DE DATOS, DE LA PLANILLA BASICA:</t>
  </si>
  <si>
    <t>Pagos Ing. de Sistemas</t>
  </si>
  <si>
    <t>En el cuadro de Estadística General utilizar funciones estadísticas para hallar el reporte de cada campo y/o etiqueta que se solicite.</t>
  </si>
  <si>
    <t>Pagos Administradores</t>
  </si>
  <si>
    <t> Hallar, Calcular y Contabilizar la estadística del Número de Trabajadores (Docentes) por Especialidad, mostrada en el cuadro de resumen.</t>
  </si>
  <si>
    <t>Pagos Instructores de Redes</t>
  </si>
  <si>
    <t> Hallar y calcular estadísticamente los Egresos y Pagos que se realiza a los trabajadores por especialidad.</t>
  </si>
  <si>
    <t>DEVOLVER EL ARCHIVO CON SU APELLIDO SEGUIDO DE EVC01, EJEMPLO: TAPIA TEJADA_EC01_DSI</t>
  </si>
  <si>
    <t>POR EVA Y TEAMS</t>
  </si>
  <si>
    <t>PAGO MENSUAL</t>
  </si>
  <si>
    <t xml:space="preserve">                                                                               PLANILLA DOCENTE SENCICO</t>
  </si>
  <si>
    <t>T001AL</t>
  </si>
  <si>
    <t>Aliaga Dueñas, Rony</t>
  </si>
  <si>
    <t>T002AN</t>
  </si>
  <si>
    <t>Antuares Lopez, Lizeth</t>
  </si>
  <si>
    <t>T003BA</t>
  </si>
  <si>
    <t>Baldez Gutierrez, Norma</t>
  </si>
  <si>
    <t>T004BE</t>
  </si>
  <si>
    <t>Benites Antuares, Pablo</t>
  </si>
  <si>
    <t>T005BE</t>
  </si>
  <si>
    <t>Bermudes Sarmiento, Tony</t>
  </si>
  <si>
    <t>T006CA</t>
  </si>
  <si>
    <t>Caceres Aliaga, Jose</t>
  </si>
  <si>
    <t>T007DU</t>
  </si>
  <si>
    <t>Dueñas Vaca, Vilma</t>
  </si>
  <si>
    <t>T008ES</t>
  </si>
  <si>
    <t>Espinoza Bermudes, Arnold</t>
  </si>
  <si>
    <t>T009GA</t>
  </si>
  <si>
    <t>Garcia Manrique, Lourdes</t>
  </si>
  <si>
    <t>T0010GU</t>
  </si>
  <si>
    <t>Gutierrez Rosales, Alonso</t>
  </si>
  <si>
    <t>T0011LO</t>
  </si>
  <si>
    <t>Lopez Mendoza, Nidia</t>
  </si>
  <si>
    <t>T0012MA</t>
  </si>
  <si>
    <t>Manrique Quispe, Piero</t>
  </si>
  <si>
    <t>T0013ME</t>
  </si>
  <si>
    <t>Mendoza Benites, Juan</t>
  </si>
  <si>
    <t>T0014QU</t>
  </si>
  <si>
    <t>Quispe Baldez, David</t>
  </si>
  <si>
    <t>T0015RI</t>
  </si>
  <si>
    <t>Rios Suarez, Oscar</t>
  </si>
  <si>
    <t>T0016RO</t>
  </si>
  <si>
    <t>Rosales Espinoza, Luis</t>
  </si>
  <si>
    <t>T0017SA</t>
  </si>
  <si>
    <t>Salazar Salazar, Ruben</t>
  </si>
  <si>
    <t>T0018SA</t>
  </si>
  <si>
    <t>Sarmiento Garcia, Richard</t>
  </si>
  <si>
    <t>T0019SU</t>
  </si>
  <si>
    <t>Suarez Rios, Alfredo</t>
  </si>
  <si>
    <t>T0020VA</t>
  </si>
  <si>
    <t>Vaca Caceres, Robert</t>
  </si>
  <si>
    <t>Ing. Civil</t>
  </si>
  <si>
    <t>Arquitecto</t>
  </si>
  <si>
    <t>Operario</t>
  </si>
  <si>
    <t>Secretaria</t>
  </si>
  <si>
    <t>Peón</t>
  </si>
  <si>
    <t>Maestro de Obra</t>
  </si>
  <si>
    <t>Supervisor de Obra</t>
  </si>
  <si>
    <t>DIAS FIJAS SEMANALES</t>
  </si>
  <si>
    <t>DSCTO DIA NO TRABAJADA</t>
  </si>
  <si>
    <t>BONIFICACION POR DIA EXTRA</t>
  </si>
  <si>
    <t>DSCTO ONP</t>
  </si>
  <si>
    <t>DSCTO FONAVI</t>
  </si>
  <si>
    <t>Estable</t>
  </si>
  <si>
    <t>Contratado</t>
  </si>
  <si>
    <t>Eventual</t>
  </si>
  <si>
    <t>ESTADO DEL EMPLEADO</t>
  </si>
  <si>
    <t>DSCTO DE DIA</t>
  </si>
  <si>
    <t>HIJOS</t>
  </si>
  <si>
    <t>ESCOLARIDAD</t>
  </si>
  <si>
    <t>BONIFICACION</t>
  </si>
  <si>
    <t>DIAS TRABAJADOS</t>
  </si>
  <si>
    <t>PROFESION</t>
  </si>
  <si>
    <t>Nº DE HIJOS</t>
  </si>
  <si>
    <t>DIAS EXTRAS</t>
  </si>
  <si>
    <t>PGO x DIA EXTRA</t>
  </si>
  <si>
    <t>DIAS NO LABORADOS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</si>
</sst>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&quot;S/&quot;* #,##0.00_-;\-&quot;S/&quot;* #,##0.00_-;_-&quot;S/&quot;* &quot;-&quot;??_-;_-@_-"/>
    <numFmt numFmtId="165" formatCode="_-[$S/-280A]\ * #,##0.00_-;\-[$S/-280A]\ * #,##0.00_-;_-[$S/-280A]\ * &quot;-&quot;??_-;_-@_-"/>
    <numFmt numFmtId="166" formatCode="[$-F800]dddd\,\ mmmm\ dd\,\ yyyy"/>
    <numFmt numFmtId="167" formatCode="[$-409]h:mm\ AM/PM;@"/>
    <numFmt numFmtId="168" formatCode="_ [$S/-C6B]\ * #,##0.00_ ;_ [$S/-C6B]\ * \-#,##0.00_ ;_ [$S/-C6B]\ * &quot;-&quot;??_ ;_ @_ "/>
  </numFmts>
  <fonts count="9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</fills>
  <borders count="8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47">
    <xf numFmtId="0" fontId="0" fillId="0" borderId="0" xfId="0"/>
    <xf numFmtId="0" fontId="3" fillId="3" borderId="0" xfId="0" applyNumberFormat="1" applyFont="1" applyFill="1" applyAlignment="1">
      <alignment horizontal="center" vertic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8" fillId="0" borderId="0" xfId="0" applyNumberFormat="1" applyFont="1"/>
    <xf numFmtId="0" fontId="8" fillId="0" borderId="2" xfId="0" applyFont="1" applyBorder="1"/>
    <xf numFmtId="0" fontId="8" fillId="0" borderId="3" xfId="0" applyFont="1" applyBorder="1"/>
    <xf numFmtId="0" fontId="8" fillId="0" borderId="4" xfId="0" applyNumberFormat="1" applyFont="1" applyBorder="1"/>
    <xf numFmtId="168" fontId="8" fillId="0" borderId="5" xfId="1" applyNumberFormat="1" applyFont="1" applyBorder="1"/>
    <xf numFmtId="0" fontId="8" fillId="8" borderId="0" xfId="0" applyNumberFormat="1" applyFont="1" applyFill="1"/>
    <xf numFmtId="9" fontId="8" fillId="0" borderId="0" xfId="0" applyNumberFormat="1" applyFont="1"/>
    <xf numFmtId="2" fontId="8" fillId="0" borderId="0" xfId="0" applyNumberFormat="1" applyFont="1"/>
    <xf numFmtId="1" fontId="8" fillId="0" borderId="0" xfId="0" applyNumberFormat="1" applyFont="1"/>
    <xf numFmtId="167" fontId="8" fillId="0" borderId="0" xfId="0" applyNumberFormat="1" applyFont="1"/>
    <xf numFmtId="166" fontId="8" fillId="0" borderId="0" xfId="0" applyNumberFormat="1" applyFont="1"/>
    <xf numFmtId="0" fontId="8" fillId="0" borderId="6" xfId="0" applyNumberFormat="1" applyFont="1" applyBorder="1"/>
    <xf numFmtId="168" fontId="8" fillId="0" borderId="7" xfId="1" applyNumberFormat="1" applyFont="1" applyBorder="1"/>
    <xf numFmtId="0" fontId="5" fillId="8" borderId="0" xfId="0" applyNumberFormat="1" applyFont="1" applyFill="1" applyAlignment="1">
      <alignment horizontal="center"/>
    </xf>
    <xf numFmtId="0" fontId="5" fillId="8" borderId="0" xfId="0" applyNumberFormat="1" applyFont="1" applyFill="1" applyAlignment="1">
      <alignment horizontal="center" vertical="center"/>
    </xf>
    <xf numFmtId="0" fontId="5" fillId="9" borderId="0" xfId="0" applyNumberFormat="1" applyFont="1" applyFill="1" applyAlignment="1">
      <alignment horizontal="center" vertical="center"/>
    </xf>
    <xf numFmtId="0" fontId="5" fillId="9" borderId="0" xfId="0" applyNumberFormat="1" applyFont="1" applyFill="1"/>
    <xf numFmtId="165" fontId="4" fillId="0" borderId="0" xfId="0" applyNumberFormat="1" applyFont="1"/>
    <xf numFmtId="1" fontId="8" fillId="0" borderId="0" xfId="0" applyNumberFormat="1" applyFont="1" applyAlignment="1">
      <alignment horizontal="center"/>
    </xf>
    <xf numFmtId="165" fontId="8" fillId="0" borderId="0" xfId="0" applyNumberFormat="1" applyFont="1"/>
    <xf numFmtId="0" fontId="8" fillId="0" borderId="0" xfId="0" applyNumberFormat="1" applyFont="1" applyAlignment="1">
      <alignment horizontal="center"/>
    </xf>
    <xf numFmtId="168" fontId="4" fillId="0" borderId="0" xfId="1" applyNumberFormat="1" applyFont="1"/>
    <xf numFmtId="0" fontId="4" fillId="0" borderId="0" xfId="0" applyNumberFormat="1" applyFont="1"/>
    <xf numFmtId="2" fontId="4" fillId="0" borderId="0" xfId="0" applyNumberFormat="1" applyFont="1"/>
    <xf numFmtId="4" fontId="4" fillId="0" borderId="0" xfId="0" applyNumberFormat="1" applyFont="1"/>
    <xf numFmtId="4" fontId="8" fillId="0" borderId="0" xfId="0" applyNumberFormat="1" applyFont="1"/>
    <xf numFmtId="168" fontId="8" fillId="0" borderId="0" xfId="0" applyNumberFormat="1" applyFont="1"/>
    <xf numFmtId="0" fontId="3" fillId="4" borderId="0" xfId="0" applyNumberFormat="1" applyFont="1" applyFill="1" applyAlignment="1">
      <alignment horizontal="center" vertical="center"/>
    </xf>
    <xf numFmtId="0" fontId="1" fillId="7" borderId="1" xfId="0" applyNumberFormat="1" applyFont="1" applyFill="1" applyBorder="1" applyAlignment="1">
      <alignment vertical="center"/>
    </xf>
    <xf numFmtId="0" fontId="8" fillId="6" borderId="1" xfId="0" applyNumberFormat="1" applyFont="1" applyFill="1" applyBorder="1" applyAlignment="1">
      <alignment horizontal="center" vertical="center"/>
    </xf>
    <xf numFmtId="0" fontId="8" fillId="2" borderId="0" xfId="0" applyNumberFormat="1" applyFont="1" applyFill="1" applyAlignment="1">
      <alignment horizontal="left"/>
    </xf>
    <xf numFmtId="164" fontId="8" fillId="6" borderId="1" xfId="0" applyNumberFormat="1" applyFont="1" applyFill="1" applyBorder="1" applyAlignment="1">
      <alignment horizontal="center" vertical="center"/>
    </xf>
    <xf numFmtId="0" fontId="8" fillId="5" borderId="1" xfId="0" applyNumberFormat="1" applyFont="1" applyFill="1" applyBorder="1" applyAlignment="1">
      <alignment vertical="center"/>
    </xf>
    <xf numFmtId="0" fontId="8" fillId="0" borderId="0" xfId="0" applyNumberFormat="1" applyFont="1" applyFill="1" applyAlignment="1">
      <alignment horizontal="left"/>
    </xf>
    <xf numFmtId="0" fontId="3" fillId="8" borderId="0" xfId="0" applyNumberFormat="1" applyFont="1" applyFill="1" applyAlignment="1">
      <alignment vertical="center"/>
    </xf>
    <xf numFmtId="0" fontId="5" fillId="8" borderId="0" xfId="0" applyNumberFormat="1" applyFont="1" applyFill="1" applyAlignment="1">
      <alignment vertical="center"/>
    </xf>
    <xf numFmtId="0" fontId="5" fillId="10" borderId="0" xfId="0" applyNumberFormat="1" applyFont="1" applyFill="1" applyAlignment="1">
      <alignment vertical="center"/>
    </xf>
    <xf numFmtId="0" fontId="3" fillId="11" borderId="0" xfId="0" applyNumberFormat="1" applyFont="1" applyFill="1" applyAlignment="1">
      <alignment vertical="center"/>
    </xf>
    <xf numFmtId="0" fontId="5" fillId="11" borderId="0" xfId="0" applyNumberFormat="1" applyFont="1" applyFill="1" applyAlignment="1">
      <alignment vertical="center"/>
    </xf>
    <xf numFmtId="0" fontId="5" fillId="12" borderId="0" xfId="0" applyNumberFormat="1" applyFont="1" applyFill="1" applyAlignment="1">
      <alignment horizontal="center" vertical="center"/>
    </xf>
    <xf numFmtId="0" fontId="5" fillId="12" borderId="0" xfId="0" applyNumberFormat="1" applyFont="1" applyFill="1" applyAlignment="1">
      <alignment horizontal="center"/>
    </xf>
    <xf numFmtId="164" fontId="8" fillId="0" borderId="0" xfId="1" applyFont="1" applyAlignment="1">
      <alignment horizontal="center"/>
    </xf>
    <xf numFmtId="1" fontId="4" fillId="0" borderId="0" xfId="0" applyNumberFormat="1" applyFont="1" applyAlignment="1">
      <alignment horizontal="center"/>
    </xf>
  </cellXfs>
  <cellStyles count="2">
    <cellStyle name="Moneda" xfId="1" builtinId="4"/>
    <cellStyle name="Normal" xfId="0" builtinId="0"/>
  </cellStyles>
  <dxfs count="6">
    <dxf>
      <font>
        <color theme="0"/>
      </font>
      <fill>
        <patternFill>
          <bgColor rgb="FF002060"/>
        </patternFill>
      </fill>
    </dxf>
    <dxf>
      <font>
        <color rgb="FFFF0000"/>
      </font>
      <fill>
        <patternFill>
          <bgColor rgb="FFFFFF00"/>
        </patternFill>
      </fill>
    </dxf>
    <dxf>
      <font>
        <color auto="1"/>
      </font>
      <fill>
        <patternFill>
          <bgColor rgb="FF00B050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/>
      </font>
      <fill>
        <patternFill>
          <bgColor rgb="FF002060"/>
        </patternFill>
      </fill>
    </dxf>
    <dxf>
      <font>
        <color rgb="FFFF0000"/>
      </font>
      <fill>
        <patternFill>
          <bgColor rgb="FFFFFF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61"/>
  <sheetViews>
    <sheetView tabSelected="1" topLeftCell="C7" zoomScale="80" zoomScaleNormal="80" workbookViewId="0">
      <selection activeCell="J13" sqref="J13"/>
    </sheetView>
  </sheetViews>
  <sheetFormatPr baseColWidth="10" defaultColWidth="9.140625" defaultRowHeight="15" x14ac:dyDescent="0.25"/>
  <cols>
    <col min="1" max="1" width="35.5703125" style="2" customWidth="1"/>
    <col min="2" max="2" width="30.28515625" style="2" customWidth="1"/>
    <col min="3" max="3" width="22.85546875" style="2" customWidth="1"/>
    <col min="4" max="4" width="25.5703125" style="2" customWidth="1"/>
    <col min="5" max="6" width="14.85546875" style="2" customWidth="1"/>
    <col min="7" max="7" width="22.42578125" style="2" customWidth="1"/>
    <col min="8" max="8" width="18.140625" style="2" customWidth="1"/>
    <col min="9" max="9" width="14.85546875" style="3" customWidth="1"/>
    <col min="10" max="10" width="20.140625" style="2" customWidth="1"/>
    <col min="11" max="11" width="20.140625" style="3" customWidth="1"/>
    <col min="12" max="14" width="20.140625" style="2" customWidth="1"/>
    <col min="15" max="15" width="15.7109375" style="2" customWidth="1"/>
    <col min="16" max="16" width="17.140625" style="2" customWidth="1"/>
    <col min="17" max="17" width="19.28515625" style="2" customWidth="1"/>
    <col min="18" max="18" width="13" style="2"/>
    <col min="19" max="26" width="8" style="2"/>
    <col min="27" max="16384" width="9.140625" style="2"/>
  </cols>
  <sheetData>
    <row r="1" spans="1:27" ht="15.75" thickBot="1" x14ac:dyDescent="0.3"/>
    <row r="2" spans="1:27" x14ac:dyDescent="0.25">
      <c r="A2" s="4" t="s">
        <v>49</v>
      </c>
      <c r="N2" s="5"/>
      <c r="O2" s="6"/>
    </row>
    <row r="3" spans="1:27" x14ac:dyDescent="0.25">
      <c r="A3" s="4"/>
      <c r="N3" s="7" t="s">
        <v>3</v>
      </c>
      <c r="O3" s="8">
        <v>2500</v>
      </c>
    </row>
    <row r="4" spans="1:27" x14ac:dyDescent="0.25">
      <c r="B4" s="9" t="s">
        <v>98</v>
      </c>
      <c r="C4" s="10">
        <v>0.1</v>
      </c>
      <c r="G4" s="9" t="s">
        <v>100</v>
      </c>
      <c r="H4" s="10">
        <v>0.05</v>
      </c>
      <c r="K4" s="24" t="s">
        <v>105</v>
      </c>
      <c r="N4" s="7" t="s">
        <v>90</v>
      </c>
      <c r="O4" s="8">
        <v>6500</v>
      </c>
      <c r="T4" s="4"/>
    </row>
    <row r="5" spans="1:27" x14ac:dyDescent="0.25">
      <c r="B5" s="9" t="s">
        <v>99</v>
      </c>
      <c r="C5" s="10">
        <v>0.15</v>
      </c>
      <c r="G5" s="9" t="s">
        <v>101</v>
      </c>
      <c r="H5" s="10">
        <v>0.1</v>
      </c>
      <c r="J5" s="4" t="s">
        <v>102</v>
      </c>
      <c r="K5" s="45">
        <v>4500</v>
      </c>
      <c r="M5" s="4"/>
      <c r="N5" s="7" t="s">
        <v>91</v>
      </c>
      <c r="O5" s="8">
        <v>5800</v>
      </c>
      <c r="R5" s="4"/>
      <c r="V5" s="4"/>
      <c r="W5" s="11"/>
    </row>
    <row r="6" spans="1:27" x14ac:dyDescent="0.25">
      <c r="B6" s="2" t="s">
        <v>109</v>
      </c>
      <c r="C6" s="10">
        <v>0.18</v>
      </c>
      <c r="J6" s="4" t="s">
        <v>103</v>
      </c>
      <c r="K6" s="45">
        <v>2500</v>
      </c>
      <c r="M6" s="4"/>
      <c r="N6" s="7" t="s">
        <v>92</v>
      </c>
      <c r="O6" s="8">
        <v>2900</v>
      </c>
      <c r="R6" s="4"/>
      <c r="V6" s="4"/>
      <c r="W6" s="11"/>
    </row>
    <row r="7" spans="1:27" x14ac:dyDescent="0.25">
      <c r="B7" s="9" t="s">
        <v>97</v>
      </c>
      <c r="C7" s="12">
        <v>5</v>
      </c>
      <c r="J7" s="4" t="s">
        <v>104</v>
      </c>
      <c r="M7" s="4"/>
      <c r="N7" s="7" t="s">
        <v>93</v>
      </c>
      <c r="O7" s="8">
        <v>2300</v>
      </c>
      <c r="R7" s="4"/>
      <c r="V7" s="4"/>
      <c r="W7" s="11"/>
    </row>
    <row r="8" spans="1:27" x14ac:dyDescent="0.25">
      <c r="N8" s="7" t="s">
        <v>94</v>
      </c>
      <c r="O8" s="8">
        <v>2400</v>
      </c>
      <c r="R8" s="4"/>
      <c r="W8" s="11"/>
    </row>
    <row r="9" spans="1:27" x14ac:dyDescent="0.25">
      <c r="B9" s="4" t="s">
        <v>4</v>
      </c>
      <c r="C9" s="13">
        <f ca="1">NOW()</f>
        <v>45096.995341782407</v>
      </c>
      <c r="N9" s="7" t="s">
        <v>95</v>
      </c>
      <c r="O9" s="8">
        <v>4300</v>
      </c>
      <c r="R9" s="4"/>
      <c r="V9" s="4"/>
      <c r="W9" s="11"/>
    </row>
    <row r="10" spans="1:27" ht="15.75" thickBot="1" x14ac:dyDescent="0.3">
      <c r="B10" s="4" t="s">
        <v>6</v>
      </c>
      <c r="C10" s="14">
        <f ca="1">TODAY()</f>
        <v>45096</v>
      </c>
      <c r="N10" s="15" t="s">
        <v>96</v>
      </c>
      <c r="O10" s="16">
        <v>3800</v>
      </c>
    </row>
    <row r="11" spans="1:27" x14ac:dyDescent="0.25">
      <c r="A11" s="38" t="s">
        <v>7</v>
      </c>
      <c r="B11" s="38" t="s">
        <v>8</v>
      </c>
      <c r="C11" s="4" t="s">
        <v>110</v>
      </c>
      <c r="D11" s="41" t="s">
        <v>111</v>
      </c>
      <c r="E11" s="42" t="s">
        <v>109</v>
      </c>
      <c r="F11" s="43" t="s">
        <v>112</v>
      </c>
      <c r="G11" s="42" t="s">
        <v>108</v>
      </c>
      <c r="H11" s="42" t="s">
        <v>48</v>
      </c>
      <c r="I11" s="44" t="s">
        <v>113</v>
      </c>
      <c r="J11" s="42" t="s">
        <v>114</v>
      </c>
      <c r="K11" s="18" t="s">
        <v>115</v>
      </c>
      <c r="L11" s="19" t="s">
        <v>106</v>
      </c>
      <c r="M11" s="20" t="s">
        <v>101</v>
      </c>
      <c r="N11" s="20" t="s">
        <v>100</v>
      </c>
      <c r="O11" s="4" t="s">
        <v>9</v>
      </c>
      <c r="P11" s="4" t="s">
        <v>10</v>
      </c>
      <c r="Q11" s="2" t="s">
        <v>11</v>
      </c>
      <c r="T11" s="4"/>
    </row>
    <row r="12" spans="1:27" x14ac:dyDescent="0.25">
      <c r="A12" s="38"/>
      <c r="B12" s="38"/>
      <c r="C12" s="4"/>
      <c r="D12" s="38"/>
      <c r="E12" s="39"/>
      <c r="F12" s="18" t="s">
        <v>107</v>
      </c>
      <c r="G12" s="39"/>
      <c r="H12" s="40"/>
      <c r="I12" s="17"/>
      <c r="J12" s="18"/>
      <c r="K12" s="18"/>
      <c r="L12" s="19"/>
      <c r="M12" s="20"/>
      <c r="N12" s="20"/>
      <c r="O12" s="4"/>
      <c r="P12" s="4"/>
      <c r="Q12" s="4" t="s">
        <v>11</v>
      </c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spans="1:27" x14ac:dyDescent="0.25">
      <c r="A13" s="4" t="s">
        <v>50</v>
      </c>
      <c r="B13" s="4" t="s">
        <v>51</v>
      </c>
      <c r="C13" s="12">
        <v>20</v>
      </c>
      <c r="D13" s="4" t="s">
        <v>94</v>
      </c>
      <c r="E13" s="21">
        <f>IF(H13&gt;=3000,H13*0.18,0)</f>
        <v>0</v>
      </c>
      <c r="F13" s="22">
        <v>2</v>
      </c>
      <c r="G13" s="21">
        <f>(H13*F13)*0.08</f>
        <v>384</v>
      </c>
      <c r="H13" s="23">
        <f>VLOOKUP(D13,$N$3:$O$10,2,0)</f>
        <v>2400</v>
      </c>
      <c r="I13" s="24">
        <v>2</v>
      </c>
      <c r="J13" s="23">
        <f>((H13/20)*C$5)*I13</f>
        <v>36</v>
      </c>
      <c r="K13" s="46">
        <f>20-C13</f>
        <v>0</v>
      </c>
      <c r="L13" s="25">
        <f>((20-C13)*(H13/20))*$C$4</f>
        <v>0</v>
      </c>
      <c r="M13" s="25">
        <f>IF(H13&gt;=3500,H13*H$5,0)</f>
        <v>0</v>
      </c>
      <c r="N13" s="25">
        <f>IF(H13&gt;=3500,H13*H$4,0)</f>
        <v>0</v>
      </c>
      <c r="O13" s="25">
        <f>SUM(L13:N13)</f>
        <v>0</v>
      </c>
      <c r="P13" s="25">
        <f>(H13+J13)-O13</f>
        <v>2436</v>
      </c>
      <c r="Q13" s="26" t="str">
        <f>IF(H13&gt;=$K$5,$J$5,IF(H13&gt;=$K$6,$J$6,$J$7))</f>
        <v>Eventual</v>
      </c>
      <c r="S13" s="27"/>
      <c r="T13" s="26"/>
      <c r="U13" s="27"/>
      <c r="V13" s="26"/>
      <c r="W13" s="27"/>
      <c r="X13" s="26"/>
      <c r="Y13" s="28"/>
      <c r="Z13" s="26"/>
    </row>
    <row r="14" spans="1:27" x14ac:dyDescent="0.25">
      <c r="A14" s="4" t="s">
        <v>52</v>
      </c>
      <c r="B14" s="4" t="s">
        <v>53</v>
      </c>
      <c r="C14" s="12">
        <v>15</v>
      </c>
      <c r="D14" s="4" t="s">
        <v>92</v>
      </c>
      <c r="E14" s="21">
        <f t="shared" ref="E14:E32" si="0">IF(H14&gt;=3000,H14*0.18,0)</f>
        <v>0</v>
      </c>
      <c r="F14" s="22">
        <v>0</v>
      </c>
      <c r="G14" s="21">
        <f t="shared" ref="G14:G32" si="1">(H14*F14)*0.08</f>
        <v>0</v>
      </c>
      <c r="H14" s="23">
        <f t="shared" ref="H14:H32" si="2">VLOOKUP(D14,$N$3:$O$10,2,0)</f>
        <v>2900</v>
      </c>
      <c r="I14" s="24">
        <v>3</v>
      </c>
      <c r="J14" s="23">
        <f t="shared" ref="J14:J32" si="3">((H14/20)*C$5)*I14</f>
        <v>65.25</v>
      </c>
      <c r="K14" s="46">
        <f t="shared" ref="K14:K32" si="4">20-C14</f>
        <v>5</v>
      </c>
      <c r="L14" s="25">
        <f t="shared" ref="L14:L26" si="5">((20-C14)*(H14/20))*$C$4</f>
        <v>72.5</v>
      </c>
      <c r="M14" s="25">
        <f t="shared" ref="M14:M32" si="6">IF(H14&gt;=3500,H14*H$5,0)</f>
        <v>0</v>
      </c>
      <c r="N14" s="25">
        <f t="shared" ref="N14:N32" si="7">IF(H14&gt;=3500,H14*H$4,0)</f>
        <v>0</v>
      </c>
      <c r="O14" s="25">
        <f t="shared" ref="O14:O32" si="8">SUM(L14:N14)</f>
        <v>72.5</v>
      </c>
      <c r="P14" s="25">
        <f t="shared" ref="P14:P32" si="9">(H14+J14)-O14</f>
        <v>2892.75</v>
      </c>
      <c r="Q14" s="26" t="str">
        <f>IF(H14&gt;=$K$5,$J$5,IF(H14&gt;=$K$6,$J$6,$J$7))</f>
        <v>Contratado</v>
      </c>
      <c r="S14" s="27"/>
      <c r="T14" s="26"/>
      <c r="U14" s="27"/>
      <c r="V14" s="26"/>
      <c r="W14" s="27"/>
      <c r="X14" s="26"/>
      <c r="Y14" s="28"/>
      <c r="Z14" s="26"/>
    </row>
    <row r="15" spans="1:27" x14ac:dyDescent="0.25">
      <c r="A15" s="4" t="s">
        <v>54</v>
      </c>
      <c r="B15" s="4" t="s">
        <v>55</v>
      </c>
      <c r="C15" s="12">
        <v>17</v>
      </c>
      <c r="D15" s="4" t="s">
        <v>94</v>
      </c>
      <c r="E15" s="21">
        <f t="shared" si="0"/>
        <v>0</v>
      </c>
      <c r="F15" s="22">
        <v>1</v>
      </c>
      <c r="G15" s="21">
        <f t="shared" si="1"/>
        <v>192</v>
      </c>
      <c r="H15" s="23">
        <f t="shared" si="2"/>
        <v>2400</v>
      </c>
      <c r="I15" s="24">
        <v>1</v>
      </c>
      <c r="J15" s="23">
        <f t="shared" si="3"/>
        <v>18</v>
      </c>
      <c r="K15" s="46">
        <f t="shared" si="4"/>
        <v>3</v>
      </c>
      <c r="L15" s="25">
        <f t="shared" si="5"/>
        <v>36</v>
      </c>
      <c r="M15" s="25">
        <f t="shared" si="6"/>
        <v>0</v>
      </c>
      <c r="N15" s="25">
        <f t="shared" si="7"/>
        <v>0</v>
      </c>
      <c r="O15" s="25">
        <f t="shared" si="8"/>
        <v>36</v>
      </c>
      <c r="P15" s="25">
        <f t="shared" si="9"/>
        <v>2382</v>
      </c>
      <c r="Q15" s="26" t="str">
        <f>IF(H15&gt;=$K$5,$J$5,IF(H15&gt;=$K$6,$J$6,$J$7))</f>
        <v>Eventual</v>
      </c>
      <c r="S15" s="27"/>
      <c r="T15" s="26"/>
      <c r="U15" s="27"/>
      <c r="V15" s="26"/>
      <c r="W15" s="27"/>
      <c r="X15" s="26"/>
      <c r="Y15" s="28"/>
      <c r="Z15" s="26"/>
    </row>
    <row r="16" spans="1:27" x14ac:dyDescent="0.25">
      <c r="A16" s="4" t="s">
        <v>56</v>
      </c>
      <c r="B16" s="4" t="s">
        <v>57</v>
      </c>
      <c r="C16" s="12">
        <v>20</v>
      </c>
      <c r="D16" s="4" t="s">
        <v>91</v>
      </c>
      <c r="E16" s="21">
        <f t="shared" si="0"/>
        <v>1044</v>
      </c>
      <c r="F16" s="22">
        <v>1</v>
      </c>
      <c r="G16" s="21">
        <f t="shared" si="1"/>
        <v>464</v>
      </c>
      <c r="H16" s="23">
        <f t="shared" si="2"/>
        <v>5800</v>
      </c>
      <c r="I16" s="24">
        <v>0</v>
      </c>
      <c r="J16" s="23">
        <f t="shared" si="3"/>
        <v>0</v>
      </c>
      <c r="K16" s="46">
        <f t="shared" si="4"/>
        <v>0</v>
      </c>
      <c r="L16" s="25">
        <f t="shared" si="5"/>
        <v>0</v>
      </c>
      <c r="M16" s="25">
        <f t="shared" si="6"/>
        <v>580</v>
      </c>
      <c r="N16" s="25">
        <f t="shared" si="7"/>
        <v>290</v>
      </c>
      <c r="O16" s="25">
        <f t="shared" si="8"/>
        <v>870</v>
      </c>
      <c r="P16" s="25">
        <f t="shared" si="9"/>
        <v>4930</v>
      </c>
      <c r="Q16" s="26" t="str">
        <f>IF(H16&gt;=$K$5,$J$5,IF(H16&gt;=$K$6,$J$6,$J$7))</f>
        <v>Estable</v>
      </c>
      <c r="S16" s="27"/>
      <c r="T16" s="26"/>
      <c r="U16" s="27"/>
      <c r="V16" s="26"/>
      <c r="W16" s="27"/>
      <c r="Y16" s="28"/>
      <c r="Z16" s="26"/>
    </row>
    <row r="17" spans="1:26" x14ac:dyDescent="0.25">
      <c r="A17" s="4" t="s">
        <v>58</v>
      </c>
      <c r="B17" s="4" t="s">
        <v>59</v>
      </c>
      <c r="C17" s="12">
        <v>14</v>
      </c>
      <c r="D17" s="4" t="s">
        <v>96</v>
      </c>
      <c r="E17" s="21">
        <f t="shared" si="0"/>
        <v>684</v>
      </c>
      <c r="F17" s="22">
        <v>2</v>
      </c>
      <c r="G17" s="21">
        <f t="shared" si="1"/>
        <v>608</v>
      </c>
      <c r="H17" s="23">
        <f t="shared" si="2"/>
        <v>3800</v>
      </c>
      <c r="I17" s="24">
        <v>2</v>
      </c>
      <c r="J17" s="23">
        <f t="shared" si="3"/>
        <v>57</v>
      </c>
      <c r="K17" s="46">
        <f t="shared" si="4"/>
        <v>6</v>
      </c>
      <c r="L17" s="25">
        <f t="shared" si="5"/>
        <v>114</v>
      </c>
      <c r="M17" s="25">
        <f t="shared" si="6"/>
        <v>380</v>
      </c>
      <c r="N17" s="25">
        <f t="shared" si="7"/>
        <v>190</v>
      </c>
      <c r="O17" s="25">
        <f t="shared" si="8"/>
        <v>684</v>
      </c>
      <c r="P17" s="25">
        <f t="shared" si="9"/>
        <v>3173</v>
      </c>
      <c r="Q17" s="26" t="str">
        <f>IF(H17&gt;=$K$5,$J$5,IF(H17&gt;=$K$6,$J$6,$J$7))</f>
        <v>Contratado</v>
      </c>
      <c r="S17" s="27"/>
      <c r="T17" s="26"/>
      <c r="U17" s="27"/>
      <c r="V17" s="26"/>
      <c r="W17" s="27"/>
      <c r="Y17" s="28"/>
      <c r="Z17" s="26"/>
    </row>
    <row r="18" spans="1:26" x14ac:dyDescent="0.25">
      <c r="A18" s="4" t="s">
        <v>60</v>
      </c>
      <c r="B18" s="4" t="s">
        <v>61</v>
      </c>
      <c r="C18" s="12">
        <v>8</v>
      </c>
      <c r="D18" s="4" t="s">
        <v>91</v>
      </c>
      <c r="E18" s="21">
        <f t="shared" si="0"/>
        <v>1044</v>
      </c>
      <c r="F18" s="22">
        <v>1</v>
      </c>
      <c r="G18" s="21">
        <f t="shared" si="1"/>
        <v>464</v>
      </c>
      <c r="H18" s="23">
        <f t="shared" si="2"/>
        <v>5800</v>
      </c>
      <c r="I18" s="24">
        <v>0</v>
      </c>
      <c r="J18" s="23">
        <f t="shared" si="3"/>
        <v>0</v>
      </c>
      <c r="K18" s="46">
        <f t="shared" si="4"/>
        <v>12</v>
      </c>
      <c r="L18" s="25">
        <f t="shared" si="5"/>
        <v>348</v>
      </c>
      <c r="M18" s="25">
        <f t="shared" si="6"/>
        <v>580</v>
      </c>
      <c r="N18" s="25">
        <f t="shared" si="7"/>
        <v>290</v>
      </c>
      <c r="O18" s="25">
        <f t="shared" si="8"/>
        <v>1218</v>
      </c>
      <c r="P18" s="25">
        <f t="shared" si="9"/>
        <v>4582</v>
      </c>
      <c r="Q18" s="26" t="str">
        <f>IF(H18&gt;=$K$5,$J$5,IF(H18&gt;=$K$6,$J$6,$J$7))</f>
        <v>Estable</v>
      </c>
      <c r="S18" s="26"/>
      <c r="T18" s="26"/>
      <c r="U18" s="26"/>
      <c r="V18" s="26"/>
      <c r="W18" s="27"/>
      <c r="X18" s="26"/>
      <c r="Y18" s="27"/>
      <c r="Z18" s="26"/>
    </row>
    <row r="19" spans="1:26" x14ac:dyDescent="0.25">
      <c r="A19" s="4" t="s">
        <v>62</v>
      </c>
      <c r="B19" s="4" t="s">
        <v>63</v>
      </c>
      <c r="C19" s="12">
        <v>20</v>
      </c>
      <c r="D19" s="4" t="s">
        <v>90</v>
      </c>
      <c r="E19" s="21">
        <f t="shared" si="0"/>
        <v>1170</v>
      </c>
      <c r="F19" s="22">
        <v>0</v>
      </c>
      <c r="G19" s="21">
        <f t="shared" si="1"/>
        <v>0</v>
      </c>
      <c r="H19" s="23">
        <f t="shared" si="2"/>
        <v>6500</v>
      </c>
      <c r="I19" s="24">
        <v>3</v>
      </c>
      <c r="J19" s="23">
        <f t="shared" si="3"/>
        <v>146.25</v>
      </c>
      <c r="K19" s="46">
        <f t="shared" si="4"/>
        <v>0</v>
      </c>
      <c r="L19" s="25">
        <f t="shared" si="5"/>
        <v>0</v>
      </c>
      <c r="M19" s="25">
        <f t="shared" si="6"/>
        <v>650</v>
      </c>
      <c r="N19" s="25">
        <f t="shared" si="7"/>
        <v>325</v>
      </c>
      <c r="O19" s="25">
        <f t="shared" si="8"/>
        <v>975</v>
      </c>
      <c r="P19" s="25">
        <f t="shared" si="9"/>
        <v>5671.25</v>
      </c>
      <c r="Q19" s="26" t="str">
        <f>IF(H19&gt;=$K$5,$J$5,IF(H19&gt;=$K$6,$J$6,$J$7))</f>
        <v>Estable</v>
      </c>
      <c r="S19" s="27"/>
      <c r="T19" s="26"/>
      <c r="U19" s="27"/>
      <c r="V19" s="26"/>
      <c r="W19" s="27"/>
      <c r="X19" s="26"/>
      <c r="Y19" s="28"/>
      <c r="Z19" s="26"/>
    </row>
    <row r="20" spans="1:26" x14ac:dyDescent="0.25">
      <c r="A20" s="4" t="s">
        <v>64</v>
      </c>
      <c r="B20" s="4" t="s">
        <v>65</v>
      </c>
      <c r="C20" s="12">
        <v>19</v>
      </c>
      <c r="D20" s="4" t="s">
        <v>3</v>
      </c>
      <c r="E20" s="21">
        <f t="shared" si="0"/>
        <v>0</v>
      </c>
      <c r="F20" s="22">
        <v>1</v>
      </c>
      <c r="G20" s="21">
        <f t="shared" si="1"/>
        <v>200</v>
      </c>
      <c r="H20" s="23">
        <f t="shared" si="2"/>
        <v>2500</v>
      </c>
      <c r="I20" s="24">
        <v>1</v>
      </c>
      <c r="J20" s="23">
        <f t="shared" si="3"/>
        <v>18.75</v>
      </c>
      <c r="K20" s="46">
        <f t="shared" si="4"/>
        <v>1</v>
      </c>
      <c r="L20" s="25">
        <f t="shared" si="5"/>
        <v>12.5</v>
      </c>
      <c r="M20" s="25">
        <f t="shared" si="6"/>
        <v>0</v>
      </c>
      <c r="N20" s="25">
        <f t="shared" si="7"/>
        <v>0</v>
      </c>
      <c r="O20" s="25">
        <f t="shared" si="8"/>
        <v>12.5</v>
      </c>
      <c r="P20" s="25">
        <f t="shared" si="9"/>
        <v>2506.25</v>
      </c>
      <c r="Q20" s="26" t="str">
        <f>IF(H20&gt;=$K$5,$J$5,IF(H20&gt;=$K$6,$J$6,$J$7))</f>
        <v>Contratado</v>
      </c>
      <c r="S20" s="27"/>
      <c r="T20" s="26"/>
      <c r="U20" s="27"/>
      <c r="V20" s="26"/>
      <c r="W20" s="27"/>
      <c r="X20" s="26"/>
      <c r="Y20" s="28"/>
      <c r="Z20" s="26"/>
    </row>
    <row r="21" spans="1:26" x14ac:dyDescent="0.25">
      <c r="A21" s="4" t="s">
        <v>66</v>
      </c>
      <c r="B21" s="4" t="s">
        <v>67</v>
      </c>
      <c r="C21" s="12">
        <v>20</v>
      </c>
      <c r="D21" s="4" t="s">
        <v>3</v>
      </c>
      <c r="E21" s="21">
        <f t="shared" si="0"/>
        <v>0</v>
      </c>
      <c r="F21" s="22">
        <v>1</v>
      </c>
      <c r="G21" s="21">
        <f t="shared" si="1"/>
        <v>200</v>
      </c>
      <c r="H21" s="23">
        <f t="shared" si="2"/>
        <v>2500</v>
      </c>
      <c r="I21" s="24">
        <v>0</v>
      </c>
      <c r="J21" s="23">
        <f t="shared" si="3"/>
        <v>0</v>
      </c>
      <c r="K21" s="46">
        <f t="shared" si="4"/>
        <v>0</v>
      </c>
      <c r="L21" s="25">
        <f t="shared" si="5"/>
        <v>0</v>
      </c>
      <c r="M21" s="25">
        <f t="shared" si="6"/>
        <v>0</v>
      </c>
      <c r="N21" s="25">
        <f t="shared" si="7"/>
        <v>0</v>
      </c>
      <c r="O21" s="25">
        <f t="shared" si="8"/>
        <v>0</v>
      </c>
      <c r="P21" s="25">
        <f t="shared" si="9"/>
        <v>2500</v>
      </c>
      <c r="Q21" s="26" t="str">
        <f>IF(H21&gt;=$K$5,$J$5,IF(H21&gt;=$K$6,$J$6,$J$7))</f>
        <v>Contratado</v>
      </c>
      <c r="S21" s="27"/>
      <c r="T21" s="26"/>
      <c r="U21" s="27"/>
      <c r="V21" s="26"/>
      <c r="W21" s="28"/>
      <c r="X21" s="26"/>
      <c r="Y21" s="28"/>
      <c r="Z21" s="26"/>
    </row>
    <row r="22" spans="1:26" x14ac:dyDescent="0.25">
      <c r="A22" s="4" t="s">
        <v>68</v>
      </c>
      <c r="B22" s="4" t="s">
        <v>69</v>
      </c>
      <c r="C22" s="12">
        <v>18</v>
      </c>
      <c r="D22" s="4" t="s">
        <v>93</v>
      </c>
      <c r="E22" s="21">
        <f t="shared" si="0"/>
        <v>0</v>
      </c>
      <c r="F22" s="22">
        <v>2</v>
      </c>
      <c r="G22" s="21">
        <f t="shared" si="1"/>
        <v>368</v>
      </c>
      <c r="H22" s="23">
        <f t="shared" si="2"/>
        <v>2300</v>
      </c>
      <c r="I22" s="24">
        <v>2</v>
      </c>
      <c r="J22" s="23">
        <f t="shared" si="3"/>
        <v>34.5</v>
      </c>
      <c r="K22" s="46">
        <f t="shared" si="4"/>
        <v>2</v>
      </c>
      <c r="L22" s="25">
        <f t="shared" si="5"/>
        <v>23</v>
      </c>
      <c r="M22" s="25">
        <f t="shared" si="6"/>
        <v>0</v>
      </c>
      <c r="N22" s="25">
        <f t="shared" si="7"/>
        <v>0</v>
      </c>
      <c r="O22" s="25">
        <f t="shared" si="8"/>
        <v>23</v>
      </c>
      <c r="P22" s="25">
        <f t="shared" si="9"/>
        <v>2311.5</v>
      </c>
      <c r="Q22" s="26" t="str">
        <f>IF(H22&gt;=$K$5,$J$5,IF(H22&gt;=$K$6,$J$6,$J$7))</f>
        <v>Eventual</v>
      </c>
      <c r="S22" s="27"/>
      <c r="T22" s="26"/>
      <c r="U22" s="27"/>
      <c r="V22" s="26"/>
      <c r="W22" s="27"/>
      <c r="X22" s="26"/>
      <c r="Y22" s="28"/>
      <c r="Z22" s="26"/>
    </row>
    <row r="23" spans="1:26" x14ac:dyDescent="0.25">
      <c r="A23" s="4" t="s">
        <v>70</v>
      </c>
      <c r="B23" s="4" t="s">
        <v>71</v>
      </c>
      <c r="C23" s="12">
        <v>16</v>
      </c>
      <c r="D23" s="4" t="s">
        <v>93</v>
      </c>
      <c r="E23" s="21">
        <f t="shared" si="0"/>
        <v>0</v>
      </c>
      <c r="F23" s="22">
        <v>0</v>
      </c>
      <c r="G23" s="21">
        <f t="shared" si="1"/>
        <v>0</v>
      </c>
      <c r="H23" s="23">
        <f t="shared" si="2"/>
        <v>2300</v>
      </c>
      <c r="I23" s="24">
        <v>3</v>
      </c>
      <c r="J23" s="23">
        <f t="shared" si="3"/>
        <v>51.75</v>
      </c>
      <c r="K23" s="46">
        <f t="shared" si="4"/>
        <v>4</v>
      </c>
      <c r="L23" s="25">
        <f t="shared" si="5"/>
        <v>46</v>
      </c>
      <c r="M23" s="25">
        <f t="shared" si="6"/>
        <v>0</v>
      </c>
      <c r="N23" s="25">
        <f t="shared" si="7"/>
        <v>0</v>
      </c>
      <c r="O23" s="25">
        <f t="shared" si="8"/>
        <v>46</v>
      </c>
      <c r="P23" s="25">
        <f t="shared" si="9"/>
        <v>2305.75</v>
      </c>
      <c r="Q23" s="26" t="str">
        <f>IF(H23&gt;=$K$5,$J$5,IF(H23&gt;=$K$6,$J$6,$J$7))</f>
        <v>Eventual</v>
      </c>
      <c r="S23" s="27"/>
      <c r="T23" s="26"/>
      <c r="U23" s="27"/>
      <c r="V23" s="26"/>
      <c r="W23" s="27"/>
      <c r="X23" s="26"/>
      <c r="Y23" s="28"/>
      <c r="Z23" s="26"/>
    </row>
    <row r="24" spans="1:26" x14ac:dyDescent="0.25">
      <c r="A24" s="4" t="s">
        <v>72</v>
      </c>
      <c r="B24" s="4" t="s">
        <v>73</v>
      </c>
      <c r="C24" s="12">
        <v>20</v>
      </c>
      <c r="D24" s="4" t="s">
        <v>95</v>
      </c>
      <c r="E24" s="21">
        <f t="shared" si="0"/>
        <v>774</v>
      </c>
      <c r="F24" s="22">
        <v>1</v>
      </c>
      <c r="G24" s="21">
        <f t="shared" si="1"/>
        <v>344</v>
      </c>
      <c r="H24" s="23">
        <f t="shared" si="2"/>
        <v>4300</v>
      </c>
      <c r="I24" s="24">
        <v>3</v>
      </c>
      <c r="J24" s="23">
        <f t="shared" si="3"/>
        <v>96.75</v>
      </c>
      <c r="K24" s="46">
        <f t="shared" si="4"/>
        <v>0</v>
      </c>
      <c r="L24" s="25">
        <f t="shared" si="5"/>
        <v>0</v>
      </c>
      <c r="M24" s="25">
        <f t="shared" si="6"/>
        <v>430</v>
      </c>
      <c r="N24" s="25">
        <f t="shared" si="7"/>
        <v>215</v>
      </c>
      <c r="O24" s="25">
        <f t="shared" si="8"/>
        <v>645</v>
      </c>
      <c r="P24" s="25">
        <f t="shared" si="9"/>
        <v>3751.75</v>
      </c>
      <c r="Q24" s="26" t="str">
        <f>IF(H24&gt;=$K$5,$J$5,IF(H24&gt;=$K$6,$J$6,$J$7))</f>
        <v>Contratado</v>
      </c>
      <c r="S24" s="27"/>
      <c r="T24" s="26"/>
      <c r="U24" s="27"/>
      <c r="V24" s="26"/>
      <c r="W24" s="27"/>
      <c r="X24" s="26"/>
      <c r="Y24" s="28"/>
      <c r="Z24" s="26"/>
    </row>
    <row r="25" spans="1:26" x14ac:dyDescent="0.25">
      <c r="A25" s="4" t="s">
        <v>74</v>
      </c>
      <c r="B25" s="4" t="s">
        <v>75</v>
      </c>
      <c r="C25" s="12">
        <v>16</v>
      </c>
      <c r="D25" s="4" t="s">
        <v>91</v>
      </c>
      <c r="E25" s="21">
        <f t="shared" si="0"/>
        <v>1044</v>
      </c>
      <c r="F25" s="22">
        <v>2</v>
      </c>
      <c r="G25" s="21">
        <f t="shared" si="1"/>
        <v>928</v>
      </c>
      <c r="H25" s="23">
        <f t="shared" si="2"/>
        <v>5800</v>
      </c>
      <c r="I25" s="24">
        <v>2</v>
      </c>
      <c r="J25" s="23">
        <f t="shared" si="3"/>
        <v>87</v>
      </c>
      <c r="K25" s="46">
        <f t="shared" si="4"/>
        <v>4</v>
      </c>
      <c r="L25" s="25">
        <f t="shared" si="5"/>
        <v>116</v>
      </c>
      <c r="M25" s="25">
        <f t="shared" si="6"/>
        <v>580</v>
      </c>
      <c r="N25" s="25">
        <f t="shared" si="7"/>
        <v>290</v>
      </c>
      <c r="O25" s="25">
        <f t="shared" si="8"/>
        <v>986</v>
      </c>
      <c r="P25" s="25">
        <f t="shared" si="9"/>
        <v>4901</v>
      </c>
      <c r="Q25" s="26" t="str">
        <f>IF(H25&gt;=$K$5,$J$5,IF(H25&gt;=$K$6,$J$6,$J$7))</f>
        <v>Estable</v>
      </c>
      <c r="S25" s="26"/>
      <c r="T25" s="26"/>
      <c r="U25" s="26"/>
      <c r="V25" s="26"/>
      <c r="W25" s="27"/>
      <c r="X25" s="26"/>
      <c r="Y25" s="27"/>
      <c r="Z25" s="26"/>
    </row>
    <row r="26" spans="1:26" x14ac:dyDescent="0.25">
      <c r="A26" s="4" t="s">
        <v>76</v>
      </c>
      <c r="B26" s="4" t="s">
        <v>77</v>
      </c>
      <c r="C26" s="12">
        <v>12</v>
      </c>
      <c r="D26" s="4" t="s">
        <v>92</v>
      </c>
      <c r="E26" s="21">
        <f t="shared" si="0"/>
        <v>0</v>
      </c>
      <c r="F26" s="22">
        <v>1</v>
      </c>
      <c r="G26" s="21">
        <f t="shared" si="1"/>
        <v>232</v>
      </c>
      <c r="H26" s="23">
        <f t="shared" si="2"/>
        <v>2900</v>
      </c>
      <c r="I26" s="24">
        <v>2</v>
      </c>
      <c r="J26" s="23">
        <f t="shared" si="3"/>
        <v>43.5</v>
      </c>
      <c r="K26" s="46">
        <f t="shared" si="4"/>
        <v>8</v>
      </c>
      <c r="L26" s="25">
        <f t="shared" si="5"/>
        <v>116</v>
      </c>
      <c r="M26" s="25">
        <f t="shared" si="6"/>
        <v>0</v>
      </c>
      <c r="N26" s="25">
        <f t="shared" si="7"/>
        <v>0</v>
      </c>
      <c r="O26" s="25">
        <f t="shared" si="8"/>
        <v>116</v>
      </c>
      <c r="P26" s="25">
        <f t="shared" si="9"/>
        <v>2827.5</v>
      </c>
      <c r="Q26" s="26" t="str">
        <f>IF(H26&gt;=$K$5,$J$5,IF(H26&gt;=$K$6,$J$6,$J$7))</f>
        <v>Contratado</v>
      </c>
      <c r="S26" s="26"/>
      <c r="T26" s="26"/>
      <c r="U26" s="26"/>
      <c r="V26" s="26"/>
      <c r="W26" s="27"/>
      <c r="X26" s="26"/>
      <c r="Y26" s="28"/>
      <c r="Z26" s="26"/>
    </row>
    <row r="27" spans="1:26" x14ac:dyDescent="0.25">
      <c r="A27" s="4" t="s">
        <v>78</v>
      </c>
      <c r="B27" s="4" t="s">
        <v>79</v>
      </c>
      <c r="C27" s="12">
        <v>16</v>
      </c>
      <c r="D27" s="4" t="s">
        <v>92</v>
      </c>
      <c r="E27" s="21">
        <f t="shared" si="0"/>
        <v>0</v>
      </c>
      <c r="F27" s="22">
        <v>0</v>
      </c>
      <c r="G27" s="21">
        <f t="shared" si="1"/>
        <v>0</v>
      </c>
      <c r="H27" s="23">
        <f t="shared" si="2"/>
        <v>2900</v>
      </c>
      <c r="I27" s="24">
        <v>1</v>
      </c>
      <c r="J27" s="23">
        <f t="shared" si="3"/>
        <v>21.75</v>
      </c>
      <c r="K27" s="46">
        <f>20-C27</f>
        <v>4</v>
      </c>
      <c r="L27" s="25">
        <f t="shared" ref="L14:L32" si="10">((20-C27)*(H27/20))*$C$4</f>
        <v>58</v>
      </c>
      <c r="M27" s="25">
        <f t="shared" si="6"/>
        <v>0</v>
      </c>
      <c r="N27" s="25">
        <f t="shared" si="7"/>
        <v>0</v>
      </c>
      <c r="O27" s="25">
        <f t="shared" si="8"/>
        <v>58</v>
      </c>
      <c r="P27" s="25">
        <f t="shared" si="9"/>
        <v>2863.75</v>
      </c>
      <c r="Q27" s="26" t="str">
        <f>IF(H27&gt;=$K$5,$J$5,IF(H27&gt;=$K$6,$J$6,$J$7))</f>
        <v>Contratado</v>
      </c>
      <c r="S27" s="27"/>
      <c r="T27" s="26"/>
      <c r="U27" s="27"/>
      <c r="V27" s="26"/>
      <c r="W27" s="27"/>
      <c r="X27" s="26"/>
      <c r="Y27" s="28"/>
      <c r="Z27" s="26"/>
    </row>
    <row r="28" spans="1:26" x14ac:dyDescent="0.25">
      <c r="A28" s="4" t="s">
        <v>80</v>
      </c>
      <c r="B28" s="4" t="s">
        <v>81</v>
      </c>
      <c r="C28" s="12">
        <v>20</v>
      </c>
      <c r="D28" s="4" t="s">
        <v>90</v>
      </c>
      <c r="E28" s="21">
        <f t="shared" si="0"/>
        <v>1170</v>
      </c>
      <c r="F28" s="22">
        <v>0</v>
      </c>
      <c r="G28" s="21">
        <f t="shared" si="1"/>
        <v>0</v>
      </c>
      <c r="H28" s="23">
        <f t="shared" si="2"/>
        <v>6500</v>
      </c>
      <c r="I28" s="24">
        <v>0</v>
      </c>
      <c r="J28" s="23">
        <f t="shared" si="3"/>
        <v>0</v>
      </c>
      <c r="K28" s="46">
        <f t="shared" si="4"/>
        <v>0</v>
      </c>
      <c r="L28" s="25">
        <f t="shared" si="10"/>
        <v>0</v>
      </c>
      <c r="M28" s="25">
        <f t="shared" si="6"/>
        <v>650</v>
      </c>
      <c r="N28" s="25">
        <f t="shared" si="7"/>
        <v>325</v>
      </c>
      <c r="O28" s="25">
        <f t="shared" si="8"/>
        <v>975</v>
      </c>
      <c r="P28" s="25">
        <f t="shared" si="9"/>
        <v>5525</v>
      </c>
      <c r="Q28" s="26" t="str">
        <f>IF(H28&gt;=$K$5,$J$5,IF(H28&gt;=$K$6,$J$6,$J$7))</f>
        <v>Estable</v>
      </c>
      <c r="S28" s="27"/>
      <c r="T28" s="26"/>
      <c r="U28" s="27"/>
      <c r="V28" s="26"/>
      <c r="W28" s="28"/>
      <c r="X28" s="26"/>
      <c r="Y28" s="28"/>
      <c r="Z28" s="26"/>
    </row>
    <row r="29" spans="1:26" x14ac:dyDescent="0.25">
      <c r="A29" s="4" t="s">
        <v>82</v>
      </c>
      <c r="B29" s="4" t="s">
        <v>83</v>
      </c>
      <c r="C29" s="12">
        <v>18</v>
      </c>
      <c r="D29" s="4" t="s">
        <v>94</v>
      </c>
      <c r="E29" s="21">
        <f t="shared" si="0"/>
        <v>0</v>
      </c>
      <c r="F29" s="22">
        <v>1</v>
      </c>
      <c r="G29" s="21">
        <f t="shared" si="1"/>
        <v>192</v>
      </c>
      <c r="H29" s="23">
        <f t="shared" si="2"/>
        <v>2400</v>
      </c>
      <c r="I29" s="24">
        <v>1</v>
      </c>
      <c r="J29" s="23">
        <f t="shared" si="3"/>
        <v>18</v>
      </c>
      <c r="K29" s="46">
        <f t="shared" si="4"/>
        <v>2</v>
      </c>
      <c r="L29" s="25">
        <f t="shared" si="10"/>
        <v>24</v>
      </c>
      <c r="M29" s="25">
        <f t="shared" si="6"/>
        <v>0</v>
      </c>
      <c r="N29" s="25">
        <f t="shared" si="7"/>
        <v>0</v>
      </c>
      <c r="O29" s="25">
        <f t="shared" si="8"/>
        <v>24</v>
      </c>
      <c r="P29" s="25">
        <f t="shared" si="9"/>
        <v>2394</v>
      </c>
      <c r="Q29" s="26" t="str">
        <f>IF(H29&gt;=$K$5,$J$5,IF(H29&gt;=$K$6,$J$6,$J$7))</f>
        <v>Eventual</v>
      </c>
      <c r="S29" s="27"/>
      <c r="T29" s="26"/>
      <c r="U29" s="27"/>
      <c r="V29" s="26"/>
      <c r="W29" s="27"/>
      <c r="X29" s="26"/>
      <c r="Y29" s="28"/>
      <c r="Z29" s="26"/>
    </row>
    <row r="30" spans="1:26" x14ac:dyDescent="0.25">
      <c r="A30" s="4" t="s">
        <v>84</v>
      </c>
      <c r="B30" s="4" t="s">
        <v>85</v>
      </c>
      <c r="C30" s="12">
        <v>17</v>
      </c>
      <c r="D30" s="4" t="s">
        <v>94</v>
      </c>
      <c r="E30" s="21">
        <f t="shared" si="0"/>
        <v>0</v>
      </c>
      <c r="F30" s="22">
        <v>0</v>
      </c>
      <c r="G30" s="21">
        <f t="shared" si="1"/>
        <v>0</v>
      </c>
      <c r="H30" s="23">
        <f t="shared" si="2"/>
        <v>2400</v>
      </c>
      <c r="I30" s="24">
        <v>1</v>
      </c>
      <c r="J30" s="23">
        <f t="shared" si="3"/>
        <v>18</v>
      </c>
      <c r="K30" s="46">
        <f t="shared" si="4"/>
        <v>3</v>
      </c>
      <c r="L30" s="25">
        <f t="shared" si="10"/>
        <v>36</v>
      </c>
      <c r="M30" s="25">
        <f t="shared" si="6"/>
        <v>0</v>
      </c>
      <c r="N30" s="25">
        <f t="shared" si="7"/>
        <v>0</v>
      </c>
      <c r="O30" s="25">
        <f t="shared" si="8"/>
        <v>36</v>
      </c>
      <c r="P30" s="25">
        <f t="shared" si="9"/>
        <v>2382</v>
      </c>
      <c r="Q30" s="26" t="str">
        <f>IF(H30&gt;=$K$5,$J$5,IF(H30&gt;=$K$6,$J$6,$J$7))</f>
        <v>Eventual</v>
      </c>
      <c r="S30" s="27"/>
      <c r="T30" s="26"/>
      <c r="U30" s="27"/>
      <c r="V30" s="26"/>
      <c r="W30" s="27"/>
      <c r="X30" s="26"/>
      <c r="Y30" s="28"/>
      <c r="Z30" s="26"/>
    </row>
    <row r="31" spans="1:26" x14ac:dyDescent="0.25">
      <c r="A31" s="4" t="s">
        <v>86</v>
      </c>
      <c r="B31" s="4" t="s">
        <v>87</v>
      </c>
      <c r="C31" s="12">
        <v>19</v>
      </c>
      <c r="D31" s="4" t="s">
        <v>95</v>
      </c>
      <c r="E31" s="21">
        <f t="shared" si="0"/>
        <v>774</v>
      </c>
      <c r="F31" s="22">
        <v>0</v>
      </c>
      <c r="G31" s="21">
        <f t="shared" si="1"/>
        <v>0</v>
      </c>
      <c r="H31" s="23">
        <f t="shared" si="2"/>
        <v>4300</v>
      </c>
      <c r="I31" s="24">
        <v>2</v>
      </c>
      <c r="J31" s="23">
        <f t="shared" si="3"/>
        <v>64.5</v>
      </c>
      <c r="K31" s="46">
        <f t="shared" si="4"/>
        <v>1</v>
      </c>
      <c r="L31" s="25">
        <f t="shared" si="10"/>
        <v>21.5</v>
      </c>
      <c r="M31" s="25">
        <f>IF(H31&gt;=3500,H31*H$5,0)</f>
        <v>430</v>
      </c>
      <c r="N31" s="25">
        <f t="shared" si="7"/>
        <v>215</v>
      </c>
      <c r="O31" s="25">
        <f t="shared" si="8"/>
        <v>666.5</v>
      </c>
      <c r="P31" s="25">
        <f t="shared" si="9"/>
        <v>3698</v>
      </c>
      <c r="Q31" s="26" t="str">
        <f>IF(H31&gt;=$K$5,$J$5,IF(H31&gt;=$K$6,$J$6,$J$7))</f>
        <v>Contratado</v>
      </c>
      <c r="S31" s="27"/>
      <c r="T31" s="26"/>
      <c r="U31" s="27"/>
      <c r="V31" s="26"/>
      <c r="W31" s="27"/>
      <c r="X31" s="26"/>
      <c r="Y31" s="28"/>
      <c r="Z31" s="26"/>
    </row>
    <row r="32" spans="1:26" x14ac:dyDescent="0.25">
      <c r="A32" s="4" t="s">
        <v>88</v>
      </c>
      <c r="B32" s="4" t="s">
        <v>89</v>
      </c>
      <c r="C32" s="12">
        <v>20</v>
      </c>
      <c r="D32" s="4" t="s">
        <v>94</v>
      </c>
      <c r="E32" s="21">
        <f t="shared" si="0"/>
        <v>0</v>
      </c>
      <c r="F32" s="22">
        <v>2</v>
      </c>
      <c r="G32" s="21">
        <f t="shared" si="1"/>
        <v>384</v>
      </c>
      <c r="H32" s="23">
        <f t="shared" si="2"/>
        <v>2400</v>
      </c>
      <c r="I32" s="24">
        <v>0</v>
      </c>
      <c r="J32" s="23">
        <f t="shared" si="3"/>
        <v>0</v>
      </c>
      <c r="K32" s="46">
        <f t="shared" si="4"/>
        <v>0</v>
      </c>
      <c r="L32" s="25">
        <f t="shared" si="10"/>
        <v>0</v>
      </c>
      <c r="M32" s="25">
        <f t="shared" si="6"/>
        <v>0</v>
      </c>
      <c r="N32" s="25">
        <f t="shared" si="7"/>
        <v>0</v>
      </c>
      <c r="O32" s="25">
        <f t="shared" si="8"/>
        <v>0</v>
      </c>
      <c r="P32" s="25">
        <f t="shared" si="9"/>
        <v>2400</v>
      </c>
      <c r="Q32" s="26" t="str">
        <f>IF(H32&gt;=$K$5,$J$5,IF(H32&gt;=$K$6,$J$6,$J$7))</f>
        <v>Eventual</v>
      </c>
      <c r="S32" s="27"/>
      <c r="T32" s="26"/>
      <c r="U32" s="27"/>
      <c r="V32" s="26"/>
      <c r="W32" s="27"/>
      <c r="X32" s="26"/>
      <c r="Y32" s="28"/>
      <c r="Z32" s="26"/>
    </row>
    <row r="33" spans="1:25" x14ac:dyDescent="0.25">
      <c r="F33" s="23"/>
      <c r="G33" s="23">
        <f t="shared" ref="G33:P33" si="11">SUM(G13:G32)</f>
        <v>4960</v>
      </c>
      <c r="H33" s="23">
        <f t="shared" si="11"/>
        <v>73100</v>
      </c>
      <c r="I33" s="22">
        <f t="shared" si="11"/>
        <v>29</v>
      </c>
      <c r="J33" s="23">
        <f t="shared" si="11"/>
        <v>777</v>
      </c>
      <c r="K33" s="22">
        <f t="shared" si="11"/>
        <v>55</v>
      </c>
      <c r="L33" s="23">
        <f t="shared" si="11"/>
        <v>1023.5</v>
      </c>
      <c r="M33" s="23">
        <f t="shared" si="11"/>
        <v>4280</v>
      </c>
      <c r="N33" s="23">
        <f t="shared" si="11"/>
        <v>2140</v>
      </c>
      <c r="O33" s="23">
        <f t="shared" si="11"/>
        <v>7443.5</v>
      </c>
      <c r="P33" s="23">
        <f t="shared" si="11"/>
        <v>66433.5</v>
      </c>
      <c r="R33" s="26"/>
      <c r="S33" s="29"/>
      <c r="T33" s="4"/>
      <c r="U33" s="29"/>
      <c r="V33" s="4"/>
      <c r="W33" s="29"/>
      <c r="X33" s="4"/>
      <c r="Y33" s="29"/>
    </row>
    <row r="34" spans="1:25" x14ac:dyDescent="0.25">
      <c r="A34" s="4"/>
      <c r="B34" s="4"/>
      <c r="F34" s="4"/>
      <c r="N34" s="30"/>
    </row>
    <row r="35" spans="1:25" x14ac:dyDescent="0.25">
      <c r="A35" s="4"/>
      <c r="B35" s="4"/>
      <c r="F35" s="4"/>
    </row>
    <row r="36" spans="1:25" ht="39.75" customHeight="1" x14ac:dyDescent="0.25">
      <c r="A36" s="31" t="s">
        <v>12</v>
      </c>
      <c r="B36" s="31"/>
      <c r="F36" s="4" t="s">
        <v>13</v>
      </c>
      <c r="G36" s="4" t="s">
        <v>17</v>
      </c>
    </row>
    <row r="37" spans="1:25" x14ac:dyDescent="0.25">
      <c r="A37" s="1" t="s">
        <v>14</v>
      </c>
      <c r="B37" s="1"/>
      <c r="F37" s="4" t="s">
        <v>15</v>
      </c>
    </row>
    <row r="38" spans="1:25" x14ac:dyDescent="0.25">
      <c r="A38" s="1"/>
      <c r="B38" s="1"/>
    </row>
    <row r="39" spans="1:25" x14ac:dyDescent="0.25">
      <c r="A39" s="32" t="s">
        <v>16</v>
      </c>
      <c r="B39" s="33">
        <f>COUNTA(B13:B32)</f>
        <v>20</v>
      </c>
      <c r="F39" s="34" t="s">
        <v>18</v>
      </c>
      <c r="G39" s="34"/>
      <c r="H39" s="34"/>
      <c r="I39" s="34"/>
      <c r="J39" s="34"/>
      <c r="K39" s="34"/>
      <c r="L39" s="34"/>
      <c r="M39" s="34"/>
      <c r="N39" s="34"/>
    </row>
    <row r="40" spans="1:25" x14ac:dyDescent="0.25">
      <c r="A40" s="32" t="s">
        <v>19</v>
      </c>
      <c r="B40" s="35">
        <f>AVERAGE(P13:P32)</f>
        <v>3321.6750000000002</v>
      </c>
      <c r="F40" s="34" t="s">
        <v>20</v>
      </c>
      <c r="G40" s="34"/>
      <c r="H40" s="34"/>
      <c r="I40" s="34"/>
      <c r="J40" s="34"/>
      <c r="K40" s="34"/>
      <c r="L40" s="34"/>
      <c r="M40" s="34"/>
      <c r="N40" s="34"/>
    </row>
    <row r="41" spans="1:25" x14ac:dyDescent="0.25">
      <c r="A41" s="32" t="s">
        <v>21</v>
      </c>
      <c r="B41" s="35">
        <f>MAX(H13:H32)</f>
        <v>6500</v>
      </c>
      <c r="F41" s="34" t="s">
        <v>22</v>
      </c>
      <c r="G41" s="34"/>
      <c r="H41" s="34"/>
      <c r="I41" s="34"/>
      <c r="J41" s="34"/>
      <c r="K41" s="34"/>
      <c r="L41" s="34"/>
      <c r="M41" s="34"/>
      <c r="N41" s="34"/>
    </row>
    <row r="42" spans="1:25" x14ac:dyDescent="0.25">
      <c r="A42" s="32" t="s">
        <v>23</v>
      </c>
      <c r="B42" s="35">
        <f>MIN(H13:H32)</f>
        <v>2300</v>
      </c>
      <c r="F42" s="34" t="s">
        <v>25</v>
      </c>
      <c r="G42" s="34"/>
      <c r="H42" s="34"/>
      <c r="I42" s="34"/>
      <c r="J42" s="34"/>
      <c r="K42" s="34"/>
      <c r="L42" s="34"/>
      <c r="M42" s="34"/>
      <c r="N42" s="34"/>
    </row>
    <row r="43" spans="1:25" x14ac:dyDescent="0.25">
      <c r="A43" s="32" t="s">
        <v>24</v>
      </c>
      <c r="B43" s="35">
        <f>SUM(H13:H32)</f>
        <v>73100</v>
      </c>
      <c r="F43" s="34" t="s">
        <v>27</v>
      </c>
      <c r="G43" s="34"/>
      <c r="H43" s="34"/>
      <c r="I43" s="34"/>
      <c r="J43" s="34"/>
      <c r="K43" s="34"/>
      <c r="L43" s="34"/>
      <c r="M43" s="34"/>
      <c r="N43" s="34"/>
    </row>
    <row r="44" spans="1:25" x14ac:dyDescent="0.25">
      <c r="A44" s="1" t="s">
        <v>26</v>
      </c>
      <c r="B44" s="1"/>
      <c r="F44" s="34" t="s">
        <v>29</v>
      </c>
      <c r="G44" s="34"/>
      <c r="H44" s="34"/>
      <c r="I44" s="34"/>
      <c r="J44" s="34"/>
      <c r="K44" s="34"/>
      <c r="L44" s="34"/>
      <c r="M44" s="34"/>
      <c r="N44" s="34"/>
    </row>
    <row r="45" spans="1:25" x14ac:dyDescent="0.25">
      <c r="A45" s="1" t="s">
        <v>28</v>
      </c>
      <c r="B45" s="1"/>
      <c r="F45" s="34" t="s">
        <v>30</v>
      </c>
      <c r="G45" s="34"/>
      <c r="H45" s="34"/>
      <c r="I45" s="34"/>
      <c r="J45" s="34"/>
      <c r="K45" s="34"/>
      <c r="L45" s="34"/>
      <c r="M45" s="34"/>
      <c r="N45" s="34"/>
    </row>
    <row r="46" spans="1:25" x14ac:dyDescent="0.25">
      <c r="A46" s="36" t="s">
        <v>0</v>
      </c>
      <c r="B46" s="33">
        <f>COUNTIF($D$13:$D$32,A46)</f>
        <v>0</v>
      </c>
      <c r="F46" s="34" t="s">
        <v>31</v>
      </c>
      <c r="G46" s="34"/>
      <c r="H46" s="34"/>
      <c r="I46" s="34"/>
      <c r="J46" s="34"/>
      <c r="K46" s="34"/>
      <c r="L46" s="34"/>
      <c r="M46" s="34"/>
      <c r="N46" s="34"/>
    </row>
    <row r="47" spans="1:25" x14ac:dyDescent="0.25">
      <c r="A47" s="36" t="s">
        <v>1</v>
      </c>
      <c r="B47" s="33">
        <f t="shared" ref="B47:B50" si="12">COUNTIF($D$13:$D$32,A47)</f>
        <v>0</v>
      </c>
      <c r="F47" s="34" t="s">
        <v>32</v>
      </c>
      <c r="G47" s="34"/>
      <c r="H47" s="34"/>
      <c r="I47" s="34"/>
      <c r="J47" s="34"/>
      <c r="K47" s="34"/>
      <c r="L47" s="34"/>
      <c r="M47" s="34"/>
      <c r="N47" s="34"/>
    </row>
    <row r="48" spans="1:25" x14ac:dyDescent="0.25">
      <c r="A48" s="36" t="s">
        <v>2</v>
      </c>
      <c r="B48" s="33">
        <f t="shared" si="12"/>
        <v>0</v>
      </c>
      <c r="F48" s="34" t="s">
        <v>33</v>
      </c>
      <c r="G48" s="34"/>
      <c r="H48" s="34"/>
      <c r="I48" s="34"/>
      <c r="J48" s="34"/>
      <c r="K48" s="34"/>
      <c r="L48" s="34"/>
      <c r="M48" s="34"/>
      <c r="N48" s="34"/>
    </row>
    <row r="49" spans="1:14" x14ac:dyDescent="0.25">
      <c r="A49" s="36" t="s">
        <v>3</v>
      </c>
      <c r="B49" s="33">
        <f t="shared" si="12"/>
        <v>2</v>
      </c>
      <c r="F49" s="37" t="s">
        <v>34</v>
      </c>
      <c r="G49" s="37"/>
      <c r="H49" s="37"/>
      <c r="I49" s="37"/>
      <c r="J49" s="37"/>
      <c r="K49" s="37"/>
      <c r="L49" s="37"/>
      <c r="M49" s="37"/>
      <c r="N49" s="37"/>
    </row>
    <row r="50" spans="1:14" x14ac:dyDescent="0.25">
      <c r="A50" s="36" t="s">
        <v>5</v>
      </c>
      <c r="B50" s="33">
        <f t="shared" si="12"/>
        <v>0</v>
      </c>
      <c r="F50" s="37" t="s">
        <v>36</v>
      </c>
      <c r="G50" s="37"/>
      <c r="H50" s="37"/>
      <c r="I50" s="37"/>
      <c r="J50" s="37"/>
      <c r="K50" s="37"/>
      <c r="L50" s="37"/>
      <c r="M50" s="37"/>
      <c r="N50" s="37"/>
    </row>
    <row r="51" spans="1:14" x14ac:dyDescent="0.25">
      <c r="A51" s="1" t="s">
        <v>35</v>
      </c>
      <c r="B51" s="1"/>
    </row>
    <row r="52" spans="1:14" x14ac:dyDescent="0.25">
      <c r="A52" s="1" t="s">
        <v>28</v>
      </c>
      <c r="B52" s="1"/>
      <c r="F52" s="4" t="s">
        <v>39</v>
      </c>
    </row>
    <row r="53" spans="1:14" x14ac:dyDescent="0.25">
      <c r="A53" s="36" t="s">
        <v>37</v>
      </c>
      <c r="B53" s="35">
        <f ca="1">SUMIF($D$13:$P$32,"Licenciado en Educación",$P$13:$P$32)</f>
        <v>0</v>
      </c>
      <c r="F53" s="37" t="s">
        <v>41</v>
      </c>
      <c r="G53" s="37"/>
      <c r="H53" s="37"/>
      <c r="I53" s="37"/>
      <c r="J53" s="37"/>
      <c r="K53" s="37"/>
      <c r="L53" s="37"/>
      <c r="M53" s="37"/>
      <c r="N53" s="37"/>
    </row>
    <row r="54" spans="1:14" x14ac:dyDescent="0.25">
      <c r="A54" s="36" t="s">
        <v>38</v>
      </c>
      <c r="B54" s="35">
        <f ca="1">SUMIF($D$13:$P$32,"Magister en Educación",$P$13:$P$32)</f>
        <v>0</v>
      </c>
      <c r="F54" s="37" t="s">
        <v>43</v>
      </c>
      <c r="G54" s="37"/>
      <c r="H54" s="37"/>
      <c r="I54" s="37"/>
      <c r="J54" s="37"/>
      <c r="K54" s="37"/>
      <c r="L54" s="37"/>
      <c r="M54" s="37"/>
      <c r="N54" s="37"/>
    </row>
    <row r="55" spans="1:14" x14ac:dyDescent="0.25">
      <c r="A55" s="36" t="s">
        <v>40</v>
      </c>
      <c r="B55" s="35">
        <f ca="1">SUMIF($D$13:$P$32,"Ing. De Sistemas",$P$13:$P$32)</f>
        <v>0</v>
      </c>
      <c r="F55" s="37" t="s">
        <v>45</v>
      </c>
      <c r="G55" s="37"/>
      <c r="H55" s="37"/>
      <c r="I55" s="37"/>
      <c r="J55" s="37"/>
      <c r="K55" s="37"/>
      <c r="L55" s="37"/>
      <c r="M55" s="37"/>
      <c r="N55" s="37"/>
    </row>
    <row r="56" spans="1:14" x14ac:dyDescent="0.25">
      <c r="A56" s="36" t="s">
        <v>42</v>
      </c>
      <c r="B56" s="35">
        <f ca="1">SUMIF($D$13:$P$32,"Administrador",$P$13:$P$32)</f>
        <v>5006.25</v>
      </c>
      <c r="F56" s="4"/>
    </row>
    <row r="57" spans="1:14" x14ac:dyDescent="0.25">
      <c r="A57" s="36" t="s">
        <v>44</v>
      </c>
      <c r="B57" s="35">
        <f ca="1">SUMIF($D$13:$P$32,"Instructor en Redes",$P$13:$P$32)</f>
        <v>0</v>
      </c>
      <c r="F57" s="4" t="s">
        <v>46</v>
      </c>
    </row>
    <row r="58" spans="1:14" x14ac:dyDescent="0.25">
      <c r="F58" s="4" t="s">
        <v>47</v>
      </c>
    </row>
    <row r="59" spans="1:14" x14ac:dyDescent="0.25">
      <c r="A59" s="4"/>
    </row>
    <row r="60" spans="1:14" x14ac:dyDescent="0.25">
      <c r="F60" s="4"/>
    </row>
    <row r="61" spans="1:14" x14ac:dyDescent="0.25">
      <c r="F61" s="4"/>
    </row>
  </sheetData>
  <mergeCells count="21">
    <mergeCell ref="F44:N44"/>
    <mergeCell ref="F39:N39"/>
    <mergeCell ref="F40:N40"/>
    <mergeCell ref="F41:N41"/>
    <mergeCell ref="F42:N42"/>
    <mergeCell ref="F43:N43"/>
    <mergeCell ref="F53:N53"/>
    <mergeCell ref="F54:N54"/>
    <mergeCell ref="F55:N55"/>
    <mergeCell ref="A36:B36"/>
    <mergeCell ref="A44:B44"/>
    <mergeCell ref="A45:B45"/>
    <mergeCell ref="A51:B51"/>
    <mergeCell ref="A52:B52"/>
    <mergeCell ref="A37:B38"/>
    <mergeCell ref="F45:N45"/>
    <mergeCell ref="F46:N46"/>
    <mergeCell ref="F47:N47"/>
    <mergeCell ref="F48:N48"/>
    <mergeCell ref="F49:N49"/>
    <mergeCell ref="F50:N50"/>
  </mergeCells>
  <conditionalFormatting sqref="Q13:Q32">
    <cfRule type="containsText" dxfId="3" priority="3" operator="containsText" text="Eventual">
      <formula>NOT(ISERROR(SEARCH("Eventual",Q13)))</formula>
    </cfRule>
    <cfRule type="containsText" dxfId="4" priority="2" operator="containsText" text="Estable">
      <formula>NOT(ISERROR(SEARCH("Estable",Q13)))</formula>
    </cfRule>
    <cfRule type="containsText" dxfId="2" priority="1" operator="containsText" text="Contratado">
      <formula>NOT(ISERROR(SEARCH("Contratado",Q13)))</formula>
    </cfRule>
  </conditionalFormatting>
  <pageMargins left="0.7" right="0.7" top="0.75" bottom="0.75" header="0.3" footer="0.3"/>
  <pageSetup paperSize="9" orientation="portrait" r:id="rId1"/>
  <ignoredErrors>
    <ignoredError sqref="B41" formulaRange="1"/>
    <ignoredError sqref="Q13" evalError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9.140625" defaultRowHeight="12.7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9.140625"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Investintech.com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A2E_Engine</dc:creator>
  <cp:lastModifiedBy>user</cp:lastModifiedBy>
  <dcterms:created xsi:type="dcterms:W3CDTF">2023-05-07T20:17:32Z</dcterms:created>
  <dcterms:modified xsi:type="dcterms:W3CDTF">2023-06-20T04:56:51Z</dcterms:modified>
</cp:coreProperties>
</file>