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ord\Idat\Hoja de Calculo I\ECU\"/>
    </mc:Choice>
  </mc:AlternateContent>
  <xr:revisionPtr revIDLastSave="0" documentId="8_{2A309D92-8363-41D3-8C26-7A669C8470FD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definedNames>
    <definedName name="_xlnm._FilterDatabase" localSheetId="0" hidden="1">Sheet1!$B$13:$R$34</definedName>
  </definedNames>
  <calcPr calcId="179021"/>
</workbook>
</file>

<file path=xl/calcChain.xml><?xml version="1.0" encoding="utf-8"?>
<calcChain xmlns="http://schemas.openxmlformats.org/spreadsheetml/2006/main">
  <c r="M15" i="1" l="1"/>
  <c r="M16" i="1"/>
  <c r="M17" i="1"/>
  <c r="M34" i="1" s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4" i="1"/>
  <c r="N14" i="1"/>
  <c r="F15" i="1"/>
  <c r="J15" i="1" s="1"/>
  <c r="F16" i="1"/>
  <c r="F17" i="1"/>
  <c r="F18" i="1"/>
  <c r="F19" i="1"/>
  <c r="F20" i="1"/>
  <c r="F21" i="1"/>
  <c r="J21" i="1" s="1"/>
  <c r="F22" i="1"/>
  <c r="J22" i="1" s="1"/>
  <c r="F23" i="1"/>
  <c r="J23" i="1" s="1"/>
  <c r="F24" i="1"/>
  <c r="F25" i="1"/>
  <c r="F26" i="1"/>
  <c r="F27" i="1"/>
  <c r="F28" i="1"/>
  <c r="J28" i="1" s="1"/>
  <c r="F29" i="1"/>
  <c r="F30" i="1"/>
  <c r="J30" i="1" s="1"/>
  <c r="F31" i="1"/>
  <c r="J31" i="1" s="1"/>
  <c r="F32" i="1"/>
  <c r="F33" i="1"/>
  <c r="J33" i="1" s="1"/>
  <c r="F14" i="1"/>
  <c r="H14" i="1" s="1"/>
  <c r="P14" i="1" l="1"/>
  <c r="J14" i="1"/>
  <c r="J27" i="1"/>
  <c r="J24" i="1"/>
  <c r="J16" i="1"/>
  <c r="H16" i="1"/>
  <c r="I16" i="1" s="1"/>
  <c r="H27" i="1"/>
  <c r="C48" i="1"/>
  <c r="C49" i="1"/>
  <c r="C50" i="1"/>
  <c r="C51" i="1"/>
  <c r="C47" i="1"/>
  <c r="C40" i="1"/>
  <c r="D10" i="1"/>
  <c r="D11" i="1"/>
  <c r="H30" i="1" l="1"/>
  <c r="I30" i="1" s="1"/>
  <c r="R16" i="1"/>
  <c r="H25" i="1"/>
  <c r="H23" i="1"/>
  <c r="I23" i="1" s="1"/>
  <c r="H28" i="1"/>
  <c r="I28" i="1" s="1"/>
  <c r="H24" i="1"/>
  <c r="I24" i="1" s="1"/>
  <c r="H20" i="1"/>
  <c r="H32" i="1"/>
  <c r="H26" i="1"/>
  <c r="H19" i="1"/>
  <c r="H31" i="1"/>
  <c r="I31" i="1" s="1"/>
  <c r="H33" i="1"/>
  <c r="I33" i="1" s="1"/>
  <c r="H18" i="1"/>
  <c r="H22" i="1"/>
  <c r="I22" i="1" s="1"/>
  <c r="H17" i="1"/>
  <c r="H29" i="1"/>
  <c r="H21" i="1"/>
  <c r="I21" i="1" s="1"/>
  <c r="H15" i="1"/>
  <c r="I15" i="1" s="1"/>
  <c r="I27" i="1"/>
  <c r="I14" i="1"/>
  <c r="R14" i="1" s="1"/>
  <c r="I19" i="1" l="1"/>
  <c r="J19" i="1"/>
  <c r="I18" i="1"/>
  <c r="R18" i="1" s="1"/>
  <c r="J18" i="1"/>
  <c r="I25" i="1"/>
  <c r="J25" i="1"/>
  <c r="I26" i="1"/>
  <c r="J26" i="1"/>
  <c r="I29" i="1"/>
  <c r="J29" i="1"/>
  <c r="I32" i="1"/>
  <c r="J32" i="1"/>
  <c r="I17" i="1"/>
  <c r="J17" i="1"/>
  <c r="I20" i="1"/>
  <c r="J20" i="1"/>
  <c r="R30" i="1"/>
  <c r="R22" i="1"/>
  <c r="R28" i="1"/>
  <c r="R27" i="1"/>
  <c r="R33" i="1"/>
  <c r="R23" i="1"/>
  <c r="R24" i="1"/>
  <c r="R15" i="1"/>
  <c r="R31" i="1"/>
  <c r="R21" i="1"/>
  <c r="P16" i="1"/>
  <c r="Q16" i="1" s="1"/>
  <c r="R17" i="1"/>
  <c r="K34" i="1"/>
  <c r="H34" i="1"/>
  <c r="R20" i="1" l="1"/>
  <c r="C43" i="1"/>
  <c r="P25" i="1"/>
  <c r="Q25" i="1" s="1"/>
  <c r="R32" i="1"/>
  <c r="R26" i="1"/>
  <c r="P20" i="1"/>
  <c r="Q20" i="1" s="1"/>
  <c r="P29" i="1"/>
  <c r="Q29" i="1" s="1"/>
  <c r="P19" i="1"/>
  <c r="Q19" i="1" s="1"/>
  <c r="R25" i="1"/>
  <c r="J34" i="1"/>
  <c r="C42" i="1"/>
  <c r="R29" i="1"/>
  <c r="C44" i="1"/>
  <c r="I34" i="1"/>
  <c r="R19" i="1"/>
  <c r="P23" i="1"/>
  <c r="Q23" i="1" s="1"/>
  <c r="P27" i="1"/>
  <c r="Q27" i="1" s="1"/>
  <c r="P24" i="1"/>
  <c r="Q24" i="1" s="1"/>
  <c r="P22" i="1"/>
  <c r="Q22" i="1" s="1"/>
  <c r="P21" i="1"/>
  <c r="Q21" i="1" s="1"/>
  <c r="P31" i="1"/>
  <c r="Q31" i="1" s="1"/>
  <c r="P17" i="1"/>
  <c r="Q17" i="1" s="1"/>
  <c r="P32" i="1"/>
  <c r="Q32" i="1" s="1"/>
  <c r="P33" i="1"/>
  <c r="Q33" i="1" s="1"/>
  <c r="P30" i="1"/>
  <c r="Q30" i="1" s="1"/>
  <c r="P18" i="1"/>
  <c r="Q18" i="1" s="1"/>
  <c r="P26" i="1"/>
  <c r="Q26" i="1" s="1"/>
  <c r="P28" i="1"/>
  <c r="Q28" i="1" s="1"/>
  <c r="P15" i="1"/>
  <c r="Q15" i="1" s="1"/>
  <c r="N34" i="1" l="1"/>
  <c r="O34" i="1"/>
  <c r="C55" i="1"/>
  <c r="C54" i="1"/>
  <c r="C58" i="1"/>
  <c r="P34" i="1"/>
  <c r="Q14" i="1"/>
  <c r="C57" i="1"/>
  <c r="C56" i="1"/>
  <c r="Q34" i="1" l="1"/>
  <c r="C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2" authorId="0" shapeId="0" xr:uid="{8169109C-03A1-4104-96EF-66DA1DAA8B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si el trabajador
trabaja días extra se tendrá un incremento del 15% de su básico</t>
        </r>
      </text>
    </comment>
    <comment ref="M12" authorId="0" shapeId="0" xr:uid="{56DCAB7A-45E7-48D2-AB69-2E455A647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si, faltase alguno de ellos tendrá un descuento
del 10%, de su básico por día</t>
        </r>
      </text>
    </comment>
  </commentList>
</comments>
</file>

<file path=xl/sharedStrings.xml><?xml version="1.0" encoding="utf-8"?>
<sst xmlns="http://schemas.openxmlformats.org/spreadsheetml/2006/main" count="145" uniqueCount="120">
  <si>
    <t>ESTADO DEL DOCENTE</t>
  </si>
  <si>
    <t>Licenciado en Educación</t>
  </si>
  <si>
    <t>Magister en Educación</t>
  </si>
  <si>
    <t>Ing. De Sistemas</t>
  </si>
  <si>
    <t>Administrador</t>
  </si>
  <si>
    <t>HORA ACTUAL</t>
  </si>
  <si>
    <t>Instructor en Redes</t>
  </si>
  <si>
    <t>FECHA ACTUAL</t>
  </si>
  <si>
    <t>DSCTO DE</t>
  </si>
  <si>
    <t>DSCTO</t>
  </si>
  <si>
    <t>COD</t>
  </si>
  <si>
    <t>DOCENTES</t>
  </si>
  <si>
    <t>EXTRAS</t>
  </si>
  <si>
    <t>EXTRA</t>
  </si>
  <si>
    <t>TOTAL DSCTOS</t>
  </si>
  <si>
    <t>NETO MENSUAL</t>
  </si>
  <si>
    <t>OSERVACION</t>
  </si>
  <si>
    <t>CUADRO DE REPORTE</t>
  </si>
  <si>
    <t>INSTRUCCIONES Y CRITERIOS DE EVALUACIÓN:</t>
  </si>
  <si>
    <t>ESTADISTICA GENRAL</t>
  </si>
  <si>
    <t>Considerar y tener en cuenta lo siguiente:</t>
  </si>
  <si>
    <t>N.º DE NUMERO DE TRABAJADORES</t>
  </si>
  <si>
    <t>Desarrollar la siguiente estructura conteniendo el mismo formato.</t>
  </si>
  <si>
    <t> Ingresar la Fecha y Hora del sistema</t>
  </si>
  <si>
    <t>PROMEDIO DE GASTOS MENSUAL</t>
  </si>
  <si>
    <t> Ingresar La Planilla de Docentes Teniendo Como Referencia: H. Semanales, P x H, Nº de Semanas.</t>
  </si>
  <si>
    <t>MAYOR SUELDO</t>
  </si>
  <si>
    <t> Calcular el Pago Semanal y el Pago Mensual</t>
  </si>
  <si>
    <t>MENOR SUELDO</t>
  </si>
  <si>
    <t>EGRESOS DE PLANILLA</t>
  </si>
  <si>
    <t> Calcular El Nº de Horas Extras, Teniendo Como Referencia Horas Fijas Semanales.</t>
  </si>
  <si>
    <t>Calcular y Contabilizar el Número de Trabajadores por</t>
  </si>
  <si>
    <t> Calcular El Pago De Hora, Teniendo Como Referencia La Bonificación De Hora Extra</t>
  </si>
  <si>
    <t>Especialidad</t>
  </si>
  <si>
    <t> Calcular Las Horas No Trabajadas, Teniendo Como Referencia Las Horas Fijas Semanales</t>
  </si>
  <si>
    <t> Calcular El Descuento De Hora, Teniendo Como Referencia El Dscto De Hora No Trabajada</t>
  </si>
  <si>
    <t> Considerar los Descuentos de EsSalud y Solidaridad para todos los trabajadores que figuran en planilla, siempre y cuando su básico sea mayor o igual que S/. 2,000.00</t>
  </si>
  <si>
    <t> Hallar el Total Descuento, utilizando operadores aritméticos y/o funciones anidadas.</t>
  </si>
  <si>
    <t> Hallar el Neto a pagar, utilizando operadores.</t>
  </si>
  <si>
    <t> En la Observación, apoyarse con el cuadro de TABLA DE DATOS</t>
  </si>
  <si>
    <t>Calcular Estadísticamente los Pagos y/o Egresos por</t>
  </si>
  <si>
    <t> Aplicar celdas absolutas, si lo amerita, tomando como referencia su criterio técnico de algunos campos</t>
  </si>
  <si>
    <t>Pagos  Licenciados</t>
  </si>
  <si>
    <t>Pagos Magisters</t>
  </si>
  <si>
    <t>CALCULAR EL RESUMEN ESTADISTICO EN RELACIÓN A LA BASE DE DATOS, DE LA PLANILLA BASICA:</t>
  </si>
  <si>
    <t>Pagos Ing. de Sistemas</t>
  </si>
  <si>
    <t>En el cuadro de Estadística General utilizar funciones estadísticas para hallar el reporte de cada campo y/o etiqueta que se solicite.</t>
  </si>
  <si>
    <t>Pagos Administradores</t>
  </si>
  <si>
    <t> Hallar, Calcular y Contabilizar la estadística del Número de Trabajadores (Docentes) por Especialidad, mostrada en el cuadro de resumen.</t>
  </si>
  <si>
    <t>Pagos Instructores de Redes</t>
  </si>
  <si>
    <t> Hallar y calcular estadísticamente los Egresos y Pagos que se realiza a los trabajadores por especialidad.</t>
  </si>
  <si>
    <t>DEVOLVER EL ARCHIVO CON SU APELLIDO SEGUIDO DE EVC01, EJEMPLO: TAPIA TEJADA_EC01_DSI</t>
  </si>
  <si>
    <t>POR EVA Y TEAMS</t>
  </si>
  <si>
    <t xml:space="preserve">PAGO SEMANAL </t>
  </si>
  <si>
    <t>PAGO MENSUAL</t>
  </si>
  <si>
    <t xml:space="preserve">                                                                               PLANILLA DOCENTE SENCICO</t>
  </si>
  <si>
    <t>T001AL</t>
  </si>
  <si>
    <t>Aliaga Dueñas, Rony</t>
  </si>
  <si>
    <t>T002AN</t>
  </si>
  <si>
    <t>Antuares Lopez, Lizeth</t>
  </si>
  <si>
    <t>T003BA</t>
  </si>
  <si>
    <t>Baldez Gutierrez, Norma</t>
  </si>
  <si>
    <t>T004BE</t>
  </si>
  <si>
    <t>Benites Antuares, Pablo</t>
  </si>
  <si>
    <t>T005BE</t>
  </si>
  <si>
    <t>Bermudes Sarmiento, Tony</t>
  </si>
  <si>
    <t>T006CA</t>
  </si>
  <si>
    <t>Caceres Aliaga, Jose</t>
  </si>
  <si>
    <t>T007DU</t>
  </si>
  <si>
    <t>Dueñas Vaca, Vilma</t>
  </si>
  <si>
    <t>T008ES</t>
  </si>
  <si>
    <t>Espinoza Bermudes, Arnold</t>
  </si>
  <si>
    <t>T009GA</t>
  </si>
  <si>
    <t>Garcia Manrique, Lourdes</t>
  </si>
  <si>
    <t>T0010GU</t>
  </si>
  <si>
    <t>Gutierrez Rosales, Alonso</t>
  </si>
  <si>
    <t>T0011LO</t>
  </si>
  <si>
    <t>Lopez Mendoza, Nidia</t>
  </si>
  <si>
    <t>T0012MA</t>
  </si>
  <si>
    <t>Manrique Quispe, Piero</t>
  </si>
  <si>
    <t>T0013ME</t>
  </si>
  <si>
    <t>Mendoza Benites, Juan</t>
  </si>
  <si>
    <t>T0014QU</t>
  </si>
  <si>
    <t>Quispe Baldez, David</t>
  </si>
  <si>
    <t>T0015RI</t>
  </si>
  <si>
    <t>Rios Suarez, Oscar</t>
  </si>
  <si>
    <t>T0016RO</t>
  </si>
  <si>
    <t>Rosales Espinoza, Luis</t>
  </si>
  <si>
    <t>T0017SA</t>
  </si>
  <si>
    <t>Salazar Salazar, Ruben</t>
  </si>
  <si>
    <t>T0018SA</t>
  </si>
  <si>
    <t>Sarmiento Garcia, Richard</t>
  </si>
  <si>
    <t>T0019SU</t>
  </si>
  <si>
    <t>Suarez Rios, Alfredo</t>
  </si>
  <si>
    <t>T0020VA</t>
  </si>
  <si>
    <t>Vaca Caceres, Robert</t>
  </si>
  <si>
    <t>Peón</t>
  </si>
  <si>
    <t>Operario</t>
  </si>
  <si>
    <t>Arquitecto</t>
  </si>
  <si>
    <t>Supervisor de Obra</t>
  </si>
  <si>
    <t>Ing. Civil</t>
  </si>
  <si>
    <t>Secretaria</t>
  </si>
  <si>
    <t>Maestro de Obra</t>
  </si>
  <si>
    <t>Ocupacion</t>
  </si>
  <si>
    <t>Estable</t>
  </si>
  <si>
    <t>Contratado</t>
  </si>
  <si>
    <t>Eventual</t>
  </si>
  <si>
    <t>DIAS</t>
  </si>
  <si>
    <t>FALTADOS</t>
  </si>
  <si>
    <t>DSCTO ONP</t>
  </si>
  <si>
    <t>DSCTO FONAVI</t>
  </si>
  <si>
    <t>DIAS NO TRABAJADAS</t>
  </si>
  <si>
    <t>MONTO</t>
  </si>
  <si>
    <t>BONIFICACION</t>
  </si>
  <si>
    <t>PGO x DIAS</t>
  </si>
  <si>
    <t>DSCTO DE DIA NO TRABAJADA</t>
  </si>
  <si>
    <t>BONIFICACION POR DIA EXTRA</t>
  </si>
  <si>
    <t>DIAS FIJAS SEMANALES</t>
  </si>
  <si>
    <t>ONP</t>
  </si>
  <si>
    <t>FONAVI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</si>
</sst>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S/&quot;* #,##0.00_-;\-&quot;S/&quot;* #,##0.00_-;_-&quot;S/&quot;* &quot;-&quot;??_-;_-@_-"/>
    <numFmt numFmtId="165" formatCode="_-[$S/-280A]\ * #,##0.00_-;\-[$S/-280A]\ * #,##0.00_-;_-[$S/-280A]\ * &quot;-&quot;??_-;_-@_-"/>
    <numFmt numFmtId="166" formatCode="[$-F800]dddd\,\ mmmm\ dd\,\ yyyy"/>
    <numFmt numFmtId="167" formatCode="[$-409]h:mm\ AM/PM;@"/>
    <numFmt numFmtId="168" formatCode="_ [$S/-C6B]\ * #,##0.00_ ;_ [$S/-C6B]\ * \-#,##0.00_ ;_ [$S/-C6B]\ * &quot;-&quot;??_ ;_ @_ "/>
  </numFmts>
  <fonts count="18" x14ac:knownFonts="1">
    <font>
      <sz val="10"/>
      <name val="Arial"/>
      <family val="2"/>
    </font>
    <font>
      <sz val="10"/>
      <name val="Arial"/>
      <family val="2"/>
    </font>
    <font>
      <sz val="16"/>
      <name val="Times New Roman"/>
      <family val="2"/>
    </font>
    <font>
      <sz val="8"/>
      <name val="Times New Roman"/>
      <family val="2"/>
    </font>
    <font>
      <sz val="8"/>
      <name val="Times New Roman"/>
      <family val="2"/>
    </font>
    <font>
      <sz val="8"/>
      <color rgb="FFFF0000"/>
      <name val="Times New Roman"/>
      <family val="2"/>
    </font>
    <font>
      <sz val="9"/>
      <name val="Times New Roman"/>
      <family val="2"/>
    </font>
    <font>
      <b/>
      <sz val="11"/>
      <color theme="0"/>
      <name val="Calibri"/>
      <family val="2"/>
      <scheme val="minor"/>
    </font>
    <font>
      <b/>
      <sz val="9"/>
      <color theme="0"/>
      <name val="Times New Roman"/>
      <family val="1"/>
    </font>
    <font>
      <sz val="10"/>
      <name val="Tahoma"/>
      <family val="2"/>
    </font>
    <font>
      <sz val="10"/>
      <name val="Calibri"/>
      <family val="2"/>
      <scheme val="minor"/>
    </font>
    <font>
      <sz val="8"/>
      <color theme="0"/>
      <name val="Times New Roman"/>
      <family val="2"/>
    </font>
    <font>
      <b/>
      <sz val="8"/>
      <color theme="0"/>
      <name val="Times New Roman"/>
      <family val="1"/>
    </font>
    <font>
      <b/>
      <sz val="11"/>
      <color theme="0"/>
      <name val="Tahoma"/>
      <family val="2"/>
    </font>
    <font>
      <b/>
      <sz val="16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NumberFormat="1" applyFont="1"/>
    <xf numFmtId="0" fontId="3" fillId="0" borderId="0" xfId="0" applyNumberFormat="1" applyFont="1"/>
    <xf numFmtId="9" fontId="4" fillId="0" borderId="0" xfId="0" applyNumberFormat="1" applyFont="1"/>
    <xf numFmtId="0" fontId="4" fillId="0" borderId="0" xfId="0" applyNumberFormat="1" applyFont="1"/>
    <xf numFmtId="2" fontId="4" fillId="0" borderId="0" xfId="0" applyNumberFormat="1" applyFont="1"/>
    <xf numFmtId="1" fontId="4" fillId="0" borderId="0" xfId="0" applyNumberFormat="1" applyFont="1"/>
    <xf numFmtId="0" fontId="5" fillId="0" borderId="0" xfId="0" applyNumberFormat="1" applyFont="1"/>
    <xf numFmtId="2" fontId="5" fillId="0" borderId="0" xfId="0" applyNumberFormat="1" applyFont="1"/>
    <xf numFmtId="4" fontId="5" fillId="0" borderId="0" xfId="0" applyNumberFormat="1" applyFont="1"/>
    <xf numFmtId="4" fontId="3" fillId="0" borderId="0" xfId="0" applyNumberFormat="1" applyFont="1"/>
    <xf numFmtId="1" fontId="3" fillId="0" borderId="0" xfId="0" applyNumberFormat="1" applyFont="1"/>
    <xf numFmtId="0" fontId="6" fillId="0" borderId="0" xfId="0" applyNumberFormat="1" applyFont="1"/>
    <xf numFmtId="164" fontId="4" fillId="0" borderId="0" xfId="1" applyFont="1"/>
    <xf numFmtId="165" fontId="5" fillId="0" borderId="0" xfId="0" applyNumberFormat="1" applyFont="1"/>
    <xf numFmtId="165" fontId="3" fillId="0" borderId="0" xfId="0" applyNumberFormat="1" applyFont="1"/>
    <xf numFmtId="168" fontId="5" fillId="0" borderId="0" xfId="1" applyNumberFormat="1" applyFont="1"/>
    <xf numFmtId="165" fontId="0" fillId="0" borderId="0" xfId="0" applyNumberFormat="1"/>
    <xf numFmtId="168" fontId="0" fillId="0" borderId="0" xfId="0" applyNumberFormat="1"/>
    <xf numFmtId="0" fontId="11" fillId="3" borderId="0" xfId="0" applyNumberFormat="1" applyFont="1" applyFill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164" fontId="9" fillId="6" borderId="1" xfId="0" applyNumberFormat="1" applyFont="1" applyFill="1" applyBorder="1" applyAlignment="1">
      <alignment horizontal="center" vertical="center"/>
    </xf>
    <xf numFmtId="0" fontId="15" fillId="7" borderId="1" xfId="0" applyNumberFormat="1" applyFont="1" applyFill="1" applyBorder="1" applyAlignment="1">
      <alignment vertical="center"/>
    </xf>
    <xf numFmtId="0" fontId="10" fillId="5" borderId="1" xfId="0" applyNumberFormat="1" applyFont="1" applyFill="1" applyBorder="1" applyAlignment="1">
      <alignment vertical="center"/>
    </xf>
    <xf numFmtId="0" fontId="8" fillId="3" borderId="0" xfId="0" applyNumberFormat="1" applyFont="1" applyFill="1" applyAlignment="1">
      <alignment horizontal="center" vertical="center"/>
    </xf>
    <xf numFmtId="0" fontId="12" fillId="3" borderId="0" xfId="0" applyNumberFormat="1" applyFont="1" applyFill="1" applyAlignment="1">
      <alignment horizontal="center" vertical="center"/>
    </xf>
    <xf numFmtId="0" fontId="11" fillId="3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/>
    </xf>
    <xf numFmtId="0" fontId="14" fillId="4" borderId="0" xfId="0" applyNumberFormat="1" applyFont="1" applyFill="1" applyAlignment="1">
      <alignment horizontal="center" vertical="center"/>
    </xf>
    <xf numFmtId="0" fontId="7" fillId="3" borderId="0" xfId="0" applyNumberFormat="1" applyFont="1" applyFill="1" applyAlignment="1">
      <alignment horizontal="center" vertical="center"/>
    </xf>
    <xf numFmtId="0" fontId="13" fillId="3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3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7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8" fontId="3" fillId="0" borderId="0" xfId="1" applyNumberFormat="1" applyFont="1"/>
    <xf numFmtId="0" fontId="0" fillId="0" borderId="2" xfId="0" applyBorder="1"/>
    <xf numFmtId="0" fontId="0" fillId="0" borderId="3" xfId="0" applyBorder="1"/>
    <xf numFmtId="0" fontId="3" fillId="0" borderId="4" xfId="0" applyNumberFormat="1" applyFont="1" applyBorder="1"/>
    <xf numFmtId="168" fontId="3" fillId="0" borderId="5" xfId="1" applyNumberFormat="1" applyFont="1" applyBorder="1"/>
    <xf numFmtId="0" fontId="3" fillId="0" borderId="6" xfId="0" applyNumberFormat="1" applyFont="1" applyBorder="1"/>
    <xf numFmtId="168" fontId="3" fillId="0" borderId="7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62"/>
  <sheetViews>
    <sheetView tabSelected="1" topLeftCell="A12" zoomScale="80" zoomScaleNormal="80" workbookViewId="0">
      <selection activeCell="M25" sqref="M25"/>
    </sheetView>
  </sheetViews>
  <sheetFormatPr baseColWidth="10" defaultColWidth="9.140625" defaultRowHeight="12.75" x14ac:dyDescent="0.2"/>
  <cols>
    <col min="2" max="2" width="37.42578125" customWidth="1"/>
    <col min="3" max="3" width="30.28515625" customWidth="1"/>
    <col min="4" max="4" width="22.85546875" style="33" customWidth="1"/>
    <col min="5" max="5" width="20" customWidth="1"/>
    <col min="6" max="6" width="18.42578125" customWidth="1"/>
    <col min="7" max="7" width="14.85546875" customWidth="1"/>
    <col min="8" max="8" width="22.42578125" customWidth="1"/>
    <col min="9" max="10" width="14.85546875" customWidth="1"/>
    <col min="11" max="15" width="20.140625" customWidth="1"/>
    <col min="16" max="16" width="15.7109375" customWidth="1"/>
    <col min="17" max="17" width="17.140625" customWidth="1"/>
    <col min="18" max="18" width="19.28515625" customWidth="1"/>
    <col min="19" max="19" width="13"/>
    <col min="20" max="27" width="8"/>
  </cols>
  <sheetData>
    <row r="1" spans="2:28" ht="13.5" thickBot="1" x14ac:dyDescent="0.25"/>
    <row r="2" spans="2:28" x14ac:dyDescent="0.2">
      <c r="O2" s="40"/>
      <c r="P2" s="41"/>
    </row>
    <row r="3" spans="2:28" ht="20.25" x14ac:dyDescent="0.3">
      <c r="B3" s="1" t="s">
        <v>55</v>
      </c>
      <c r="O3" s="42" t="s">
        <v>4</v>
      </c>
      <c r="P3" s="43">
        <v>2500</v>
      </c>
    </row>
    <row r="4" spans="2:28" ht="20.25" x14ac:dyDescent="0.3">
      <c r="B4" s="1"/>
      <c r="O4" s="42" t="s">
        <v>100</v>
      </c>
      <c r="P4" s="43">
        <v>6500</v>
      </c>
    </row>
    <row r="5" spans="2:28" x14ac:dyDescent="0.2">
      <c r="C5" s="2" t="s">
        <v>115</v>
      </c>
      <c r="D5" s="35">
        <v>0.1</v>
      </c>
      <c r="H5" s="2" t="s">
        <v>109</v>
      </c>
      <c r="I5" s="3">
        <v>0.13</v>
      </c>
      <c r="K5" s="34" t="s">
        <v>0</v>
      </c>
      <c r="L5" s="34"/>
      <c r="O5" s="42" t="s">
        <v>98</v>
      </c>
      <c r="P5" s="43">
        <v>5800</v>
      </c>
      <c r="U5" s="2"/>
    </row>
    <row r="6" spans="2:28" x14ac:dyDescent="0.2">
      <c r="C6" s="2" t="s">
        <v>116</v>
      </c>
      <c r="D6" s="35">
        <v>0.15</v>
      </c>
      <c r="H6" s="2" t="s">
        <v>110</v>
      </c>
      <c r="I6" s="3">
        <v>0.1</v>
      </c>
      <c r="K6" s="2" t="s">
        <v>104</v>
      </c>
      <c r="L6" s="13">
        <v>4500</v>
      </c>
      <c r="N6" s="2"/>
      <c r="O6" s="42" t="s">
        <v>97</v>
      </c>
      <c r="P6" s="43">
        <v>2900</v>
      </c>
      <c r="S6" s="2"/>
      <c r="W6" s="4"/>
      <c r="X6" s="5"/>
    </row>
    <row r="7" spans="2:28" x14ac:dyDescent="0.2">
      <c r="K7" s="2" t="s">
        <v>105</v>
      </c>
      <c r="L7" s="13">
        <v>2500</v>
      </c>
      <c r="N7" s="2"/>
      <c r="O7" s="42" t="s">
        <v>101</v>
      </c>
      <c r="P7" s="43">
        <v>2300</v>
      </c>
      <c r="S7" s="2"/>
      <c r="W7" s="4"/>
      <c r="X7" s="5"/>
    </row>
    <row r="8" spans="2:28" x14ac:dyDescent="0.2">
      <c r="C8" s="2" t="s">
        <v>117</v>
      </c>
      <c r="D8" s="36">
        <v>5</v>
      </c>
      <c r="K8" s="2" t="s">
        <v>106</v>
      </c>
      <c r="N8" s="2"/>
      <c r="O8" s="42" t="s">
        <v>96</v>
      </c>
      <c r="P8" s="43">
        <v>2400</v>
      </c>
      <c r="S8" s="2"/>
      <c r="W8" s="4"/>
      <c r="X8" s="5"/>
    </row>
    <row r="9" spans="2:28" x14ac:dyDescent="0.2">
      <c r="O9" s="42" t="s">
        <v>102</v>
      </c>
      <c r="P9" s="43">
        <v>4300</v>
      </c>
      <c r="S9" s="2"/>
      <c r="X9" s="5"/>
    </row>
    <row r="10" spans="2:28" ht="13.5" thickBot="1" x14ac:dyDescent="0.25">
      <c r="C10" s="2" t="s">
        <v>5</v>
      </c>
      <c r="D10" s="37">
        <f ca="1">NOW()</f>
        <v>45096.908165972221</v>
      </c>
      <c r="O10" s="44" t="s">
        <v>99</v>
      </c>
      <c r="P10" s="45">
        <v>3800</v>
      </c>
      <c r="S10" s="2"/>
      <c r="W10" s="4"/>
      <c r="X10" s="5"/>
    </row>
    <row r="11" spans="2:28" x14ac:dyDescent="0.2">
      <c r="C11" s="2" t="s">
        <v>7</v>
      </c>
      <c r="D11" s="38">
        <f ca="1">TODAY()</f>
        <v>45096</v>
      </c>
    </row>
    <row r="12" spans="2:28" x14ac:dyDescent="0.2">
      <c r="B12" s="25" t="s">
        <v>10</v>
      </c>
      <c r="C12" s="26" t="s">
        <v>11</v>
      </c>
      <c r="D12" s="19" t="s">
        <v>107</v>
      </c>
      <c r="E12" s="26" t="s">
        <v>103</v>
      </c>
      <c r="F12" s="27" t="s">
        <v>54</v>
      </c>
      <c r="G12" s="19" t="s">
        <v>107</v>
      </c>
      <c r="H12" s="27" t="s">
        <v>53</v>
      </c>
      <c r="I12" s="27" t="s">
        <v>54</v>
      </c>
      <c r="J12" s="19" t="s">
        <v>112</v>
      </c>
      <c r="K12" s="19" t="s">
        <v>114</v>
      </c>
      <c r="M12" s="19" t="s">
        <v>8</v>
      </c>
      <c r="N12" s="19" t="s">
        <v>9</v>
      </c>
      <c r="O12" s="19" t="s">
        <v>9</v>
      </c>
      <c r="P12" s="2" t="s">
        <v>14</v>
      </c>
      <c r="Q12" s="2" t="s">
        <v>15</v>
      </c>
      <c r="U12" s="2"/>
    </row>
    <row r="13" spans="2:28" x14ac:dyDescent="0.2">
      <c r="B13" s="25"/>
      <c r="C13" s="26"/>
      <c r="D13" s="19" t="s">
        <v>108</v>
      </c>
      <c r="E13" s="26"/>
      <c r="F13" s="27"/>
      <c r="G13" s="19" t="s">
        <v>12</v>
      </c>
      <c r="H13" s="27"/>
      <c r="I13" s="27"/>
      <c r="J13" s="19" t="s">
        <v>113</v>
      </c>
      <c r="K13" s="19" t="s">
        <v>13</v>
      </c>
      <c r="M13" s="19" t="s">
        <v>111</v>
      </c>
      <c r="N13" s="19" t="s">
        <v>118</v>
      </c>
      <c r="O13" s="19" t="s">
        <v>119</v>
      </c>
      <c r="P13" s="2"/>
      <c r="Q13" s="2"/>
      <c r="R13" s="2" t="s">
        <v>16</v>
      </c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28" x14ac:dyDescent="0.2">
      <c r="B14" s="4" t="s">
        <v>56</v>
      </c>
      <c r="C14" s="4" t="s">
        <v>57</v>
      </c>
      <c r="D14" s="36">
        <v>1</v>
      </c>
      <c r="E14" s="4" t="s">
        <v>96</v>
      </c>
      <c r="F14" s="15">
        <f>VLOOKUP(E14,$O$3:$P$10,2,0)</f>
        <v>2400</v>
      </c>
      <c r="G14" s="6">
        <v>1</v>
      </c>
      <c r="H14" s="14">
        <f>IFERROR(F14*D14,0)</f>
        <v>2400</v>
      </c>
      <c r="I14" s="14">
        <f t="shared" ref="I14:I33" si="0">H14*G14</f>
        <v>2400</v>
      </c>
      <c r="J14" s="15">
        <f>IF(F14&gt;=3000,H14*0.13,0)</f>
        <v>0</v>
      </c>
      <c r="K14" s="39">
        <f>IF(G14&gt;0,F14*0.15,0)</f>
        <v>360</v>
      </c>
      <c r="M14" s="39">
        <f>((F14/20)*0.1)*D14</f>
        <v>12</v>
      </c>
      <c r="N14" s="16">
        <f>IF(F14&gt;=3000,F14*I$5,0)</f>
        <v>0</v>
      </c>
      <c r="O14" s="16">
        <f>IF(F14&gt;=3000,F14*I$6,0)</f>
        <v>0</v>
      </c>
      <c r="P14" s="16">
        <f>SUM(M14:O14)</f>
        <v>12</v>
      </c>
      <c r="Q14" s="16">
        <f>(I14+K14)-P14</f>
        <v>2748</v>
      </c>
      <c r="R14" s="7" t="str">
        <f>IF(I14&gt;=$L$6,$K$6,IF(I14&gt;=$L$7,$K$7,$K$8))</f>
        <v>Eventual</v>
      </c>
      <c r="T14" s="8"/>
      <c r="U14" s="7"/>
      <c r="V14" s="8"/>
      <c r="W14" s="7"/>
      <c r="X14" s="8"/>
      <c r="Y14" s="7"/>
      <c r="Z14" s="9"/>
      <c r="AA14" s="7"/>
    </row>
    <row r="15" spans="2:28" x14ac:dyDescent="0.2">
      <c r="B15" s="4" t="s">
        <v>58</v>
      </c>
      <c r="C15" s="4" t="s">
        <v>59</v>
      </c>
      <c r="D15" s="36">
        <v>2</v>
      </c>
      <c r="E15" s="4" t="s">
        <v>97</v>
      </c>
      <c r="F15" s="15">
        <f t="shared" ref="F15:F33" si="1">VLOOKUP(E15,$O$3:$P$10,2,0)</f>
        <v>2900</v>
      </c>
      <c r="G15" s="6">
        <v>0</v>
      </c>
      <c r="H15" s="14">
        <f t="shared" ref="H15:H33" si="2">IFERROR(F15*D15,0)</f>
        <v>5800</v>
      </c>
      <c r="I15" s="14">
        <f t="shared" si="0"/>
        <v>0</v>
      </c>
      <c r="J15" s="15">
        <f t="shared" ref="J15:J33" si="3">IF(F15&gt;=3000,H15*0.13,0)</f>
        <v>0</v>
      </c>
      <c r="K15" s="39">
        <f t="shared" ref="K15:K33" si="4">IF(G15&gt;0,F15*0.15,0)</f>
        <v>0</v>
      </c>
      <c r="M15" s="39">
        <f t="shared" ref="M15:M33" si="5">((F15/20)*0.1)*D15</f>
        <v>29</v>
      </c>
      <c r="N15" s="16">
        <f t="shared" ref="N15:N33" si="6">IF(F15&gt;=3000,F15*I$5,0)</f>
        <v>0</v>
      </c>
      <c r="O15" s="16">
        <f t="shared" ref="O15:O33" si="7">IF(F15&gt;=3000,F15*I$6,0)</f>
        <v>0</v>
      </c>
      <c r="P15" s="16">
        <f>SUM(M15:O15)</f>
        <v>29</v>
      </c>
      <c r="Q15" s="16">
        <f t="shared" ref="Q15:Q33" si="8">(I15+K15)-P15</f>
        <v>-29</v>
      </c>
      <c r="R15" s="7" t="str">
        <f>IF(I15&gt;=$L$6,$K$6,IF(I15&gt;=$L$7,$K$7,$K$8))</f>
        <v>Eventual</v>
      </c>
      <c r="T15" s="8"/>
      <c r="U15" s="7"/>
      <c r="V15" s="8"/>
      <c r="W15" s="7"/>
      <c r="X15" s="8"/>
      <c r="Y15" s="7"/>
      <c r="Z15" s="9"/>
      <c r="AA15" s="7"/>
    </row>
    <row r="16" spans="2:28" x14ac:dyDescent="0.2">
      <c r="B16" s="4" t="s">
        <v>60</v>
      </c>
      <c r="C16" s="4" t="s">
        <v>61</v>
      </c>
      <c r="D16" s="36">
        <v>2</v>
      </c>
      <c r="E16" s="4" t="s">
        <v>96</v>
      </c>
      <c r="F16" s="15">
        <f t="shared" si="1"/>
        <v>2400</v>
      </c>
      <c r="G16" s="6">
        <v>2</v>
      </c>
      <c r="H16" s="14">
        <f t="shared" si="2"/>
        <v>4800</v>
      </c>
      <c r="I16" s="14">
        <f t="shared" si="0"/>
        <v>9600</v>
      </c>
      <c r="J16" s="15">
        <f t="shared" si="3"/>
        <v>0</v>
      </c>
      <c r="K16" s="39">
        <f t="shared" si="4"/>
        <v>360</v>
      </c>
      <c r="M16" s="39">
        <f t="shared" si="5"/>
        <v>24</v>
      </c>
      <c r="N16" s="16">
        <f t="shared" si="6"/>
        <v>0</v>
      </c>
      <c r="O16" s="16">
        <f t="shared" si="7"/>
        <v>0</v>
      </c>
      <c r="P16" s="16">
        <f>SUM(M16:O16)</f>
        <v>24</v>
      </c>
      <c r="Q16" s="16">
        <f t="shared" si="8"/>
        <v>9936</v>
      </c>
      <c r="R16" s="7" t="str">
        <f>IF(I16&gt;=$L$6,$K$6,IF(I16&gt;=$L$7,$K$7,$K$8))</f>
        <v>Estable</v>
      </c>
      <c r="T16" s="8"/>
      <c r="U16" s="7"/>
      <c r="V16" s="8"/>
      <c r="W16" s="7"/>
      <c r="X16" s="8"/>
      <c r="Y16" s="7"/>
      <c r="Z16" s="9"/>
      <c r="AA16" s="7"/>
    </row>
    <row r="17" spans="2:27" x14ac:dyDescent="0.2">
      <c r="B17" s="4" t="s">
        <v>62</v>
      </c>
      <c r="C17" s="4" t="s">
        <v>63</v>
      </c>
      <c r="D17" s="36">
        <v>1</v>
      </c>
      <c r="E17" s="4" t="s">
        <v>98</v>
      </c>
      <c r="F17" s="15">
        <f t="shared" si="1"/>
        <v>5800</v>
      </c>
      <c r="G17" s="6">
        <v>0</v>
      </c>
      <c r="H17" s="14">
        <f t="shared" si="2"/>
        <v>5800</v>
      </c>
      <c r="I17" s="14">
        <f t="shared" si="0"/>
        <v>0</v>
      </c>
      <c r="J17" s="15">
        <f t="shared" si="3"/>
        <v>754</v>
      </c>
      <c r="K17" s="39">
        <f t="shared" si="4"/>
        <v>0</v>
      </c>
      <c r="M17" s="39">
        <f t="shared" si="5"/>
        <v>29</v>
      </c>
      <c r="N17" s="16">
        <f t="shared" si="6"/>
        <v>754</v>
      </c>
      <c r="O17" s="16">
        <f t="shared" si="7"/>
        <v>580</v>
      </c>
      <c r="P17" s="16">
        <f>SUM(M17:O17)</f>
        <v>1363</v>
      </c>
      <c r="Q17" s="16">
        <f t="shared" si="8"/>
        <v>-1363</v>
      </c>
      <c r="R17" s="7" t="str">
        <f>IF(I17&gt;=$L$6,$K$6,IF(I17&gt;=$L$7,$K$7,$K$8))</f>
        <v>Eventual</v>
      </c>
      <c r="T17" s="8"/>
      <c r="U17" s="7"/>
      <c r="V17" s="8"/>
      <c r="W17" s="7"/>
      <c r="X17" s="8"/>
      <c r="Z17" s="9"/>
      <c r="AA17" s="7"/>
    </row>
    <row r="18" spans="2:27" x14ac:dyDescent="0.2">
      <c r="B18" s="2" t="s">
        <v>64</v>
      </c>
      <c r="C18" s="4" t="s">
        <v>65</v>
      </c>
      <c r="D18" s="36">
        <v>2</v>
      </c>
      <c r="E18" s="4" t="s">
        <v>99</v>
      </c>
      <c r="F18" s="15">
        <f t="shared" si="1"/>
        <v>3800</v>
      </c>
      <c r="G18" s="6">
        <v>3</v>
      </c>
      <c r="H18" s="14">
        <f t="shared" si="2"/>
        <v>7600</v>
      </c>
      <c r="I18" s="14">
        <f t="shared" si="0"/>
        <v>22800</v>
      </c>
      <c r="J18" s="15">
        <f t="shared" si="3"/>
        <v>988</v>
      </c>
      <c r="K18" s="39">
        <f t="shared" si="4"/>
        <v>570</v>
      </c>
      <c r="M18" s="39">
        <f t="shared" si="5"/>
        <v>38</v>
      </c>
      <c r="N18" s="16">
        <f t="shared" si="6"/>
        <v>494</v>
      </c>
      <c r="O18" s="16">
        <f t="shared" si="7"/>
        <v>380</v>
      </c>
      <c r="P18" s="16">
        <f>SUM(M18:O18)</f>
        <v>912</v>
      </c>
      <c r="Q18" s="16">
        <f t="shared" si="8"/>
        <v>22458</v>
      </c>
      <c r="R18" s="7" t="str">
        <f>IF(I18&gt;=$L$6,$K$6,IF(I18&gt;=$L$7,$K$7,$K$8))</f>
        <v>Estable</v>
      </c>
      <c r="T18" s="8"/>
      <c r="U18" s="7"/>
      <c r="V18" s="8"/>
      <c r="W18" s="7"/>
      <c r="X18" s="8"/>
      <c r="Z18" s="9"/>
      <c r="AA18" s="7"/>
    </row>
    <row r="19" spans="2:27" x14ac:dyDescent="0.2">
      <c r="B19" s="4" t="s">
        <v>66</v>
      </c>
      <c r="C19" s="4" t="s">
        <v>67</v>
      </c>
      <c r="D19" s="36">
        <v>2</v>
      </c>
      <c r="E19" s="4" t="s">
        <v>98</v>
      </c>
      <c r="F19" s="15">
        <f t="shared" si="1"/>
        <v>5800</v>
      </c>
      <c r="G19" s="6">
        <v>3</v>
      </c>
      <c r="H19" s="14">
        <f t="shared" si="2"/>
        <v>11600</v>
      </c>
      <c r="I19" s="14">
        <f t="shared" si="0"/>
        <v>34800</v>
      </c>
      <c r="J19" s="15">
        <f t="shared" si="3"/>
        <v>1508</v>
      </c>
      <c r="K19" s="39">
        <f t="shared" si="4"/>
        <v>870</v>
      </c>
      <c r="M19" s="39">
        <f t="shared" si="5"/>
        <v>58</v>
      </c>
      <c r="N19" s="16">
        <f t="shared" si="6"/>
        <v>754</v>
      </c>
      <c r="O19" s="16">
        <f t="shared" si="7"/>
        <v>580</v>
      </c>
      <c r="P19" s="16">
        <f>SUM(M19:O19)</f>
        <v>1392</v>
      </c>
      <c r="Q19" s="16">
        <f t="shared" si="8"/>
        <v>34278</v>
      </c>
      <c r="R19" s="7" t="str">
        <f>IF(I19&gt;=$L$6,$K$6,IF(I19&gt;=$L$7,$K$7,$K$8))</f>
        <v>Estable</v>
      </c>
      <c r="T19" s="7"/>
      <c r="U19" s="7"/>
      <c r="V19" s="7"/>
      <c r="W19" s="7"/>
      <c r="X19" s="8"/>
      <c r="Y19" s="7"/>
      <c r="Z19" s="8"/>
      <c r="AA19" s="7"/>
    </row>
    <row r="20" spans="2:27" x14ac:dyDescent="0.2">
      <c r="B20" s="4" t="s">
        <v>68</v>
      </c>
      <c r="C20" s="4" t="s">
        <v>69</v>
      </c>
      <c r="D20" s="36">
        <v>1</v>
      </c>
      <c r="E20" s="4" t="s">
        <v>100</v>
      </c>
      <c r="F20" s="15">
        <f t="shared" si="1"/>
        <v>6500</v>
      </c>
      <c r="G20" s="6">
        <v>6</v>
      </c>
      <c r="H20" s="14">
        <f>IFERROR(F20*D20,0)</f>
        <v>6500</v>
      </c>
      <c r="I20" s="14">
        <f t="shared" si="0"/>
        <v>39000</v>
      </c>
      <c r="J20" s="15">
        <f t="shared" si="3"/>
        <v>845</v>
      </c>
      <c r="K20" s="39">
        <f t="shared" si="4"/>
        <v>975</v>
      </c>
      <c r="M20" s="39">
        <f t="shared" si="5"/>
        <v>32.5</v>
      </c>
      <c r="N20" s="16">
        <f t="shared" si="6"/>
        <v>845</v>
      </c>
      <c r="O20" s="16">
        <f t="shared" si="7"/>
        <v>650</v>
      </c>
      <c r="P20" s="16">
        <f>SUM(M20:O20)</f>
        <v>1527.5</v>
      </c>
      <c r="Q20" s="16">
        <f t="shared" si="8"/>
        <v>38447.5</v>
      </c>
      <c r="R20" s="7" t="str">
        <f>IF(I20&gt;=$L$6,$K$6,IF(I20&gt;=$L$7,$K$7,$K$8))</f>
        <v>Estable</v>
      </c>
      <c r="T20" s="8"/>
      <c r="U20" s="7"/>
      <c r="V20" s="8"/>
      <c r="W20" s="7"/>
      <c r="X20" s="8"/>
      <c r="Y20" s="7"/>
      <c r="Z20" s="9"/>
      <c r="AA20" s="7"/>
    </row>
    <row r="21" spans="2:27" x14ac:dyDescent="0.2">
      <c r="B21" s="4" t="s">
        <v>70</v>
      </c>
      <c r="C21" s="4" t="s">
        <v>71</v>
      </c>
      <c r="D21" s="36">
        <v>0</v>
      </c>
      <c r="E21" s="4" t="s">
        <v>4</v>
      </c>
      <c r="F21" s="15">
        <f t="shared" si="1"/>
        <v>2500</v>
      </c>
      <c r="G21" s="6">
        <v>0</v>
      </c>
      <c r="H21" s="14">
        <f t="shared" si="2"/>
        <v>0</v>
      </c>
      <c r="I21" s="14">
        <f t="shared" si="0"/>
        <v>0</v>
      </c>
      <c r="J21" s="15">
        <f t="shared" si="3"/>
        <v>0</v>
      </c>
      <c r="K21" s="39">
        <f t="shared" si="4"/>
        <v>0</v>
      </c>
      <c r="M21" s="39">
        <f t="shared" si="5"/>
        <v>0</v>
      </c>
      <c r="N21" s="16">
        <f t="shared" si="6"/>
        <v>0</v>
      </c>
      <c r="O21" s="16">
        <f t="shared" si="7"/>
        <v>0</v>
      </c>
      <c r="P21" s="16">
        <f>SUM(M21:O21)</f>
        <v>0</v>
      </c>
      <c r="Q21" s="16">
        <f t="shared" si="8"/>
        <v>0</v>
      </c>
      <c r="R21" s="7" t="str">
        <f>IF(I21&gt;=$L$6,$K$6,IF(I21&gt;=$L$7,$K$7,$K$8))</f>
        <v>Eventual</v>
      </c>
      <c r="T21" s="8"/>
      <c r="U21" s="7"/>
      <c r="V21" s="8"/>
      <c r="W21" s="7"/>
      <c r="X21" s="8"/>
      <c r="Y21" s="7"/>
      <c r="Z21" s="9"/>
      <c r="AA21" s="7"/>
    </row>
    <row r="22" spans="2:27" x14ac:dyDescent="0.2">
      <c r="B22" s="4" t="s">
        <v>72</v>
      </c>
      <c r="C22" s="4" t="s">
        <v>73</v>
      </c>
      <c r="D22" s="36">
        <v>0</v>
      </c>
      <c r="E22" s="4" t="s">
        <v>4</v>
      </c>
      <c r="F22" s="15">
        <f t="shared" si="1"/>
        <v>2500</v>
      </c>
      <c r="G22" s="6">
        <v>1</v>
      </c>
      <c r="H22" s="14">
        <f t="shared" si="2"/>
        <v>0</v>
      </c>
      <c r="I22" s="14">
        <f t="shared" si="0"/>
        <v>0</v>
      </c>
      <c r="J22" s="15">
        <f t="shared" si="3"/>
        <v>0</v>
      </c>
      <c r="K22" s="39">
        <f t="shared" si="4"/>
        <v>375</v>
      </c>
      <c r="M22" s="39">
        <f t="shared" si="5"/>
        <v>0</v>
      </c>
      <c r="N22" s="16">
        <f t="shared" si="6"/>
        <v>0</v>
      </c>
      <c r="O22" s="16">
        <f t="shared" si="7"/>
        <v>0</v>
      </c>
      <c r="P22" s="16">
        <f>SUM(M22:O22)</f>
        <v>0</v>
      </c>
      <c r="Q22" s="16">
        <f t="shared" si="8"/>
        <v>375</v>
      </c>
      <c r="R22" s="7" t="str">
        <f>IF(I22&gt;=$L$6,$K$6,IF(I22&gt;=$L$7,$K$7,$K$8))</f>
        <v>Eventual</v>
      </c>
      <c r="T22" s="8"/>
      <c r="U22" s="7"/>
      <c r="V22" s="8"/>
      <c r="W22" s="7"/>
      <c r="X22" s="9"/>
      <c r="Y22" s="7"/>
      <c r="Z22" s="9"/>
      <c r="AA22" s="7"/>
    </row>
    <row r="23" spans="2:27" x14ac:dyDescent="0.2">
      <c r="B23" s="4" t="s">
        <v>74</v>
      </c>
      <c r="C23" s="4" t="s">
        <v>75</v>
      </c>
      <c r="D23" s="36">
        <v>2</v>
      </c>
      <c r="E23" s="4" t="s">
        <v>101</v>
      </c>
      <c r="F23" s="15">
        <f t="shared" si="1"/>
        <v>2300</v>
      </c>
      <c r="G23" s="6">
        <v>2</v>
      </c>
      <c r="H23" s="14">
        <f t="shared" si="2"/>
        <v>4600</v>
      </c>
      <c r="I23" s="14">
        <f t="shared" si="0"/>
        <v>9200</v>
      </c>
      <c r="J23" s="15">
        <f t="shared" si="3"/>
        <v>0</v>
      </c>
      <c r="K23" s="39">
        <f t="shared" si="4"/>
        <v>345</v>
      </c>
      <c r="M23" s="39">
        <f t="shared" si="5"/>
        <v>23</v>
      </c>
      <c r="N23" s="16">
        <f t="shared" si="6"/>
        <v>0</v>
      </c>
      <c r="O23" s="16">
        <f t="shared" si="7"/>
        <v>0</v>
      </c>
      <c r="P23" s="16">
        <f>SUM(M23:O23)</f>
        <v>23</v>
      </c>
      <c r="Q23" s="16">
        <f t="shared" si="8"/>
        <v>9522</v>
      </c>
      <c r="R23" s="7" t="str">
        <f>IF(I23&gt;=$L$6,$K$6,IF(I23&gt;=$L$7,$K$7,$K$8))</f>
        <v>Estable</v>
      </c>
      <c r="T23" s="8"/>
      <c r="U23" s="7"/>
      <c r="V23" s="8"/>
      <c r="W23" s="7"/>
      <c r="X23" s="8"/>
      <c r="Y23" s="7"/>
      <c r="Z23" s="9"/>
      <c r="AA23" s="7"/>
    </row>
    <row r="24" spans="2:27" x14ac:dyDescent="0.2">
      <c r="B24" s="4" t="s">
        <v>76</v>
      </c>
      <c r="C24" s="4" t="s">
        <v>77</v>
      </c>
      <c r="D24" s="36">
        <v>3</v>
      </c>
      <c r="E24" s="4" t="s">
        <v>101</v>
      </c>
      <c r="F24" s="15">
        <f t="shared" si="1"/>
        <v>2300</v>
      </c>
      <c r="G24" s="6">
        <v>1</v>
      </c>
      <c r="H24" s="14">
        <f t="shared" si="2"/>
        <v>6900</v>
      </c>
      <c r="I24" s="14">
        <f t="shared" si="0"/>
        <v>6900</v>
      </c>
      <c r="J24" s="15">
        <f t="shared" si="3"/>
        <v>0</v>
      </c>
      <c r="K24" s="39">
        <f t="shared" si="4"/>
        <v>345</v>
      </c>
      <c r="M24" s="39">
        <f t="shared" si="5"/>
        <v>34.5</v>
      </c>
      <c r="N24" s="16">
        <f t="shared" si="6"/>
        <v>0</v>
      </c>
      <c r="O24" s="16">
        <f t="shared" si="7"/>
        <v>0</v>
      </c>
      <c r="P24" s="16">
        <f>SUM(M24:O24)</f>
        <v>34.5</v>
      </c>
      <c r="Q24" s="16">
        <f t="shared" si="8"/>
        <v>7210.5</v>
      </c>
      <c r="R24" s="7" t="str">
        <f>IF(I24&gt;=$L$6,$K$6,IF(I24&gt;=$L$7,$K$7,$K$8))</f>
        <v>Estable</v>
      </c>
      <c r="T24" s="8"/>
      <c r="U24" s="7"/>
      <c r="V24" s="8"/>
      <c r="W24" s="7"/>
      <c r="X24" s="8"/>
      <c r="Y24" s="7"/>
      <c r="Z24" s="9"/>
      <c r="AA24" s="7"/>
    </row>
    <row r="25" spans="2:27" x14ac:dyDescent="0.2">
      <c r="B25" s="4" t="s">
        <v>78</v>
      </c>
      <c r="C25" s="4" t="s">
        <v>79</v>
      </c>
      <c r="D25" s="36">
        <v>1</v>
      </c>
      <c r="E25" s="4" t="s">
        <v>102</v>
      </c>
      <c r="F25" s="15">
        <f t="shared" si="1"/>
        <v>4300</v>
      </c>
      <c r="G25" s="6">
        <v>2</v>
      </c>
      <c r="H25" s="14">
        <f t="shared" si="2"/>
        <v>4300</v>
      </c>
      <c r="I25" s="14">
        <f t="shared" si="0"/>
        <v>8600</v>
      </c>
      <c r="J25" s="15">
        <f t="shared" si="3"/>
        <v>559</v>
      </c>
      <c r="K25" s="39">
        <f t="shared" si="4"/>
        <v>645</v>
      </c>
      <c r="M25" s="39">
        <f t="shared" si="5"/>
        <v>21.5</v>
      </c>
      <c r="N25" s="16">
        <f t="shared" si="6"/>
        <v>559</v>
      </c>
      <c r="O25" s="16">
        <f t="shared" si="7"/>
        <v>430</v>
      </c>
      <c r="P25" s="16">
        <f>SUM(M25:O25)</f>
        <v>1010.5</v>
      </c>
      <c r="Q25" s="16">
        <f t="shared" si="8"/>
        <v>8234.5</v>
      </c>
      <c r="R25" s="7" t="str">
        <f>IF(I25&gt;=$L$6,$K$6,IF(I25&gt;=$L$7,$K$7,$K$8))</f>
        <v>Estable</v>
      </c>
      <c r="T25" s="8"/>
      <c r="U25" s="7"/>
      <c r="V25" s="8"/>
      <c r="W25" s="7"/>
      <c r="X25" s="8"/>
      <c r="Y25" s="7"/>
      <c r="Z25" s="9"/>
      <c r="AA25" s="7"/>
    </row>
    <row r="26" spans="2:27" x14ac:dyDescent="0.2">
      <c r="B26" s="4" t="s">
        <v>80</v>
      </c>
      <c r="C26" s="4" t="s">
        <v>81</v>
      </c>
      <c r="D26" s="36">
        <v>1</v>
      </c>
      <c r="E26" s="4" t="s">
        <v>98</v>
      </c>
      <c r="F26" s="15">
        <f t="shared" si="1"/>
        <v>5800</v>
      </c>
      <c r="G26" s="6">
        <v>1</v>
      </c>
      <c r="H26" s="14">
        <f t="shared" si="2"/>
        <v>5800</v>
      </c>
      <c r="I26" s="14">
        <f t="shared" si="0"/>
        <v>5800</v>
      </c>
      <c r="J26" s="15">
        <f t="shared" si="3"/>
        <v>754</v>
      </c>
      <c r="K26" s="39">
        <f t="shared" si="4"/>
        <v>870</v>
      </c>
      <c r="M26" s="39">
        <f t="shared" si="5"/>
        <v>29</v>
      </c>
      <c r="N26" s="16">
        <f t="shared" si="6"/>
        <v>754</v>
      </c>
      <c r="O26" s="16">
        <f t="shared" si="7"/>
        <v>580</v>
      </c>
      <c r="P26" s="16">
        <f>SUM(M26:O26)</f>
        <v>1363</v>
      </c>
      <c r="Q26" s="16">
        <f t="shared" si="8"/>
        <v>5307</v>
      </c>
      <c r="R26" s="7" t="str">
        <f>IF(I26&gt;=$L$6,$K$6,IF(I26&gt;=$L$7,$K$7,$K$8))</f>
        <v>Estable</v>
      </c>
      <c r="T26" s="7"/>
      <c r="U26" s="7"/>
      <c r="V26" s="7"/>
      <c r="W26" s="7"/>
      <c r="X26" s="8"/>
      <c r="Y26" s="7"/>
      <c r="Z26" s="8"/>
      <c r="AA26" s="7"/>
    </row>
    <row r="27" spans="2:27" x14ac:dyDescent="0.2">
      <c r="B27" s="4" t="s">
        <v>82</v>
      </c>
      <c r="C27" s="4" t="s">
        <v>83</v>
      </c>
      <c r="D27" s="36">
        <v>2</v>
      </c>
      <c r="E27" s="4" t="s">
        <v>97</v>
      </c>
      <c r="F27" s="15">
        <f t="shared" si="1"/>
        <v>2900</v>
      </c>
      <c r="G27" s="6">
        <v>3</v>
      </c>
      <c r="H27" s="14">
        <f t="shared" si="2"/>
        <v>5800</v>
      </c>
      <c r="I27" s="14">
        <f t="shared" si="0"/>
        <v>17400</v>
      </c>
      <c r="J27" s="15">
        <f t="shared" si="3"/>
        <v>0</v>
      </c>
      <c r="K27" s="39">
        <f t="shared" si="4"/>
        <v>435</v>
      </c>
      <c r="M27" s="39">
        <f t="shared" si="5"/>
        <v>29</v>
      </c>
      <c r="N27" s="16">
        <f t="shared" si="6"/>
        <v>0</v>
      </c>
      <c r="O27" s="16">
        <f t="shared" si="7"/>
        <v>0</v>
      </c>
      <c r="P27" s="16">
        <f>SUM(M27:O27)</f>
        <v>29</v>
      </c>
      <c r="Q27" s="16">
        <f t="shared" si="8"/>
        <v>17806</v>
      </c>
      <c r="R27" s="7" t="str">
        <f>IF(I27&gt;=$L$6,$K$6,IF(I27&gt;=$L$7,$K$7,$K$8))</f>
        <v>Estable</v>
      </c>
      <c r="T27" s="7"/>
      <c r="U27" s="7"/>
      <c r="V27" s="7"/>
      <c r="W27" s="7"/>
      <c r="X27" s="8"/>
      <c r="Y27" s="7"/>
      <c r="Z27" s="9"/>
      <c r="AA27" s="7"/>
    </row>
    <row r="28" spans="2:27" x14ac:dyDescent="0.2">
      <c r="B28" s="4" t="s">
        <v>84</v>
      </c>
      <c r="C28" s="4" t="s">
        <v>85</v>
      </c>
      <c r="D28" s="36">
        <v>0</v>
      </c>
      <c r="E28" s="4" t="s">
        <v>97</v>
      </c>
      <c r="F28" s="15">
        <f t="shared" si="1"/>
        <v>2900</v>
      </c>
      <c r="G28" s="6">
        <v>0</v>
      </c>
      <c r="H28" s="14">
        <f t="shared" si="2"/>
        <v>0</v>
      </c>
      <c r="I28" s="14">
        <f t="shared" si="0"/>
        <v>0</v>
      </c>
      <c r="J28" s="15">
        <f t="shared" si="3"/>
        <v>0</v>
      </c>
      <c r="K28" s="39">
        <f t="shared" si="4"/>
        <v>0</v>
      </c>
      <c r="M28" s="39">
        <f t="shared" si="5"/>
        <v>0</v>
      </c>
      <c r="N28" s="16">
        <f t="shared" si="6"/>
        <v>0</v>
      </c>
      <c r="O28" s="16">
        <f t="shared" si="7"/>
        <v>0</v>
      </c>
      <c r="P28" s="16">
        <f>SUM(M28:O28)</f>
        <v>0</v>
      </c>
      <c r="Q28" s="16">
        <f t="shared" si="8"/>
        <v>0</v>
      </c>
      <c r="R28" s="7" t="str">
        <f>IF(I28&gt;=$L$6,$K$6,IF(I28&gt;=$L$7,$K$7,$K$8))</f>
        <v>Eventual</v>
      </c>
      <c r="T28" s="8"/>
      <c r="U28" s="7"/>
      <c r="V28" s="8"/>
      <c r="W28" s="7"/>
      <c r="X28" s="8"/>
      <c r="Y28" s="7"/>
      <c r="Z28" s="9"/>
      <c r="AA28" s="7"/>
    </row>
    <row r="29" spans="2:27" x14ac:dyDescent="0.2">
      <c r="B29" s="4" t="s">
        <v>86</v>
      </c>
      <c r="C29" s="4" t="s">
        <v>87</v>
      </c>
      <c r="D29" s="36">
        <v>0</v>
      </c>
      <c r="E29" s="4" t="s">
        <v>100</v>
      </c>
      <c r="F29" s="15">
        <f t="shared" si="1"/>
        <v>6500</v>
      </c>
      <c r="G29" s="6">
        <v>2</v>
      </c>
      <c r="H29" s="14">
        <f t="shared" si="2"/>
        <v>0</v>
      </c>
      <c r="I29" s="14">
        <f t="shared" si="0"/>
        <v>0</v>
      </c>
      <c r="J29" s="15">
        <f t="shared" si="3"/>
        <v>0</v>
      </c>
      <c r="K29" s="39">
        <f t="shared" si="4"/>
        <v>975</v>
      </c>
      <c r="M29" s="39">
        <f t="shared" si="5"/>
        <v>0</v>
      </c>
      <c r="N29" s="16">
        <f t="shared" si="6"/>
        <v>845</v>
      </c>
      <c r="O29" s="16">
        <f t="shared" si="7"/>
        <v>650</v>
      </c>
      <c r="P29" s="16">
        <f>SUM(M29:O29)</f>
        <v>1495</v>
      </c>
      <c r="Q29" s="16">
        <f t="shared" si="8"/>
        <v>-520</v>
      </c>
      <c r="R29" s="7" t="str">
        <f>IF(I29&gt;=$L$6,$K$6,IF(I29&gt;=$L$7,$K$7,$K$8))</f>
        <v>Eventual</v>
      </c>
      <c r="T29" s="8"/>
      <c r="U29" s="7"/>
      <c r="V29" s="8"/>
      <c r="W29" s="7"/>
      <c r="X29" s="9"/>
      <c r="Y29" s="7"/>
      <c r="Z29" s="9"/>
      <c r="AA29" s="7"/>
    </row>
    <row r="30" spans="2:27" x14ac:dyDescent="0.2">
      <c r="B30" s="4" t="s">
        <v>88</v>
      </c>
      <c r="C30" s="4" t="s">
        <v>89</v>
      </c>
      <c r="D30" s="36">
        <v>2</v>
      </c>
      <c r="E30" s="4" t="s">
        <v>96</v>
      </c>
      <c r="F30" s="15">
        <f t="shared" si="1"/>
        <v>2400</v>
      </c>
      <c r="G30" s="6">
        <v>0</v>
      </c>
      <c r="H30" s="14">
        <f t="shared" si="2"/>
        <v>4800</v>
      </c>
      <c r="I30" s="14">
        <f t="shared" si="0"/>
        <v>0</v>
      </c>
      <c r="J30" s="15">
        <f t="shared" si="3"/>
        <v>0</v>
      </c>
      <c r="K30" s="39">
        <f t="shared" si="4"/>
        <v>0</v>
      </c>
      <c r="M30" s="39">
        <f t="shared" si="5"/>
        <v>24</v>
      </c>
      <c r="N30" s="16">
        <f t="shared" si="6"/>
        <v>0</v>
      </c>
      <c r="O30" s="16">
        <f t="shared" si="7"/>
        <v>0</v>
      </c>
      <c r="P30" s="16">
        <f>SUM(M30:O30)</f>
        <v>24</v>
      </c>
      <c r="Q30" s="16">
        <f t="shared" si="8"/>
        <v>-24</v>
      </c>
      <c r="R30" s="7" t="str">
        <f>IF(I30&gt;=$L$6,$K$6,IF(I30&gt;=$L$7,$K$7,$K$8))</f>
        <v>Eventual</v>
      </c>
      <c r="T30" s="8"/>
      <c r="U30" s="7"/>
      <c r="V30" s="8"/>
      <c r="W30" s="7"/>
      <c r="X30" s="8"/>
      <c r="Y30" s="7"/>
      <c r="Z30" s="9"/>
      <c r="AA30" s="7"/>
    </row>
    <row r="31" spans="2:27" x14ac:dyDescent="0.2">
      <c r="B31" s="4" t="s">
        <v>90</v>
      </c>
      <c r="C31" s="4" t="s">
        <v>91</v>
      </c>
      <c r="D31" s="36">
        <v>1</v>
      </c>
      <c r="E31" s="4" t="s">
        <v>96</v>
      </c>
      <c r="F31" s="15">
        <f t="shared" si="1"/>
        <v>2400</v>
      </c>
      <c r="G31" s="6">
        <v>2</v>
      </c>
      <c r="H31" s="14">
        <f t="shared" si="2"/>
        <v>2400</v>
      </c>
      <c r="I31" s="14">
        <f t="shared" si="0"/>
        <v>4800</v>
      </c>
      <c r="J31" s="15">
        <f t="shared" si="3"/>
        <v>0</v>
      </c>
      <c r="K31" s="39">
        <f t="shared" si="4"/>
        <v>360</v>
      </c>
      <c r="M31" s="39">
        <f t="shared" si="5"/>
        <v>12</v>
      </c>
      <c r="N31" s="16">
        <f t="shared" si="6"/>
        <v>0</v>
      </c>
      <c r="O31" s="16">
        <f t="shared" si="7"/>
        <v>0</v>
      </c>
      <c r="P31" s="16">
        <f>SUM(M31:O31)</f>
        <v>12</v>
      </c>
      <c r="Q31" s="16">
        <f t="shared" si="8"/>
        <v>5148</v>
      </c>
      <c r="R31" s="7" t="str">
        <f>IF(I31&gt;=$L$6,$K$6,IF(I31&gt;=$L$7,$K$7,$K$8))</f>
        <v>Estable</v>
      </c>
      <c r="T31" s="8"/>
      <c r="U31" s="7"/>
      <c r="V31" s="8"/>
      <c r="W31" s="7"/>
      <c r="X31" s="8"/>
      <c r="Y31" s="7"/>
      <c r="Z31" s="9"/>
      <c r="AA31" s="7"/>
    </row>
    <row r="32" spans="2:27" x14ac:dyDescent="0.2">
      <c r="B32" s="4" t="s">
        <v>92</v>
      </c>
      <c r="C32" s="4" t="s">
        <v>93</v>
      </c>
      <c r="D32" s="36">
        <v>0</v>
      </c>
      <c r="E32" s="4" t="s">
        <v>102</v>
      </c>
      <c r="F32" s="15">
        <f t="shared" si="1"/>
        <v>4300</v>
      </c>
      <c r="G32" s="6">
        <v>3</v>
      </c>
      <c r="H32" s="14">
        <f t="shared" si="2"/>
        <v>0</v>
      </c>
      <c r="I32" s="14">
        <f t="shared" si="0"/>
        <v>0</v>
      </c>
      <c r="J32" s="15">
        <f t="shared" si="3"/>
        <v>0</v>
      </c>
      <c r="K32" s="39">
        <f t="shared" si="4"/>
        <v>645</v>
      </c>
      <c r="M32" s="39">
        <f t="shared" si="5"/>
        <v>0</v>
      </c>
      <c r="N32" s="16">
        <f t="shared" si="6"/>
        <v>559</v>
      </c>
      <c r="O32" s="16">
        <f t="shared" si="7"/>
        <v>430</v>
      </c>
      <c r="P32" s="16">
        <f>SUM(M32:O32)</f>
        <v>989</v>
      </c>
      <c r="Q32" s="16">
        <f t="shared" si="8"/>
        <v>-344</v>
      </c>
      <c r="R32" s="7" t="str">
        <f>IF(I32&gt;=$L$6,$K$6,IF(I32&gt;=$L$7,$K$7,$K$8))</f>
        <v>Eventual</v>
      </c>
      <c r="T32" s="8"/>
      <c r="U32" s="7"/>
      <c r="V32" s="8"/>
      <c r="W32" s="7"/>
      <c r="X32" s="8"/>
      <c r="Y32" s="7"/>
      <c r="Z32" s="9"/>
      <c r="AA32" s="7"/>
    </row>
    <row r="33" spans="2:27" x14ac:dyDescent="0.2">
      <c r="B33" s="4" t="s">
        <v>94</v>
      </c>
      <c r="C33" s="4" t="s">
        <v>95</v>
      </c>
      <c r="D33" s="36">
        <v>1</v>
      </c>
      <c r="E33" s="4" t="s">
        <v>96</v>
      </c>
      <c r="F33" s="15">
        <f t="shared" si="1"/>
        <v>2400</v>
      </c>
      <c r="G33" s="6">
        <v>0</v>
      </c>
      <c r="H33" s="14">
        <f t="shared" si="2"/>
        <v>2400</v>
      </c>
      <c r="I33" s="14">
        <f t="shared" si="0"/>
        <v>0</v>
      </c>
      <c r="J33" s="15">
        <f t="shared" si="3"/>
        <v>0</v>
      </c>
      <c r="K33" s="39">
        <f t="shared" si="4"/>
        <v>0</v>
      </c>
      <c r="M33" s="39">
        <f t="shared" si="5"/>
        <v>12</v>
      </c>
      <c r="N33" s="16">
        <f t="shared" si="6"/>
        <v>0</v>
      </c>
      <c r="O33" s="16">
        <f t="shared" si="7"/>
        <v>0</v>
      </c>
      <c r="P33" s="16">
        <f>SUM(M33:O33)</f>
        <v>12</v>
      </c>
      <c r="Q33" s="16">
        <f t="shared" si="8"/>
        <v>-12</v>
      </c>
      <c r="R33" s="7" t="str">
        <f>IF(I33&gt;=$L$6,$K$6,IF(I33&gt;=$L$7,$K$7,$K$8))</f>
        <v>Eventual</v>
      </c>
      <c r="T33" s="8"/>
      <c r="U33" s="7"/>
      <c r="V33" s="8"/>
      <c r="W33" s="7"/>
      <c r="X33" s="8"/>
      <c r="Y33" s="7"/>
      <c r="Z33" s="9"/>
      <c r="AA33" s="7"/>
    </row>
    <row r="34" spans="2:27" x14ac:dyDescent="0.2">
      <c r="G34" s="17"/>
      <c r="H34" s="15">
        <f t="shared" ref="H34:Q34" si="9">SUM(H14:H33)</f>
        <v>81500</v>
      </c>
      <c r="I34" s="15">
        <f t="shared" si="9"/>
        <v>161300</v>
      </c>
      <c r="J34" s="11">
        <f t="shared" si="9"/>
        <v>5408</v>
      </c>
      <c r="K34" s="15">
        <f t="shared" si="9"/>
        <v>8130</v>
      </c>
      <c r="L34" s="11"/>
      <c r="M34" s="15">
        <f t="shared" si="9"/>
        <v>407.5</v>
      </c>
      <c r="N34" s="15">
        <f t="shared" si="9"/>
        <v>5564</v>
      </c>
      <c r="O34" s="15">
        <f t="shared" si="9"/>
        <v>4280</v>
      </c>
      <c r="P34" s="15">
        <f t="shared" si="9"/>
        <v>10251.5</v>
      </c>
      <c r="Q34" s="15">
        <f t="shared" si="9"/>
        <v>159178.5</v>
      </c>
      <c r="S34" s="7"/>
      <c r="T34" s="10"/>
      <c r="U34" s="2"/>
      <c r="V34" s="10"/>
      <c r="W34" s="2"/>
      <c r="X34" s="10"/>
      <c r="Y34" s="2"/>
      <c r="Z34" s="10"/>
    </row>
    <row r="35" spans="2:27" x14ac:dyDescent="0.2">
      <c r="B35" s="12"/>
      <c r="C35" s="12"/>
      <c r="G35" s="4"/>
      <c r="O35" s="18"/>
    </row>
    <row r="36" spans="2:27" x14ac:dyDescent="0.2">
      <c r="B36" s="2"/>
      <c r="C36" s="2"/>
      <c r="G36" s="4"/>
    </row>
    <row r="37" spans="2:27" ht="39.75" customHeight="1" x14ac:dyDescent="0.2">
      <c r="B37" s="29" t="s">
        <v>17</v>
      </c>
      <c r="C37" s="29"/>
      <c r="G37" s="4" t="s">
        <v>18</v>
      </c>
      <c r="H37" s="4" t="s">
        <v>22</v>
      </c>
    </row>
    <row r="38" spans="2:27" x14ac:dyDescent="0.2">
      <c r="B38" s="31" t="s">
        <v>19</v>
      </c>
      <c r="C38" s="31"/>
      <c r="G38" s="4" t="s">
        <v>20</v>
      </c>
    </row>
    <row r="39" spans="2:27" x14ac:dyDescent="0.2">
      <c r="B39" s="31"/>
      <c r="C39" s="31"/>
    </row>
    <row r="40" spans="2:27" x14ac:dyDescent="0.2">
      <c r="B40" s="23" t="s">
        <v>21</v>
      </c>
      <c r="C40" s="21">
        <f>COUNTA(C14:C33)</f>
        <v>20</v>
      </c>
      <c r="G40" s="32" t="s">
        <v>23</v>
      </c>
      <c r="H40" s="32"/>
      <c r="I40" s="32"/>
      <c r="J40" s="32"/>
      <c r="K40" s="32"/>
      <c r="L40" s="32"/>
      <c r="M40" s="32"/>
      <c r="N40" s="32"/>
      <c r="O40" s="32"/>
    </row>
    <row r="41" spans="2:27" x14ac:dyDescent="0.2">
      <c r="B41" s="23" t="s">
        <v>24</v>
      </c>
      <c r="C41" s="22">
        <f>AVERAGE(Q14:Q33)</f>
        <v>7958.9250000000002</v>
      </c>
      <c r="G41" s="32" t="s">
        <v>25</v>
      </c>
      <c r="H41" s="32"/>
      <c r="I41" s="32"/>
      <c r="J41" s="32"/>
      <c r="K41" s="32"/>
      <c r="L41" s="32"/>
      <c r="M41" s="32"/>
      <c r="N41" s="32"/>
      <c r="O41" s="32"/>
    </row>
    <row r="42" spans="2:27" x14ac:dyDescent="0.2">
      <c r="B42" s="23" t="s">
        <v>26</v>
      </c>
      <c r="C42" s="22">
        <f>MAX(I14:I33)</f>
        <v>39000</v>
      </c>
      <c r="G42" s="32" t="s">
        <v>27</v>
      </c>
      <c r="H42" s="32"/>
      <c r="I42" s="32"/>
      <c r="J42" s="32"/>
      <c r="K42" s="32"/>
      <c r="L42" s="32"/>
      <c r="M42" s="32"/>
      <c r="N42" s="32"/>
      <c r="O42" s="32"/>
    </row>
    <row r="43" spans="2:27" x14ac:dyDescent="0.2">
      <c r="B43" s="23" t="s">
        <v>28</v>
      </c>
      <c r="C43" s="22">
        <f>MIN(I14:I33)</f>
        <v>0</v>
      </c>
      <c r="G43" s="32" t="s">
        <v>30</v>
      </c>
      <c r="H43" s="32"/>
      <c r="I43" s="32"/>
      <c r="J43" s="32"/>
      <c r="K43" s="32"/>
      <c r="L43" s="32"/>
      <c r="M43" s="32"/>
      <c r="N43" s="32"/>
      <c r="O43" s="32"/>
    </row>
    <row r="44" spans="2:27" x14ac:dyDescent="0.2">
      <c r="B44" s="23" t="s">
        <v>29</v>
      </c>
      <c r="C44" s="22">
        <f>SUM(I14:I33)</f>
        <v>161300</v>
      </c>
      <c r="G44" s="32" t="s">
        <v>32</v>
      </c>
      <c r="H44" s="32"/>
      <c r="I44" s="32"/>
      <c r="J44" s="32"/>
      <c r="K44" s="32"/>
      <c r="L44" s="32"/>
      <c r="M44" s="32"/>
      <c r="N44" s="32"/>
      <c r="O44" s="32"/>
    </row>
    <row r="45" spans="2:27" ht="15" x14ac:dyDescent="0.2">
      <c r="B45" s="30" t="s">
        <v>31</v>
      </c>
      <c r="C45" s="30"/>
      <c r="G45" s="32" t="s">
        <v>34</v>
      </c>
      <c r="H45" s="32"/>
      <c r="I45" s="32"/>
      <c r="J45" s="32"/>
      <c r="K45" s="32"/>
      <c r="L45" s="32"/>
      <c r="M45" s="32"/>
      <c r="N45" s="32"/>
      <c r="O45" s="32"/>
    </row>
    <row r="46" spans="2:27" ht="15" x14ac:dyDescent="0.2">
      <c r="B46" s="30" t="s">
        <v>33</v>
      </c>
      <c r="C46" s="30"/>
      <c r="G46" s="32" t="s">
        <v>35</v>
      </c>
      <c r="H46" s="32"/>
      <c r="I46" s="32"/>
      <c r="J46" s="32"/>
      <c r="K46" s="32"/>
      <c r="L46" s="32"/>
      <c r="M46" s="32"/>
      <c r="N46" s="32"/>
      <c r="O46" s="32"/>
    </row>
    <row r="47" spans="2:27" x14ac:dyDescent="0.2">
      <c r="B47" s="24" t="s">
        <v>1</v>
      </c>
      <c r="C47" s="20">
        <f>COUNTIF($E$14:$E$33,B47)</f>
        <v>0</v>
      </c>
      <c r="G47" s="32" t="s">
        <v>36</v>
      </c>
      <c r="H47" s="32"/>
      <c r="I47" s="32"/>
      <c r="J47" s="32"/>
      <c r="K47" s="32"/>
      <c r="L47" s="32"/>
      <c r="M47" s="32"/>
      <c r="N47" s="32"/>
      <c r="O47" s="32"/>
    </row>
    <row r="48" spans="2:27" x14ac:dyDescent="0.2">
      <c r="B48" s="24" t="s">
        <v>2</v>
      </c>
      <c r="C48" s="20">
        <f t="shared" ref="C48:C51" si="10">COUNTIF($E$14:$E$33,B48)</f>
        <v>0</v>
      </c>
      <c r="G48" s="32" t="s">
        <v>37</v>
      </c>
      <c r="H48" s="32"/>
      <c r="I48" s="32"/>
      <c r="J48" s="32"/>
      <c r="K48" s="32"/>
      <c r="L48" s="32"/>
      <c r="M48" s="32"/>
      <c r="N48" s="32"/>
      <c r="O48" s="32"/>
    </row>
    <row r="49" spans="2:15" x14ac:dyDescent="0.2">
      <c r="B49" s="24" t="s">
        <v>3</v>
      </c>
      <c r="C49" s="20">
        <f t="shared" si="10"/>
        <v>0</v>
      </c>
      <c r="G49" s="32" t="s">
        <v>38</v>
      </c>
      <c r="H49" s="32"/>
      <c r="I49" s="32"/>
      <c r="J49" s="32"/>
      <c r="K49" s="32"/>
      <c r="L49" s="32"/>
      <c r="M49" s="32"/>
      <c r="N49" s="32"/>
      <c r="O49" s="32"/>
    </row>
    <row r="50" spans="2:15" x14ac:dyDescent="0.2">
      <c r="B50" s="24" t="s">
        <v>4</v>
      </c>
      <c r="C50" s="20">
        <f t="shared" si="10"/>
        <v>2</v>
      </c>
      <c r="G50" s="28" t="s">
        <v>39</v>
      </c>
      <c r="H50" s="28"/>
      <c r="I50" s="28"/>
      <c r="J50" s="28"/>
      <c r="K50" s="28"/>
      <c r="L50" s="28"/>
      <c r="M50" s="28"/>
      <c r="N50" s="28"/>
      <c r="O50" s="28"/>
    </row>
    <row r="51" spans="2:15" x14ac:dyDescent="0.2">
      <c r="B51" s="24" t="s">
        <v>6</v>
      </c>
      <c r="C51" s="20">
        <f t="shared" si="10"/>
        <v>0</v>
      </c>
      <c r="G51" s="28" t="s">
        <v>41</v>
      </c>
      <c r="H51" s="28"/>
      <c r="I51" s="28"/>
      <c r="J51" s="28"/>
      <c r="K51" s="28"/>
      <c r="L51" s="28"/>
      <c r="M51" s="28"/>
      <c r="N51" s="28"/>
      <c r="O51" s="28"/>
    </row>
    <row r="52" spans="2:15" ht="15" x14ac:dyDescent="0.2">
      <c r="B52" s="30" t="s">
        <v>40</v>
      </c>
      <c r="C52" s="30"/>
    </row>
    <row r="53" spans="2:15" ht="15" x14ac:dyDescent="0.2">
      <c r="B53" s="30" t="s">
        <v>33</v>
      </c>
      <c r="C53" s="30"/>
      <c r="G53" s="4" t="s">
        <v>44</v>
      </c>
    </row>
    <row r="54" spans="2:15" x14ac:dyDescent="0.2">
      <c r="B54" s="24" t="s">
        <v>42</v>
      </c>
      <c r="C54" s="22">
        <f ca="1">SUMIF($E$14:$Q$33,"Licenciado en Educación",$Q$14:$Q$33)</f>
        <v>0</v>
      </c>
      <c r="G54" s="28" t="s">
        <v>46</v>
      </c>
      <c r="H54" s="28"/>
      <c r="I54" s="28"/>
      <c r="J54" s="28"/>
      <c r="K54" s="28"/>
      <c r="L54" s="28"/>
      <c r="M54" s="28"/>
      <c r="N54" s="28"/>
      <c r="O54" s="28"/>
    </row>
    <row r="55" spans="2:15" x14ac:dyDescent="0.2">
      <c r="B55" s="24" t="s">
        <v>43</v>
      </c>
      <c r="C55" s="22">
        <f ca="1">SUMIF($E$14:$Q$33,"Magister en Educación",$Q$14:$Q$33)</f>
        <v>0</v>
      </c>
      <c r="G55" s="28" t="s">
        <v>48</v>
      </c>
      <c r="H55" s="28"/>
      <c r="I55" s="28"/>
      <c r="J55" s="28"/>
      <c r="K55" s="28"/>
      <c r="L55" s="28"/>
      <c r="M55" s="28"/>
      <c r="N55" s="28"/>
      <c r="O55" s="28"/>
    </row>
    <row r="56" spans="2:15" x14ac:dyDescent="0.2">
      <c r="B56" s="24" t="s">
        <v>45</v>
      </c>
      <c r="C56" s="22">
        <f ca="1">SUMIF($E$14:$Q$33,"Ing. De Sistemas",$Q$14:$Q$33)</f>
        <v>0</v>
      </c>
      <c r="G56" s="28" t="s">
        <v>50</v>
      </c>
      <c r="H56" s="28"/>
      <c r="I56" s="28"/>
      <c r="J56" s="28"/>
      <c r="K56" s="28"/>
      <c r="L56" s="28"/>
      <c r="M56" s="28"/>
      <c r="N56" s="28"/>
      <c r="O56" s="28"/>
    </row>
    <row r="57" spans="2:15" x14ac:dyDescent="0.2">
      <c r="B57" s="24" t="s">
        <v>47</v>
      </c>
      <c r="C57" s="22">
        <f ca="1">SUMIF($E$14:$Q$33,"Administrador",$Q$14:$Q$33)</f>
        <v>375</v>
      </c>
      <c r="G57" s="4"/>
    </row>
    <row r="58" spans="2:15" x14ac:dyDescent="0.2">
      <c r="B58" s="24" t="s">
        <v>49</v>
      </c>
      <c r="C58" s="22">
        <f ca="1">SUMIF($E$14:$Q$33,"Instructor en Redes",$Q$14:$Q$33)</f>
        <v>0</v>
      </c>
      <c r="G58" s="2" t="s">
        <v>51</v>
      </c>
    </row>
    <row r="59" spans="2:15" x14ac:dyDescent="0.2">
      <c r="G59" s="4" t="s">
        <v>52</v>
      </c>
    </row>
    <row r="60" spans="2:15" x14ac:dyDescent="0.2">
      <c r="B60" s="4"/>
    </row>
    <row r="61" spans="2:15" x14ac:dyDescent="0.2">
      <c r="G61" s="4"/>
    </row>
    <row r="62" spans="2:15" x14ac:dyDescent="0.2">
      <c r="G62" s="4"/>
    </row>
  </sheetData>
  <mergeCells count="28">
    <mergeCell ref="G45:O45"/>
    <mergeCell ref="K5:L5"/>
    <mergeCell ref="G40:O40"/>
    <mergeCell ref="G41:O41"/>
    <mergeCell ref="G42:O42"/>
    <mergeCell ref="G43:O43"/>
    <mergeCell ref="G44:O44"/>
    <mergeCell ref="I12:I13"/>
    <mergeCell ref="G54:O54"/>
    <mergeCell ref="G55:O55"/>
    <mergeCell ref="G56:O56"/>
    <mergeCell ref="B37:C37"/>
    <mergeCell ref="B45:C45"/>
    <mergeCell ref="B46:C46"/>
    <mergeCell ref="B52:C52"/>
    <mergeCell ref="B53:C53"/>
    <mergeCell ref="B38:C39"/>
    <mergeCell ref="G46:O46"/>
    <mergeCell ref="G47:O47"/>
    <mergeCell ref="G48:O48"/>
    <mergeCell ref="G49:O49"/>
    <mergeCell ref="G50:O50"/>
    <mergeCell ref="G51:O51"/>
    <mergeCell ref="B12:B13"/>
    <mergeCell ref="C12:C13"/>
    <mergeCell ref="E12:E13"/>
    <mergeCell ref="F12:F13"/>
    <mergeCell ref="H12:H13"/>
  </mergeCells>
  <pageMargins left="0.7" right="0.7" top="0.75" bottom="0.75" header="0.3" footer="0.3"/>
  <pageSetup paperSize="9" orientation="portrait" r:id="rId1"/>
  <ignoredErrors>
    <ignoredError sqref="C42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user</cp:lastModifiedBy>
  <dcterms:created xsi:type="dcterms:W3CDTF">2023-05-07T20:17:32Z</dcterms:created>
  <dcterms:modified xsi:type="dcterms:W3CDTF">2023-06-20T02:50:05Z</dcterms:modified>
</cp:coreProperties>
</file>