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ord\Idat\Hoja de Calculo I\ECU\"/>
    </mc:Choice>
  </mc:AlternateContent>
  <xr:revisionPtr revIDLastSave="0" documentId="13_ncr:1_{FEB72135-080C-411D-96AC-E2F41F13CE94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Sheet1!$A$12:$Q$33</definedName>
  </definedNames>
  <calcPr calcId="179021"/>
</workbook>
</file>

<file path=xl/calcChain.xml><?xml version="1.0" encoding="utf-8"?>
<calcChain xmlns="http://schemas.openxmlformats.org/spreadsheetml/2006/main">
  <c r="P33" i="1" l="1"/>
  <c r="O33" i="1"/>
  <c r="N33" i="1"/>
  <c r="M33" i="1"/>
  <c r="L33" i="1"/>
  <c r="K33" i="1"/>
  <c r="B40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13" i="1"/>
  <c r="B43" i="1"/>
  <c r="B57" i="1"/>
  <c r="B56" i="1"/>
  <c r="B55" i="1"/>
  <c r="B54" i="1"/>
  <c r="B5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3" i="1"/>
  <c r="I19" i="1"/>
  <c r="E14" i="1"/>
  <c r="L14" i="1" s="1"/>
  <c r="E15" i="1"/>
  <c r="G15" i="1" s="1"/>
  <c r="H15" i="1" s="1"/>
  <c r="M15" i="1" s="1"/>
  <c r="E16" i="1"/>
  <c r="L16" i="1" s="1"/>
  <c r="E17" i="1"/>
  <c r="L17" i="1" s="1"/>
  <c r="E18" i="1"/>
  <c r="L18" i="1" s="1"/>
  <c r="E19" i="1"/>
  <c r="L19" i="1" s="1"/>
  <c r="E20" i="1"/>
  <c r="J20" i="1" s="1"/>
  <c r="E21" i="1"/>
  <c r="J21" i="1" s="1"/>
  <c r="E22" i="1"/>
  <c r="J22" i="1" s="1"/>
  <c r="E23" i="1"/>
  <c r="J23" i="1" s="1"/>
  <c r="E24" i="1"/>
  <c r="L24" i="1" s="1"/>
  <c r="E25" i="1"/>
  <c r="L25" i="1" s="1"/>
  <c r="E26" i="1"/>
  <c r="L26" i="1" s="1"/>
  <c r="E27" i="1"/>
  <c r="L27" i="1" s="1"/>
  <c r="E28" i="1"/>
  <c r="J28" i="1" s="1"/>
  <c r="E29" i="1"/>
  <c r="J29" i="1" s="1"/>
  <c r="E30" i="1"/>
  <c r="J30" i="1" s="1"/>
  <c r="E31" i="1"/>
  <c r="J31" i="1" s="1"/>
  <c r="E32" i="1"/>
  <c r="L32" i="1" s="1"/>
  <c r="E13" i="1"/>
  <c r="G13" i="1" s="1"/>
  <c r="G26" i="1"/>
  <c r="G29" i="1"/>
  <c r="K25" i="1"/>
  <c r="K26" i="1"/>
  <c r="K27" i="1"/>
  <c r="K28" i="1"/>
  <c r="K29" i="1"/>
  <c r="K30" i="1"/>
  <c r="K31" i="1"/>
  <c r="K32" i="1"/>
  <c r="K19" i="1"/>
  <c r="K20" i="1"/>
  <c r="K21" i="1"/>
  <c r="K22" i="1"/>
  <c r="K23" i="1"/>
  <c r="K24" i="1"/>
  <c r="K14" i="1"/>
  <c r="K15" i="1"/>
  <c r="K16" i="1"/>
  <c r="K17" i="1"/>
  <c r="K18" i="1"/>
  <c r="K13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B47" i="1"/>
  <c r="B48" i="1"/>
  <c r="B49" i="1"/>
  <c r="B50" i="1"/>
  <c r="B46" i="1"/>
  <c r="B39" i="1"/>
  <c r="C9" i="1"/>
  <c r="C10" i="1"/>
  <c r="J27" i="1" l="1"/>
  <c r="J19" i="1"/>
  <c r="L20" i="1"/>
  <c r="L31" i="1"/>
  <c r="L23" i="1"/>
  <c r="J26" i="1"/>
  <c r="J18" i="1"/>
  <c r="L30" i="1"/>
  <c r="L22" i="1"/>
  <c r="N15" i="1"/>
  <c r="J25" i="1"/>
  <c r="J17" i="1"/>
  <c r="L29" i="1"/>
  <c r="L21" i="1"/>
  <c r="J32" i="1"/>
  <c r="J24" i="1"/>
  <c r="J16" i="1"/>
  <c r="L28" i="1"/>
  <c r="J15" i="1"/>
  <c r="G24" i="1"/>
  <c r="H24" i="1" s="1"/>
  <c r="J14" i="1"/>
  <c r="L15" i="1"/>
  <c r="O15" i="1" s="1"/>
  <c r="J13" i="1"/>
  <c r="L13" i="1"/>
  <c r="G22" i="1"/>
  <c r="H22" i="1" s="1"/>
  <c r="G27" i="1"/>
  <c r="H27" i="1" s="1"/>
  <c r="G23" i="1"/>
  <c r="H23" i="1" s="1"/>
  <c r="G19" i="1"/>
  <c r="H19" i="1" s="1"/>
  <c r="G31" i="1"/>
  <c r="H31" i="1" s="1"/>
  <c r="G25" i="1"/>
  <c r="H25" i="1" s="1"/>
  <c r="G18" i="1"/>
  <c r="H18" i="1" s="1"/>
  <c r="G30" i="1"/>
  <c r="H30" i="1" s="1"/>
  <c r="G32" i="1"/>
  <c r="H32" i="1" s="1"/>
  <c r="G17" i="1"/>
  <c r="H17" i="1" s="1"/>
  <c r="G21" i="1"/>
  <c r="H21" i="1" s="1"/>
  <c r="H29" i="1"/>
  <c r="G16" i="1"/>
  <c r="H16" i="1" s="1"/>
  <c r="G28" i="1"/>
  <c r="H28" i="1" s="1"/>
  <c r="G20" i="1"/>
  <c r="H20" i="1" s="1"/>
  <c r="G14" i="1"/>
  <c r="H14" i="1" s="1"/>
  <c r="H26" i="1"/>
  <c r="I33" i="1"/>
  <c r="H13" i="1"/>
  <c r="N25" i="1" l="1"/>
  <c r="M25" i="1"/>
  <c r="O25" i="1" s="1"/>
  <c r="M29" i="1"/>
  <c r="O29" i="1" s="1"/>
  <c r="N29" i="1"/>
  <c r="M24" i="1"/>
  <c r="O24" i="1" s="1"/>
  <c r="N24" i="1"/>
  <c r="M16" i="1"/>
  <c r="O16" i="1" s="1"/>
  <c r="N16" i="1"/>
  <c r="M23" i="1"/>
  <c r="N23" i="1"/>
  <c r="O23" i="1"/>
  <c r="O28" i="1"/>
  <c r="M31" i="1"/>
  <c r="O31" i="1" s="1"/>
  <c r="N31" i="1"/>
  <c r="N19" i="1"/>
  <c r="M19" i="1"/>
  <c r="O19" i="1" s="1"/>
  <c r="N17" i="1"/>
  <c r="M17" i="1"/>
  <c r="O17" i="1" s="1"/>
  <c r="M32" i="1"/>
  <c r="O32" i="1" s="1"/>
  <c r="N32" i="1"/>
  <c r="M22" i="1"/>
  <c r="N22" i="1"/>
  <c r="O22" i="1" s="1"/>
  <c r="M28" i="1"/>
  <c r="N28" i="1"/>
  <c r="N13" i="1"/>
  <c r="M13" i="1"/>
  <c r="O13" i="1" s="1"/>
  <c r="M21" i="1"/>
  <c r="O21" i="1" s="1"/>
  <c r="N21" i="1"/>
  <c r="N26" i="1"/>
  <c r="M26" i="1"/>
  <c r="O26" i="1" s="1"/>
  <c r="O30" i="1"/>
  <c r="N27" i="1"/>
  <c r="M27" i="1"/>
  <c r="M14" i="1"/>
  <c r="N14" i="1"/>
  <c r="M30" i="1"/>
  <c r="N30" i="1"/>
  <c r="M20" i="1"/>
  <c r="O20" i="1" s="1"/>
  <c r="N20" i="1"/>
  <c r="N18" i="1"/>
  <c r="M18" i="1"/>
  <c r="J33" i="1"/>
  <c r="G33" i="1"/>
  <c r="H33" i="1"/>
  <c r="B41" i="1"/>
  <c r="B42" i="1"/>
  <c r="O18" i="1" l="1"/>
  <c r="O27" i="1"/>
  <c r="O14" i="1"/>
</calcChain>
</file>

<file path=xl/sharedStrings.xml><?xml version="1.0" encoding="utf-8"?>
<sst xmlns="http://schemas.openxmlformats.org/spreadsheetml/2006/main" count="144" uniqueCount="137">
  <si>
    <t>DSCTO DE HORA NO TRABAJADA</t>
  </si>
  <si>
    <t>DSCTO SOLIDARIDAD</t>
  </si>
  <si>
    <t>ESTADO DEL DOCENTE</t>
  </si>
  <si>
    <t>TABLA DE DATOS</t>
  </si>
  <si>
    <t>BONIFICACION POR  HORA EXTRA</t>
  </si>
  <si>
    <t>DSCTO ESSALUD</t>
  </si>
  <si>
    <t>CAP</t>
  </si>
  <si>
    <t>Licenciado en Educación</t>
  </si>
  <si>
    <t>CAS</t>
  </si>
  <si>
    <t>Magister en Educación</t>
  </si>
  <si>
    <t>HORAS FIJAS SEMANALES</t>
  </si>
  <si>
    <t>AUTONOMO</t>
  </si>
  <si>
    <t>Ing. De Sistemas</t>
  </si>
  <si>
    <t>Administrador</t>
  </si>
  <si>
    <t>HORA ACTUAL</t>
  </si>
  <si>
    <t>Instructor en Redes</t>
  </si>
  <si>
    <t>FECHA ACTUAL</t>
  </si>
  <si>
    <t>HRS.</t>
  </si>
  <si>
    <t>Nº DE</t>
  </si>
  <si>
    <t>HRS</t>
  </si>
  <si>
    <t>PGO x HORA</t>
  </si>
  <si>
    <t>HRS. NO</t>
  </si>
  <si>
    <t>DSCTO DE</t>
  </si>
  <si>
    <t>DSCTO</t>
  </si>
  <si>
    <t>COD</t>
  </si>
  <si>
    <t>DOCENTES</t>
  </si>
  <si>
    <t>SEMANALES</t>
  </si>
  <si>
    <t>Profesión</t>
  </si>
  <si>
    <t>PAGO x HORA</t>
  </si>
  <si>
    <t>SEMANAS</t>
  </si>
  <si>
    <t>EXTRAS</t>
  </si>
  <si>
    <t>EXTRA</t>
  </si>
  <si>
    <t>TRABAJADAS</t>
  </si>
  <si>
    <t>HORA</t>
  </si>
  <si>
    <t>SOLIDARIDAD</t>
  </si>
  <si>
    <t>TOTAL DSCTOS</t>
  </si>
  <si>
    <t>NETO MENSUAL</t>
  </si>
  <si>
    <t>OSERVACION</t>
  </si>
  <si>
    <t>A01</t>
  </si>
  <si>
    <t>AGUILAR CANO, Shirley</t>
  </si>
  <si>
    <t>Licenciado en Educación</t>
  </si>
  <si>
    <t>A02</t>
  </si>
  <si>
    <t>BARDON DOMINGUEZ,  Grover Alexander</t>
  </si>
  <si>
    <t>Licenciado en Educación</t>
  </si>
  <si>
    <t>A03</t>
  </si>
  <si>
    <t>CANALES CARDENAS, Ana Maria</t>
  </si>
  <si>
    <t>Ing. De Sistemas</t>
  </si>
  <si>
    <t>A04</t>
  </si>
  <si>
    <t>CARRASCO BERNALES, Celia Lucia</t>
  </si>
  <si>
    <t>Licenciado en Educación</t>
  </si>
  <si>
    <t>A05</t>
  </si>
  <si>
    <t>CASTILLARES JAYO, Carmen Lucia</t>
  </si>
  <si>
    <t>Administrador</t>
  </si>
  <si>
    <t>A06</t>
  </si>
  <si>
    <t>CASTILLO GONZALES, Carmen Yessenya</t>
  </si>
  <si>
    <t>Administrador</t>
  </si>
  <si>
    <t>A07</t>
  </si>
  <si>
    <t>DE LA CRUZ ALARCON, Gustavo Dany</t>
  </si>
  <si>
    <t>Instructor en Redes</t>
  </si>
  <si>
    <t>A08</t>
  </si>
  <si>
    <t>GAMARRA BACA, Sofia Belén</t>
  </si>
  <si>
    <t>Licenciado en Educación</t>
  </si>
  <si>
    <t>A09</t>
  </si>
  <si>
    <t>GUERRERO VALDEOS, Leyla Margot</t>
  </si>
  <si>
    <t>Magister en Educación</t>
  </si>
  <si>
    <t>A10</t>
  </si>
  <si>
    <t>GUTIERREZ MAMANI, Elizabeth Fabiola</t>
  </si>
  <si>
    <t>Ing. De Sistemas</t>
  </si>
  <si>
    <t>A11</t>
  </si>
  <si>
    <t>HERRERA CANDIA, Dora</t>
  </si>
  <si>
    <t>Licenciado en Educación</t>
  </si>
  <si>
    <t>A12</t>
  </si>
  <si>
    <t>MELGAR C UEVA, Carlos Jesus</t>
  </si>
  <si>
    <t>Administrador</t>
  </si>
  <si>
    <t>A13</t>
  </si>
  <si>
    <t>MORENO NAVARRO, Jose felix</t>
  </si>
  <si>
    <t>Administrador</t>
  </si>
  <si>
    <t>A14</t>
  </si>
  <si>
    <t>ORELLANA RSAMIREZ, Andrea Patricia</t>
  </si>
  <si>
    <t>Instructor en Redes</t>
  </si>
  <si>
    <t>A15</t>
  </si>
  <si>
    <t>PEÑA LUZA, Ingrith Gissele</t>
  </si>
  <si>
    <t>Licenciado en Educación</t>
  </si>
  <si>
    <t>A16</t>
  </si>
  <si>
    <t>ROMERO MAMAI, Victor Jean Peirre</t>
  </si>
  <si>
    <t>Magister en Educación</t>
  </si>
  <si>
    <t>A17</t>
  </si>
  <si>
    <t>SAENZ BELIZARIO, Jaime</t>
  </si>
  <si>
    <t>Ing. De Sistemas</t>
  </si>
  <si>
    <t>A18</t>
  </si>
  <si>
    <t>SALCEDO TASAYCO, Juan Carlos</t>
  </si>
  <si>
    <t>Licenciado en Educación</t>
  </si>
  <si>
    <t>A19</t>
  </si>
  <si>
    <t>TALAVERA CHAVEZ, Enrique</t>
  </si>
  <si>
    <t>Administrador</t>
  </si>
  <si>
    <t>A20</t>
  </si>
  <si>
    <t>ZARATE VARGAS, Patricia</t>
  </si>
  <si>
    <t>Administrador</t>
  </si>
  <si>
    <t>CUADRO DE REPORTE</t>
  </si>
  <si>
    <t>INSTRUCCIONES Y CRITERIOS DE EVALUACIÓN:</t>
  </si>
  <si>
    <t>ESTADISTICA GENRAL</t>
  </si>
  <si>
    <t>Considerar y tener en cuenta lo siguiente:</t>
  </si>
  <si>
    <t>N.º DE NUMERO DE TRABAJADORES</t>
  </si>
  <si>
    <t>Desarrollar la siguiente estructura conteniendo el mismo formato.</t>
  </si>
  <si>
    <t> Ingresar la Fecha y Hora del sistema</t>
  </si>
  <si>
    <t>PROMEDIO DE GASTOS MENSUAL</t>
  </si>
  <si>
    <t> Ingresar La Planilla de Docentes Teniendo Como Referencia: H. Semanales, P x H, Nº de Semanas.</t>
  </si>
  <si>
    <t>MAYOR SUELDO</t>
  </si>
  <si>
    <t> Calcular el Pago Semanal y el Pago Mensual</t>
  </si>
  <si>
    <t>MENOR SUELDO</t>
  </si>
  <si>
    <t>EGRESOS DE PLANILLA</t>
  </si>
  <si>
    <t> Calcular El Nº de Horas Extras, Teniendo Como Referencia Horas Fijas Semanales.</t>
  </si>
  <si>
    <t>Calcular y Contabilizar el Número de Trabajadores por</t>
  </si>
  <si>
    <t> Calcular El Pago De Hora, Teniendo Como Referencia La Bonificación De Hora Extra</t>
  </si>
  <si>
    <t>Especialidad</t>
  </si>
  <si>
    <t> Calcular Las Horas No Trabajadas, Teniendo Como Referencia Las Horas Fijas Semanales</t>
  </si>
  <si>
    <t> Calcular El Descuento De Hora, Teniendo Como Referencia El Dscto De Hora No Trabajada</t>
  </si>
  <si>
    <t> Considerar los Descuentos de EsSalud y Solidaridad para todos los trabajadores que figuran en planilla, siempre y cuando su básico sea mayor o igual que S/. 2,000.00</t>
  </si>
  <si>
    <t> Hallar el Total Descuento, utilizando operadores aritméticos y/o funciones anidadas.</t>
  </si>
  <si>
    <t> Hallar el Neto a pagar, utilizando operadores.</t>
  </si>
  <si>
    <t> En la Observación, apoyarse con el cuadro de TABLA DE DATOS</t>
  </si>
  <si>
    <t>Calcular Estadísticamente los Pagos y/o Egresos por</t>
  </si>
  <si>
    <t> Aplicar celdas absolutas, si lo amerita, tomando como referencia su criterio técnico de algunos campos</t>
  </si>
  <si>
    <t>Pagos  Licenciados</t>
  </si>
  <si>
    <t>Pagos Magisters</t>
  </si>
  <si>
    <t>CALCULAR EL RESUMEN ESTADISTICO EN RELACIÓN A LA BASE DE DATOS, DE LA PLANILLA BASICA:</t>
  </si>
  <si>
    <t>Pagos Ing. de Sistemas</t>
  </si>
  <si>
    <t>En el cuadro de Estadística General utilizar funciones estadísticas para hallar el reporte de cada campo y/o etiqueta que se solicite.</t>
  </si>
  <si>
    <t>Pagos Administradores</t>
  </si>
  <si>
    <t> Hallar, Calcular y Contabilizar la estadística del Número de Trabajadores (Docentes) por Especialidad, mostrada en el cuadro de resumen.</t>
  </si>
  <si>
    <t>Pagos Instructores de Redes</t>
  </si>
  <si>
    <t> Hallar y calcular estadísticamente los Egresos y Pagos que se realiza a los trabajadores por especialidad.</t>
  </si>
  <si>
    <t>DEVOLVER EL ARCHIVO CON SU APELLIDO SEGUIDO DE EVC01, EJEMPLO: TAPIA TEJADA_EC01_DSI</t>
  </si>
  <si>
    <t>POR EVA Y TEAMS</t>
  </si>
  <si>
    <t xml:space="preserve">PAGO SEMANAL </t>
  </si>
  <si>
    <t>PAGO MENSUAL</t>
  </si>
  <si>
    <t xml:space="preserve">                                                                               PLANILLA DOCENTE SENCICO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</si>
</sst>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S/&quot;* #,##0.00_-;\-&quot;S/&quot;* #,##0.00_-;_-&quot;S/&quot;* &quot;-&quot;??_-;_-@_-"/>
    <numFmt numFmtId="165" formatCode="_-[$S/-280A]\ * #,##0.00_-;\-[$S/-280A]\ * #,##0.00_-;_-[$S/-280A]\ * &quot;-&quot;??_-;_-@_-"/>
    <numFmt numFmtId="168" formatCode="[$-F800]dddd\,\ mmmm\ dd\,\ yyyy"/>
    <numFmt numFmtId="170" formatCode="[$-409]h:mm\ AM/PM;@"/>
    <numFmt numFmtId="173" formatCode="_ [$S/-C6B]\ * #,##0.00_ ;_ [$S/-C6B]\ * \-#,##0.00_ ;_ [$S/-C6B]\ * &quot;-&quot;??_ ;_ @_ "/>
  </numFmts>
  <fonts count="16" x14ac:knownFonts="1">
    <font>
      <sz val="10"/>
      <name val="Arial"/>
      <family val="2"/>
    </font>
    <font>
      <sz val="10"/>
      <name val="Arial"/>
      <family val="2"/>
    </font>
    <font>
      <sz val="16"/>
      <name val="Times New Roman"/>
      <family val="2"/>
    </font>
    <font>
      <sz val="8"/>
      <name val="Times New Roman"/>
      <family val="2"/>
    </font>
    <font>
      <sz val="8"/>
      <name val="Times New Roman"/>
      <family val="2"/>
    </font>
    <font>
      <sz val="8"/>
      <color rgb="FFFF0000"/>
      <name val="Times New Roman"/>
      <family val="2"/>
    </font>
    <font>
      <sz val="9"/>
      <name val="Times New Roman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Times New Roman"/>
      <family val="1"/>
    </font>
    <font>
      <sz val="10"/>
      <name val="Tahoma"/>
      <family val="2"/>
    </font>
    <font>
      <sz val="10"/>
      <name val="Calibri"/>
      <family val="2"/>
      <scheme val="minor"/>
    </font>
    <font>
      <sz val="8"/>
      <color theme="0"/>
      <name val="Times New Roman"/>
      <family val="2"/>
    </font>
    <font>
      <b/>
      <sz val="8"/>
      <color theme="0"/>
      <name val="Times New Roman"/>
      <family val="1"/>
    </font>
    <font>
      <b/>
      <sz val="11"/>
      <color theme="0"/>
      <name val="Tahoma"/>
      <family val="2"/>
    </font>
    <font>
      <b/>
      <sz val="16"/>
      <color theme="0"/>
      <name val="Tahoma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9" fontId="4" fillId="0" borderId="0" xfId="0" applyNumberFormat="1" applyFont="1"/>
    <xf numFmtId="0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0" fontId="5" fillId="0" borderId="0" xfId="0" applyNumberFormat="1" applyFont="1"/>
    <xf numFmtId="2" fontId="5" fillId="0" borderId="0" xfId="0" applyNumberFormat="1" applyFont="1"/>
    <xf numFmtId="4" fontId="5" fillId="0" borderId="0" xfId="0" applyNumberFormat="1" applyFont="1"/>
    <xf numFmtId="1" fontId="5" fillId="0" borderId="0" xfId="0" applyNumberFormat="1" applyFont="1"/>
    <xf numFmtId="4" fontId="3" fillId="0" borderId="0" xfId="0" applyNumberFormat="1" applyFont="1"/>
    <xf numFmtId="1" fontId="3" fillId="0" borderId="0" xfId="0" applyNumberFormat="1" applyFont="1"/>
    <xf numFmtId="0" fontId="6" fillId="0" borderId="0" xfId="0" applyNumberFormat="1" applyFont="1"/>
    <xf numFmtId="164" fontId="4" fillId="0" borderId="0" xfId="1" applyFont="1"/>
    <xf numFmtId="165" fontId="5" fillId="0" borderId="0" xfId="0" applyNumberFormat="1" applyFont="1"/>
    <xf numFmtId="165" fontId="3" fillId="0" borderId="0" xfId="0" applyNumberFormat="1" applyFont="1"/>
    <xf numFmtId="168" fontId="0" fillId="0" borderId="0" xfId="0" applyNumberFormat="1"/>
    <xf numFmtId="170" fontId="0" fillId="0" borderId="0" xfId="0" applyNumberFormat="1"/>
    <xf numFmtId="173" fontId="5" fillId="0" borderId="0" xfId="1" applyNumberFormat="1" applyFont="1"/>
    <xf numFmtId="165" fontId="0" fillId="0" borderId="0" xfId="0" applyNumberFormat="1"/>
    <xf numFmtId="173" fontId="0" fillId="0" borderId="0" xfId="0" applyNumberFormat="1"/>
    <xf numFmtId="0" fontId="4" fillId="2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11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8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14" fillId="4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vertical="center"/>
    </xf>
    <xf numFmtId="0" fontId="7" fillId="3" borderId="0" xfId="0" applyNumberFormat="1" applyFont="1" applyFill="1" applyAlignment="1">
      <alignment horizontal="center" vertical="center"/>
    </xf>
    <xf numFmtId="0" fontId="10" fillId="5" borderId="1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topLeftCell="E10" zoomScale="80" zoomScaleNormal="80" workbookViewId="0">
      <selection activeCell="P33" sqref="P33"/>
    </sheetView>
  </sheetViews>
  <sheetFormatPr baseColWidth="10" defaultColWidth="9.140625" defaultRowHeight="12.75" x14ac:dyDescent="0.2"/>
  <cols>
    <col min="1" max="1" width="35.5703125" customWidth="1"/>
    <col min="2" max="2" width="30.28515625" customWidth="1"/>
    <col min="3" max="3" width="22.85546875" customWidth="1"/>
    <col min="4" max="4" width="20" customWidth="1"/>
    <col min="5" max="6" width="14.85546875" customWidth="1"/>
    <col min="7" max="7" width="22.42578125" customWidth="1"/>
    <col min="8" max="9" width="14.85546875" customWidth="1"/>
    <col min="10" max="14" width="20.140625" customWidth="1"/>
    <col min="15" max="15" width="15.7109375" customWidth="1"/>
    <col min="16" max="16" width="17.140625" customWidth="1"/>
    <col min="17" max="17" width="19.28515625" customWidth="1"/>
    <col min="18" max="18" width="13"/>
    <col min="19" max="26" width="8"/>
  </cols>
  <sheetData>
    <row r="2" spans="1:27" ht="20.25" x14ac:dyDescent="0.3">
      <c r="A2" s="1" t="s">
        <v>136</v>
      </c>
    </row>
    <row r="3" spans="1:27" ht="20.25" x14ac:dyDescent="0.3">
      <c r="A3" s="1"/>
    </row>
    <row r="4" spans="1:27" x14ac:dyDescent="0.2">
      <c r="B4" s="2" t="s">
        <v>0</v>
      </c>
      <c r="C4" s="3">
        <v>1</v>
      </c>
      <c r="G4" s="2" t="s">
        <v>1</v>
      </c>
      <c r="H4" s="3">
        <v>0.05</v>
      </c>
      <c r="K4" s="2" t="s">
        <v>2</v>
      </c>
      <c r="N4" s="2"/>
      <c r="O4" s="2" t="s">
        <v>3</v>
      </c>
      <c r="T4" s="2"/>
    </row>
    <row r="5" spans="1:27" x14ac:dyDescent="0.2">
      <c r="B5" s="2" t="s">
        <v>4</v>
      </c>
      <c r="C5" s="3">
        <v>1</v>
      </c>
      <c r="G5" s="2" t="s">
        <v>5</v>
      </c>
      <c r="H5" s="3">
        <v>0.1</v>
      </c>
      <c r="J5" s="2" t="s">
        <v>6</v>
      </c>
      <c r="K5" s="4"/>
      <c r="L5" s="14">
        <v>4500</v>
      </c>
      <c r="M5" s="2"/>
      <c r="N5" s="2" t="s">
        <v>7</v>
      </c>
      <c r="O5" s="5">
        <v>50</v>
      </c>
      <c r="R5" s="2"/>
      <c r="V5" s="4"/>
      <c r="W5" s="5"/>
    </row>
    <row r="6" spans="1:27" x14ac:dyDescent="0.2">
      <c r="J6" s="2" t="s">
        <v>8</v>
      </c>
      <c r="K6" s="4"/>
      <c r="L6" s="14">
        <v>3500</v>
      </c>
      <c r="M6" s="2"/>
      <c r="N6" s="2" t="s">
        <v>9</v>
      </c>
      <c r="O6" s="5">
        <v>85</v>
      </c>
      <c r="R6" s="2"/>
      <c r="V6" s="4"/>
      <c r="W6" s="5"/>
    </row>
    <row r="7" spans="1:27" x14ac:dyDescent="0.2">
      <c r="B7" s="2" t="s">
        <v>10</v>
      </c>
      <c r="C7" s="6">
        <v>20</v>
      </c>
      <c r="J7" s="2" t="s">
        <v>11</v>
      </c>
      <c r="M7" s="2"/>
      <c r="N7" s="2" t="s">
        <v>12</v>
      </c>
      <c r="O7" s="5">
        <v>55</v>
      </c>
      <c r="R7" s="2"/>
      <c r="V7" s="4"/>
      <c r="W7" s="5"/>
    </row>
    <row r="8" spans="1:27" x14ac:dyDescent="0.2">
      <c r="N8" s="2" t="s">
        <v>13</v>
      </c>
      <c r="O8" s="5">
        <v>45</v>
      </c>
      <c r="R8" s="2"/>
      <c r="W8" s="5"/>
    </row>
    <row r="9" spans="1:27" x14ac:dyDescent="0.2">
      <c r="B9" s="2" t="s">
        <v>14</v>
      </c>
      <c r="C9" s="18">
        <f ca="1">NOW()</f>
        <v>45054.921325347219</v>
      </c>
      <c r="N9" s="2" t="s">
        <v>15</v>
      </c>
      <c r="O9" s="5">
        <v>40</v>
      </c>
      <c r="R9" s="2"/>
      <c r="V9" s="4"/>
      <c r="W9" s="5"/>
    </row>
    <row r="10" spans="1:27" x14ac:dyDescent="0.2">
      <c r="B10" s="2" t="s">
        <v>16</v>
      </c>
      <c r="C10" s="17">
        <f ca="1">TODAY()</f>
        <v>45054</v>
      </c>
    </row>
    <row r="11" spans="1:27" x14ac:dyDescent="0.2">
      <c r="A11" s="26" t="s">
        <v>24</v>
      </c>
      <c r="B11" s="25" t="s">
        <v>25</v>
      </c>
      <c r="C11" s="2" t="s">
        <v>17</v>
      </c>
      <c r="D11" s="25" t="s">
        <v>27</v>
      </c>
      <c r="E11" s="24" t="s">
        <v>28</v>
      </c>
      <c r="F11" s="27" t="s">
        <v>18</v>
      </c>
      <c r="G11" s="24" t="s">
        <v>134</v>
      </c>
      <c r="H11" s="24" t="s">
        <v>135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5</v>
      </c>
      <c r="N11" s="2" t="s">
        <v>23</v>
      </c>
      <c r="O11" s="2" t="s">
        <v>35</v>
      </c>
      <c r="P11" s="2" t="s">
        <v>36</v>
      </c>
      <c r="T11" s="2"/>
    </row>
    <row r="12" spans="1:27" x14ac:dyDescent="0.2">
      <c r="A12" s="26"/>
      <c r="B12" s="25"/>
      <c r="C12" s="2" t="s">
        <v>26</v>
      </c>
      <c r="D12" s="25"/>
      <c r="E12" s="24"/>
      <c r="F12" s="27" t="s">
        <v>29</v>
      </c>
      <c r="G12" s="24"/>
      <c r="H12" s="24"/>
      <c r="I12" s="2" t="s">
        <v>30</v>
      </c>
      <c r="J12" s="2" t="s">
        <v>31</v>
      </c>
      <c r="K12" s="2" t="s">
        <v>32</v>
      </c>
      <c r="L12" s="2" t="s">
        <v>33</v>
      </c>
      <c r="M12" s="2"/>
      <c r="N12" s="2" t="s">
        <v>34</v>
      </c>
      <c r="O12" s="2"/>
      <c r="P12" s="2"/>
      <c r="Q12" s="2" t="s">
        <v>37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4" t="s">
        <v>38</v>
      </c>
      <c r="B13" s="4" t="s">
        <v>39</v>
      </c>
      <c r="C13" s="6">
        <v>20</v>
      </c>
      <c r="D13" s="4" t="s">
        <v>40</v>
      </c>
      <c r="E13" s="15">
        <f>IF(D13=$N$5,$O$5,IF(D13=$N$6,$O$6,IF(D13=$N$7,$O$7,IF(D13=$N$8,$O$8,IF(D13=$N$9,$O$9,0)))))</f>
        <v>50</v>
      </c>
      <c r="F13" s="6">
        <v>4</v>
      </c>
      <c r="G13" s="15">
        <f t="shared" ref="G13:G32" si="0">IFERROR(E13*C13,0)</f>
        <v>1000</v>
      </c>
      <c r="H13" s="15">
        <f>G13*F13</f>
        <v>4000</v>
      </c>
      <c r="I13" s="10">
        <f>IF(C13&gt;$C$7,C13-C$7,0)</f>
        <v>0</v>
      </c>
      <c r="J13" s="15">
        <f t="shared" ref="J13:J20" si="1">(E13*I13)*C$5</f>
        <v>0</v>
      </c>
      <c r="K13" s="10">
        <f>IF(C13&lt;$C$7,$C$7-C13,0)</f>
        <v>0</v>
      </c>
      <c r="L13" s="19">
        <f>(E13*K13)*C$4</f>
        <v>0</v>
      </c>
      <c r="M13" s="19">
        <f>IF(H13&gt;=2000,H13*H$5,0)</f>
        <v>400</v>
      </c>
      <c r="N13" s="19">
        <f>IF(H13&gt;=2000,H13*H$4,0)</f>
        <v>200</v>
      </c>
      <c r="O13" s="19">
        <f>SUM(L13:N13)</f>
        <v>600</v>
      </c>
      <c r="P13" s="19">
        <f>(H13+J13)-O13</f>
        <v>3400</v>
      </c>
      <c r="Q13" s="7" t="str">
        <f>IF(H13&gt;=$L$5,$J$5,IF(H13&gt;=$L$6,$J$6,$J$7))</f>
        <v>CAS</v>
      </c>
      <c r="S13" s="8"/>
      <c r="T13" s="7"/>
      <c r="U13" s="8"/>
      <c r="V13" s="7"/>
      <c r="W13" s="8"/>
      <c r="X13" s="7"/>
      <c r="Y13" s="9"/>
      <c r="Z13" s="7"/>
    </row>
    <row r="14" spans="1:27" x14ac:dyDescent="0.2">
      <c r="A14" s="4" t="s">
        <v>41</v>
      </c>
      <c r="B14" s="4" t="s">
        <v>42</v>
      </c>
      <c r="C14" s="6">
        <v>15</v>
      </c>
      <c r="D14" s="4" t="s">
        <v>43</v>
      </c>
      <c r="E14" s="15">
        <f t="shared" ref="E14:E32" si="2">IF(D14=$N$5,$O$5,IF(D14=$N$6,$O$6,IF(D14=$N$7,$O$7,IF(D14=$N$8,$O$8,IF(D14=$N$9,$O$9,0)))))</f>
        <v>50</v>
      </c>
      <c r="F14" s="6">
        <v>4</v>
      </c>
      <c r="G14" s="15">
        <f t="shared" si="0"/>
        <v>750</v>
      </c>
      <c r="H14" s="15">
        <f>G14*F14</f>
        <v>3000</v>
      </c>
      <c r="I14" s="10">
        <f t="shared" ref="I14:I32" si="3">IF(C14&gt;$C$7,C14-C$7,0)</f>
        <v>0</v>
      </c>
      <c r="J14" s="15">
        <f t="shared" si="1"/>
        <v>0</v>
      </c>
      <c r="K14" s="10">
        <f t="shared" ref="K14:K32" si="4">IF(C14&lt;$C$7,$C$7-C14,0)</f>
        <v>5</v>
      </c>
      <c r="L14" s="19">
        <f t="shared" ref="L14:L32" si="5">(E14*K14)*C$4</f>
        <v>250</v>
      </c>
      <c r="M14" s="19">
        <f t="shared" ref="M14:M32" si="6">IF(H14&gt;=2000,H14*H$5,0)</f>
        <v>300</v>
      </c>
      <c r="N14" s="19">
        <f t="shared" ref="N14:N32" si="7">IF(H14&gt;=2000,H14*H$4,0)</f>
        <v>150</v>
      </c>
      <c r="O14" s="19">
        <f t="shared" ref="O14:O32" si="8">SUM(L14:N14)</f>
        <v>700</v>
      </c>
      <c r="P14" s="19">
        <f t="shared" ref="P14:P32" si="9">(H14+J14)-O14</f>
        <v>2300</v>
      </c>
      <c r="Q14" s="7" t="str">
        <f>IF(H14&gt;=$L$5,$J$5,IF(H14&gt;=$L$6,$J$6,$J$7))</f>
        <v>AUTONOMO</v>
      </c>
      <c r="S14" s="8"/>
      <c r="T14" s="7"/>
      <c r="U14" s="8"/>
      <c r="V14" s="7"/>
      <c r="W14" s="8"/>
      <c r="X14" s="7"/>
      <c r="Y14" s="9"/>
      <c r="Z14" s="7"/>
    </row>
    <row r="15" spans="1:27" x14ac:dyDescent="0.2">
      <c r="A15" s="4" t="s">
        <v>44</v>
      </c>
      <c r="B15" s="4" t="s">
        <v>45</v>
      </c>
      <c r="C15" s="6">
        <v>16</v>
      </c>
      <c r="D15" s="4" t="s">
        <v>46</v>
      </c>
      <c r="E15" s="15">
        <f t="shared" si="2"/>
        <v>55</v>
      </c>
      <c r="F15" s="6">
        <v>4</v>
      </c>
      <c r="G15" s="15">
        <f t="shared" si="0"/>
        <v>880</v>
      </c>
      <c r="H15" s="15">
        <f>G15*F15</f>
        <v>3520</v>
      </c>
      <c r="I15" s="10">
        <f t="shared" si="3"/>
        <v>0</v>
      </c>
      <c r="J15" s="15">
        <f t="shared" si="1"/>
        <v>0</v>
      </c>
      <c r="K15" s="10">
        <f t="shared" si="4"/>
        <v>4</v>
      </c>
      <c r="L15" s="19">
        <f t="shared" si="5"/>
        <v>220</v>
      </c>
      <c r="M15" s="19">
        <f t="shared" si="6"/>
        <v>352</v>
      </c>
      <c r="N15" s="19">
        <f t="shared" si="7"/>
        <v>176</v>
      </c>
      <c r="O15" s="19">
        <f t="shared" si="8"/>
        <v>748</v>
      </c>
      <c r="P15" s="19">
        <f t="shared" si="9"/>
        <v>2772</v>
      </c>
      <c r="Q15" s="7" t="str">
        <f>IF(H15&gt;=$L$5,$J$5,IF(H15&gt;=$L$6,$J$6,$J$7))</f>
        <v>CAS</v>
      </c>
      <c r="S15" s="8"/>
      <c r="T15" s="7"/>
      <c r="U15" s="8"/>
      <c r="V15" s="7"/>
      <c r="W15" s="8"/>
      <c r="X15" s="7"/>
      <c r="Y15" s="9"/>
      <c r="Z15" s="7"/>
    </row>
    <row r="16" spans="1:27" x14ac:dyDescent="0.2">
      <c r="A16" s="4" t="s">
        <v>47</v>
      </c>
      <c r="B16" s="4" t="s">
        <v>48</v>
      </c>
      <c r="C16" s="6">
        <v>20</v>
      </c>
      <c r="D16" s="4" t="s">
        <v>49</v>
      </c>
      <c r="E16" s="15">
        <f t="shared" si="2"/>
        <v>50</v>
      </c>
      <c r="F16" s="6">
        <v>4</v>
      </c>
      <c r="G16" s="15">
        <f t="shared" si="0"/>
        <v>1000</v>
      </c>
      <c r="H16" s="15">
        <f>G16*F16</f>
        <v>4000</v>
      </c>
      <c r="I16" s="10">
        <f t="shared" si="3"/>
        <v>0</v>
      </c>
      <c r="J16" s="15">
        <f t="shared" si="1"/>
        <v>0</v>
      </c>
      <c r="K16" s="10">
        <f t="shared" si="4"/>
        <v>0</v>
      </c>
      <c r="L16" s="19">
        <f t="shared" si="5"/>
        <v>0</v>
      </c>
      <c r="M16" s="19">
        <f t="shared" si="6"/>
        <v>400</v>
      </c>
      <c r="N16" s="19">
        <f t="shared" si="7"/>
        <v>200</v>
      </c>
      <c r="O16" s="19">
        <f t="shared" si="8"/>
        <v>600</v>
      </c>
      <c r="P16" s="19">
        <f t="shared" si="9"/>
        <v>3400</v>
      </c>
      <c r="Q16" s="7" t="str">
        <f>IF(H16&gt;=$L$5,$J$5,IF(H16&gt;=$L$6,$J$6,$J$7))</f>
        <v>CAS</v>
      </c>
      <c r="S16" s="8"/>
      <c r="T16" s="7"/>
      <c r="U16" s="8"/>
      <c r="V16" s="7"/>
      <c r="W16" s="8"/>
      <c r="Y16" s="9"/>
      <c r="Z16" s="7"/>
    </row>
    <row r="17" spans="1:26" x14ac:dyDescent="0.2">
      <c r="A17" s="2" t="s">
        <v>50</v>
      </c>
      <c r="B17" s="4" t="s">
        <v>51</v>
      </c>
      <c r="C17" s="6">
        <v>14</v>
      </c>
      <c r="D17" s="4" t="s">
        <v>52</v>
      </c>
      <c r="E17" s="15">
        <f t="shared" si="2"/>
        <v>45</v>
      </c>
      <c r="F17" s="6">
        <v>4</v>
      </c>
      <c r="G17" s="15">
        <f t="shared" si="0"/>
        <v>630</v>
      </c>
      <c r="H17" s="15">
        <f>G17*F17</f>
        <v>2520</v>
      </c>
      <c r="I17" s="10">
        <f t="shared" si="3"/>
        <v>0</v>
      </c>
      <c r="J17" s="15">
        <f t="shared" si="1"/>
        <v>0</v>
      </c>
      <c r="K17" s="10">
        <f t="shared" si="4"/>
        <v>6</v>
      </c>
      <c r="L17" s="19">
        <f t="shared" si="5"/>
        <v>270</v>
      </c>
      <c r="M17" s="19">
        <f t="shared" si="6"/>
        <v>252</v>
      </c>
      <c r="N17" s="19">
        <f t="shared" si="7"/>
        <v>126</v>
      </c>
      <c r="O17" s="19">
        <f t="shared" si="8"/>
        <v>648</v>
      </c>
      <c r="P17" s="19">
        <f t="shared" si="9"/>
        <v>1872</v>
      </c>
      <c r="Q17" s="7" t="str">
        <f>IF(H17&gt;=$L$5,$J$5,IF(H17&gt;=$L$6,$J$6,$J$7))</f>
        <v>AUTONOMO</v>
      </c>
      <c r="S17" s="8"/>
      <c r="T17" s="7"/>
      <c r="U17" s="8"/>
      <c r="V17" s="7"/>
      <c r="W17" s="8"/>
      <c r="Y17" s="9"/>
      <c r="Z17" s="7"/>
    </row>
    <row r="18" spans="1:26" x14ac:dyDescent="0.2">
      <c r="A18" s="4" t="s">
        <v>53</v>
      </c>
      <c r="B18" s="4" t="s">
        <v>54</v>
      </c>
      <c r="C18" s="6">
        <v>8</v>
      </c>
      <c r="D18" s="4" t="s">
        <v>55</v>
      </c>
      <c r="E18" s="15">
        <f t="shared" si="2"/>
        <v>45</v>
      </c>
      <c r="F18" s="6">
        <v>4</v>
      </c>
      <c r="G18" s="15">
        <f t="shared" si="0"/>
        <v>360</v>
      </c>
      <c r="H18" s="15">
        <f>G18*F18</f>
        <v>1440</v>
      </c>
      <c r="I18" s="10">
        <f t="shared" si="3"/>
        <v>0</v>
      </c>
      <c r="J18" s="15">
        <f t="shared" si="1"/>
        <v>0</v>
      </c>
      <c r="K18" s="10">
        <f t="shared" si="4"/>
        <v>12</v>
      </c>
      <c r="L18" s="19">
        <f t="shared" si="5"/>
        <v>540</v>
      </c>
      <c r="M18" s="19">
        <f t="shared" si="6"/>
        <v>0</v>
      </c>
      <c r="N18" s="19">
        <f t="shared" si="7"/>
        <v>0</v>
      </c>
      <c r="O18" s="19">
        <f t="shared" si="8"/>
        <v>540</v>
      </c>
      <c r="P18" s="19">
        <f t="shared" si="9"/>
        <v>900</v>
      </c>
      <c r="Q18" s="7" t="str">
        <f>IF(H18&gt;=$L$5,$J$5,IF(H18&gt;=$L$6,$J$6,$J$7))</f>
        <v>AUTONOMO</v>
      </c>
      <c r="S18" s="7"/>
      <c r="T18" s="7"/>
      <c r="U18" s="7"/>
      <c r="V18" s="7"/>
      <c r="W18" s="8"/>
      <c r="X18" s="7"/>
      <c r="Y18" s="8"/>
      <c r="Z18" s="7"/>
    </row>
    <row r="19" spans="1:26" x14ac:dyDescent="0.2">
      <c r="A19" s="4" t="s">
        <v>56</v>
      </c>
      <c r="B19" s="4" t="s">
        <v>57</v>
      </c>
      <c r="C19" s="6">
        <v>22</v>
      </c>
      <c r="D19" s="4" t="s">
        <v>58</v>
      </c>
      <c r="E19" s="15">
        <f t="shared" si="2"/>
        <v>40</v>
      </c>
      <c r="F19" s="6">
        <v>4</v>
      </c>
      <c r="G19" s="15">
        <f>IFERROR(E19*C19,0)</f>
        <v>880</v>
      </c>
      <c r="H19" s="15">
        <f>G19*F19</f>
        <v>3520</v>
      </c>
      <c r="I19" s="10">
        <f>IF(C19&gt;$C$7,C19-C$7,0)</f>
        <v>2</v>
      </c>
      <c r="J19" s="15">
        <f t="shared" si="1"/>
        <v>80</v>
      </c>
      <c r="K19" s="10">
        <f>IF(C19&lt;$C$7,$C$7-C19,0)</f>
        <v>0</v>
      </c>
      <c r="L19" s="19">
        <f t="shared" si="5"/>
        <v>0</v>
      </c>
      <c r="M19" s="19">
        <f t="shared" si="6"/>
        <v>352</v>
      </c>
      <c r="N19" s="19">
        <f t="shared" si="7"/>
        <v>176</v>
      </c>
      <c r="O19" s="19">
        <f t="shared" si="8"/>
        <v>528</v>
      </c>
      <c r="P19" s="19">
        <f t="shared" si="9"/>
        <v>3072</v>
      </c>
      <c r="Q19" s="7" t="str">
        <f>IF(H19&gt;=$L$5,$J$5,IF(H19&gt;=$L$6,$J$6,$J$7))</f>
        <v>CAS</v>
      </c>
      <c r="S19" s="8"/>
      <c r="T19" s="7"/>
      <c r="U19" s="8"/>
      <c r="V19" s="7"/>
      <c r="W19" s="8"/>
      <c r="X19" s="7"/>
      <c r="Y19" s="9"/>
      <c r="Z19" s="7"/>
    </row>
    <row r="20" spans="1:26" x14ac:dyDescent="0.2">
      <c r="A20" s="4" t="s">
        <v>59</v>
      </c>
      <c r="B20" s="4" t="s">
        <v>60</v>
      </c>
      <c r="C20" s="6">
        <v>24</v>
      </c>
      <c r="D20" s="4" t="s">
        <v>61</v>
      </c>
      <c r="E20" s="15">
        <f t="shared" si="2"/>
        <v>50</v>
      </c>
      <c r="F20" s="6">
        <v>4</v>
      </c>
      <c r="G20" s="15">
        <f t="shared" si="0"/>
        <v>1200</v>
      </c>
      <c r="H20" s="15">
        <f>G20*F20</f>
        <v>4800</v>
      </c>
      <c r="I20" s="10">
        <f t="shared" si="3"/>
        <v>4</v>
      </c>
      <c r="J20" s="15">
        <f t="shared" si="1"/>
        <v>200</v>
      </c>
      <c r="K20" s="10">
        <f t="shared" si="4"/>
        <v>0</v>
      </c>
      <c r="L20" s="19">
        <f t="shared" si="5"/>
        <v>0</v>
      </c>
      <c r="M20" s="19">
        <f t="shared" si="6"/>
        <v>480</v>
      </c>
      <c r="N20" s="19">
        <f t="shared" si="7"/>
        <v>240</v>
      </c>
      <c r="O20" s="19">
        <f t="shared" si="8"/>
        <v>720</v>
      </c>
      <c r="P20" s="19">
        <f t="shared" si="9"/>
        <v>4280</v>
      </c>
      <c r="Q20" s="7" t="str">
        <f>IF(H20&gt;=$L$5,$J$5,IF(H20&gt;=$L$6,$J$6,$J$7))</f>
        <v>CAP</v>
      </c>
      <c r="S20" s="8"/>
      <c r="T20" s="7"/>
      <c r="U20" s="8"/>
      <c r="V20" s="7"/>
      <c r="W20" s="8"/>
      <c r="X20" s="7"/>
      <c r="Y20" s="9"/>
      <c r="Z20" s="7"/>
    </row>
    <row r="21" spans="1:26" x14ac:dyDescent="0.2">
      <c r="A21" s="4" t="s">
        <v>62</v>
      </c>
      <c r="B21" s="4" t="s">
        <v>63</v>
      </c>
      <c r="C21" s="6">
        <v>28</v>
      </c>
      <c r="D21" s="4" t="s">
        <v>64</v>
      </c>
      <c r="E21" s="15">
        <f t="shared" si="2"/>
        <v>85</v>
      </c>
      <c r="F21" s="6">
        <v>4</v>
      </c>
      <c r="G21" s="15">
        <f t="shared" si="0"/>
        <v>2380</v>
      </c>
      <c r="H21" s="15">
        <f>G21*F21</f>
        <v>9520</v>
      </c>
      <c r="I21" s="10">
        <f t="shared" si="3"/>
        <v>8</v>
      </c>
      <c r="J21" s="15">
        <f t="shared" ref="J21:J32" si="10">(E21*I21)*C$5</f>
        <v>680</v>
      </c>
      <c r="K21" s="10">
        <f t="shared" si="4"/>
        <v>0</v>
      </c>
      <c r="L21" s="19">
        <f t="shared" si="5"/>
        <v>0</v>
      </c>
      <c r="M21" s="19">
        <f t="shared" si="6"/>
        <v>952</v>
      </c>
      <c r="N21" s="19">
        <f t="shared" si="7"/>
        <v>476</v>
      </c>
      <c r="O21" s="19">
        <f t="shared" si="8"/>
        <v>1428</v>
      </c>
      <c r="P21" s="19">
        <f t="shared" si="9"/>
        <v>8772</v>
      </c>
      <c r="Q21" s="7" t="str">
        <f>IF(H21&gt;=$L$5,$J$5,IF(H21&gt;=$L$6,$J$6,$J$7))</f>
        <v>CAP</v>
      </c>
      <c r="S21" s="8"/>
      <c r="T21" s="7"/>
      <c r="U21" s="8"/>
      <c r="V21" s="7"/>
      <c r="W21" s="9"/>
      <c r="X21" s="7"/>
      <c r="Y21" s="9"/>
      <c r="Z21" s="7"/>
    </row>
    <row r="22" spans="1:26" x14ac:dyDescent="0.2">
      <c r="A22" s="4" t="s">
        <v>65</v>
      </c>
      <c r="B22" s="4" t="s">
        <v>66</v>
      </c>
      <c r="C22" s="6">
        <v>18</v>
      </c>
      <c r="D22" s="4" t="s">
        <v>67</v>
      </c>
      <c r="E22" s="15">
        <f t="shared" si="2"/>
        <v>55</v>
      </c>
      <c r="F22" s="6">
        <v>4</v>
      </c>
      <c r="G22" s="15">
        <f t="shared" si="0"/>
        <v>990</v>
      </c>
      <c r="H22" s="15">
        <f>G22*F22</f>
        <v>3960</v>
      </c>
      <c r="I22" s="10">
        <f t="shared" si="3"/>
        <v>0</v>
      </c>
      <c r="J22" s="15">
        <f t="shared" si="10"/>
        <v>0</v>
      </c>
      <c r="K22" s="10">
        <f t="shared" si="4"/>
        <v>2</v>
      </c>
      <c r="L22" s="19">
        <f t="shared" si="5"/>
        <v>110</v>
      </c>
      <c r="M22" s="19">
        <f t="shared" si="6"/>
        <v>396</v>
      </c>
      <c r="N22" s="19">
        <f t="shared" si="7"/>
        <v>198</v>
      </c>
      <c r="O22" s="19">
        <f t="shared" si="8"/>
        <v>704</v>
      </c>
      <c r="P22" s="19">
        <f t="shared" si="9"/>
        <v>3256</v>
      </c>
      <c r="Q22" s="7" t="str">
        <f>IF(H22&gt;=$L$5,$J$5,IF(H22&gt;=$L$6,$J$6,$J$7))</f>
        <v>CAS</v>
      </c>
      <c r="S22" s="8"/>
      <c r="T22" s="7"/>
      <c r="U22" s="8"/>
      <c r="V22" s="7"/>
      <c r="W22" s="8"/>
      <c r="X22" s="7"/>
      <c r="Y22" s="9"/>
      <c r="Z22" s="7"/>
    </row>
    <row r="23" spans="1:26" x14ac:dyDescent="0.2">
      <c r="A23" s="4" t="s">
        <v>68</v>
      </c>
      <c r="B23" s="4" t="s">
        <v>69</v>
      </c>
      <c r="C23" s="6">
        <v>16</v>
      </c>
      <c r="D23" s="4" t="s">
        <v>70</v>
      </c>
      <c r="E23" s="15">
        <f t="shared" si="2"/>
        <v>50</v>
      </c>
      <c r="F23" s="6">
        <v>4</v>
      </c>
      <c r="G23" s="15">
        <f t="shared" si="0"/>
        <v>800</v>
      </c>
      <c r="H23" s="15">
        <f>G23*F23</f>
        <v>3200</v>
      </c>
      <c r="I23" s="10">
        <f t="shared" si="3"/>
        <v>0</v>
      </c>
      <c r="J23" s="15">
        <f t="shared" si="10"/>
        <v>0</v>
      </c>
      <c r="K23" s="10">
        <f t="shared" si="4"/>
        <v>4</v>
      </c>
      <c r="L23" s="19">
        <f t="shared" si="5"/>
        <v>200</v>
      </c>
      <c r="M23" s="19">
        <f t="shared" si="6"/>
        <v>320</v>
      </c>
      <c r="N23" s="19">
        <f t="shared" si="7"/>
        <v>160</v>
      </c>
      <c r="O23" s="19">
        <f t="shared" si="8"/>
        <v>680</v>
      </c>
      <c r="P23" s="19">
        <f t="shared" si="9"/>
        <v>2520</v>
      </c>
      <c r="Q23" s="7" t="str">
        <f>IF(H23&gt;=$L$5,$J$5,IF(H23&gt;=$L$6,$J$6,$J$7))</f>
        <v>AUTONOMO</v>
      </c>
      <c r="S23" s="8"/>
      <c r="T23" s="7"/>
      <c r="U23" s="8"/>
      <c r="V23" s="7"/>
      <c r="W23" s="8"/>
      <c r="X23" s="7"/>
      <c r="Y23" s="9"/>
      <c r="Z23" s="7"/>
    </row>
    <row r="24" spans="1:26" x14ac:dyDescent="0.2">
      <c r="A24" s="4" t="s">
        <v>71</v>
      </c>
      <c r="B24" s="4" t="s">
        <v>72</v>
      </c>
      <c r="C24" s="6">
        <v>20</v>
      </c>
      <c r="D24" s="4" t="s">
        <v>73</v>
      </c>
      <c r="E24" s="15">
        <f t="shared" si="2"/>
        <v>45</v>
      </c>
      <c r="F24" s="6">
        <v>4</v>
      </c>
      <c r="G24" s="15">
        <f t="shared" si="0"/>
        <v>900</v>
      </c>
      <c r="H24" s="15">
        <f>G24*F24</f>
        <v>3600</v>
      </c>
      <c r="I24" s="10">
        <f t="shared" si="3"/>
        <v>0</v>
      </c>
      <c r="J24" s="15">
        <f t="shared" si="10"/>
        <v>0</v>
      </c>
      <c r="K24" s="10">
        <f t="shared" si="4"/>
        <v>0</v>
      </c>
      <c r="L24" s="19">
        <f t="shared" si="5"/>
        <v>0</v>
      </c>
      <c r="M24" s="19">
        <f t="shared" si="6"/>
        <v>360</v>
      </c>
      <c r="N24" s="19">
        <f t="shared" si="7"/>
        <v>180</v>
      </c>
      <c r="O24" s="19">
        <f t="shared" si="8"/>
        <v>540</v>
      </c>
      <c r="P24" s="19">
        <f t="shared" si="9"/>
        <v>3060</v>
      </c>
      <c r="Q24" s="7" t="str">
        <f>IF(H24&gt;=$L$5,$J$5,IF(H24&gt;=$L$6,$J$6,$J$7))</f>
        <v>CAS</v>
      </c>
      <c r="S24" s="8"/>
      <c r="T24" s="7"/>
      <c r="U24" s="8"/>
      <c r="V24" s="7"/>
      <c r="W24" s="8"/>
      <c r="X24" s="7"/>
      <c r="Y24" s="9"/>
      <c r="Z24" s="7"/>
    </row>
    <row r="25" spans="1:26" x14ac:dyDescent="0.2">
      <c r="A25" s="4" t="s">
        <v>74</v>
      </c>
      <c r="B25" s="4" t="s">
        <v>75</v>
      </c>
      <c r="C25" s="6">
        <v>5</v>
      </c>
      <c r="D25" s="4" t="s">
        <v>76</v>
      </c>
      <c r="E25" s="15">
        <f t="shared" si="2"/>
        <v>45</v>
      </c>
      <c r="F25" s="6">
        <v>4</v>
      </c>
      <c r="G25" s="15">
        <f t="shared" si="0"/>
        <v>225</v>
      </c>
      <c r="H25" s="15">
        <f>G25*F25</f>
        <v>900</v>
      </c>
      <c r="I25" s="10">
        <f t="shared" si="3"/>
        <v>0</v>
      </c>
      <c r="J25" s="15">
        <f t="shared" si="10"/>
        <v>0</v>
      </c>
      <c r="K25" s="10">
        <f>IF(C25&lt;$C$7,$C$7-C25,0)</f>
        <v>15</v>
      </c>
      <c r="L25" s="19">
        <f t="shared" si="5"/>
        <v>675</v>
      </c>
      <c r="M25" s="19">
        <f t="shared" si="6"/>
        <v>0</v>
      </c>
      <c r="N25" s="19">
        <f t="shared" si="7"/>
        <v>0</v>
      </c>
      <c r="O25" s="19">
        <f t="shared" si="8"/>
        <v>675</v>
      </c>
      <c r="P25" s="19">
        <f t="shared" si="9"/>
        <v>225</v>
      </c>
      <c r="Q25" s="7" t="str">
        <f>IF(H25&gt;=$L$5,$J$5,IF(H25&gt;=$L$6,$J$6,$J$7))</f>
        <v>AUTONOMO</v>
      </c>
      <c r="S25" s="7"/>
      <c r="T25" s="7"/>
      <c r="U25" s="7"/>
      <c r="V25" s="7"/>
      <c r="W25" s="8"/>
      <c r="X25" s="7"/>
      <c r="Y25" s="8"/>
      <c r="Z25" s="7"/>
    </row>
    <row r="26" spans="1:26" x14ac:dyDescent="0.2">
      <c r="A26" s="4" t="s">
        <v>77</v>
      </c>
      <c r="B26" s="4" t="s">
        <v>78</v>
      </c>
      <c r="C26" s="6">
        <v>12</v>
      </c>
      <c r="D26" s="4" t="s">
        <v>79</v>
      </c>
      <c r="E26" s="15">
        <f t="shared" si="2"/>
        <v>40</v>
      </c>
      <c r="F26" s="6">
        <v>4</v>
      </c>
      <c r="G26" s="15">
        <f t="shared" si="0"/>
        <v>480</v>
      </c>
      <c r="H26" s="15">
        <f>G26*F26</f>
        <v>1920</v>
      </c>
      <c r="I26" s="10">
        <f t="shared" si="3"/>
        <v>0</v>
      </c>
      <c r="J26" s="15">
        <f t="shared" si="10"/>
        <v>0</v>
      </c>
      <c r="K26" s="10">
        <f t="shared" si="4"/>
        <v>8</v>
      </c>
      <c r="L26" s="19">
        <f t="shared" si="5"/>
        <v>320</v>
      </c>
      <c r="M26" s="19">
        <f t="shared" si="6"/>
        <v>0</v>
      </c>
      <c r="N26" s="19">
        <f t="shared" si="7"/>
        <v>0</v>
      </c>
      <c r="O26" s="19">
        <f t="shared" si="8"/>
        <v>320</v>
      </c>
      <c r="P26" s="19">
        <f t="shared" si="9"/>
        <v>1600</v>
      </c>
      <c r="Q26" s="7" t="str">
        <f>IF(H26&gt;=$L$5,$J$5,IF(H26&gt;=$L$6,$J$6,$J$7))</f>
        <v>AUTONOMO</v>
      </c>
      <c r="S26" s="7"/>
      <c r="T26" s="7"/>
      <c r="U26" s="7"/>
      <c r="V26" s="7"/>
      <c r="W26" s="8"/>
      <c r="X26" s="7"/>
      <c r="Y26" s="9"/>
      <c r="Z26" s="7"/>
    </row>
    <row r="27" spans="1:26" x14ac:dyDescent="0.2">
      <c r="A27" s="4" t="s">
        <v>80</v>
      </c>
      <c r="B27" s="4" t="s">
        <v>81</v>
      </c>
      <c r="C27" s="6">
        <v>16</v>
      </c>
      <c r="D27" s="4" t="s">
        <v>82</v>
      </c>
      <c r="E27" s="15">
        <f t="shared" si="2"/>
        <v>50</v>
      </c>
      <c r="F27" s="6">
        <v>4</v>
      </c>
      <c r="G27" s="15">
        <f t="shared" si="0"/>
        <v>800</v>
      </c>
      <c r="H27" s="15">
        <f>G27*F27</f>
        <v>3200</v>
      </c>
      <c r="I27" s="10">
        <f t="shared" si="3"/>
        <v>0</v>
      </c>
      <c r="J27" s="15">
        <f t="shared" si="10"/>
        <v>0</v>
      </c>
      <c r="K27" s="10">
        <f t="shared" si="4"/>
        <v>4</v>
      </c>
      <c r="L27" s="19">
        <f t="shared" si="5"/>
        <v>200</v>
      </c>
      <c r="M27" s="19">
        <f t="shared" si="6"/>
        <v>320</v>
      </c>
      <c r="N27" s="19">
        <f t="shared" si="7"/>
        <v>160</v>
      </c>
      <c r="O27" s="19">
        <f t="shared" si="8"/>
        <v>680</v>
      </c>
      <c r="P27" s="19">
        <f t="shared" si="9"/>
        <v>2520</v>
      </c>
      <c r="Q27" s="7" t="str">
        <f>IF(H27&gt;=$L$5,$J$5,IF(H27&gt;=$L$6,$J$6,$J$7))</f>
        <v>AUTONOMO</v>
      </c>
      <c r="S27" s="8"/>
      <c r="T27" s="7"/>
      <c r="U27" s="8"/>
      <c r="V27" s="7"/>
      <c r="W27" s="8"/>
      <c r="X27" s="7"/>
      <c r="Y27" s="9"/>
      <c r="Z27" s="7"/>
    </row>
    <row r="28" spans="1:26" x14ac:dyDescent="0.2">
      <c r="A28" s="4" t="s">
        <v>83</v>
      </c>
      <c r="B28" s="4" t="s">
        <v>84</v>
      </c>
      <c r="C28" s="6">
        <v>20</v>
      </c>
      <c r="D28" s="4" t="s">
        <v>85</v>
      </c>
      <c r="E28" s="15">
        <f t="shared" si="2"/>
        <v>85</v>
      </c>
      <c r="F28" s="6">
        <v>4</v>
      </c>
      <c r="G28" s="15">
        <f t="shared" si="0"/>
        <v>1700</v>
      </c>
      <c r="H28" s="15">
        <f>G28*F28</f>
        <v>6800</v>
      </c>
      <c r="I28" s="10">
        <f t="shared" si="3"/>
        <v>0</v>
      </c>
      <c r="J28" s="15">
        <f t="shared" si="10"/>
        <v>0</v>
      </c>
      <c r="K28" s="10">
        <f t="shared" si="4"/>
        <v>0</v>
      </c>
      <c r="L28" s="19">
        <f t="shared" si="5"/>
        <v>0</v>
      </c>
      <c r="M28" s="19">
        <f t="shared" si="6"/>
        <v>680</v>
      </c>
      <c r="N28" s="19">
        <f t="shared" si="7"/>
        <v>340</v>
      </c>
      <c r="O28" s="19">
        <f t="shared" si="8"/>
        <v>1020</v>
      </c>
      <c r="P28" s="19">
        <f t="shared" si="9"/>
        <v>5780</v>
      </c>
      <c r="Q28" s="7" t="str">
        <f>IF(H28&gt;=$L$5,$J$5,IF(H28&gt;=$L$6,$J$6,$J$7))</f>
        <v>CAP</v>
      </c>
      <c r="S28" s="8"/>
      <c r="T28" s="7"/>
      <c r="U28" s="8"/>
      <c r="V28" s="7"/>
      <c r="W28" s="9"/>
      <c r="X28" s="7"/>
      <c r="Y28" s="9"/>
      <c r="Z28" s="7"/>
    </row>
    <row r="29" spans="1:26" x14ac:dyDescent="0.2">
      <c r="A29" s="4" t="s">
        <v>86</v>
      </c>
      <c r="B29" s="4" t="s">
        <v>87</v>
      </c>
      <c r="C29" s="6">
        <v>12</v>
      </c>
      <c r="D29" s="4" t="s">
        <v>88</v>
      </c>
      <c r="E29" s="15">
        <f t="shared" si="2"/>
        <v>55</v>
      </c>
      <c r="F29" s="6">
        <v>4</v>
      </c>
      <c r="G29" s="15">
        <f t="shared" si="0"/>
        <v>660</v>
      </c>
      <c r="H29" s="15">
        <f>G29*F29</f>
        <v>2640</v>
      </c>
      <c r="I29" s="10">
        <f t="shared" si="3"/>
        <v>0</v>
      </c>
      <c r="J29" s="15">
        <f t="shared" si="10"/>
        <v>0</v>
      </c>
      <c r="K29" s="10">
        <f t="shared" si="4"/>
        <v>8</v>
      </c>
      <c r="L29" s="19">
        <f t="shared" si="5"/>
        <v>440</v>
      </c>
      <c r="M29" s="19">
        <f t="shared" si="6"/>
        <v>264</v>
      </c>
      <c r="N29" s="19">
        <f t="shared" si="7"/>
        <v>132</v>
      </c>
      <c r="O29" s="19">
        <f t="shared" si="8"/>
        <v>836</v>
      </c>
      <c r="P29" s="19">
        <f t="shared" si="9"/>
        <v>1804</v>
      </c>
      <c r="Q29" s="7" t="str">
        <f>IF(H29&gt;=$L$5,$J$5,IF(H29&gt;=$L$6,$J$6,$J$7))</f>
        <v>AUTONOMO</v>
      </c>
      <c r="S29" s="8"/>
      <c r="T29" s="7"/>
      <c r="U29" s="8"/>
      <c r="V29" s="7"/>
      <c r="W29" s="8"/>
      <c r="X29" s="7"/>
      <c r="Y29" s="9"/>
      <c r="Z29" s="7"/>
    </row>
    <row r="30" spans="1:26" x14ac:dyDescent="0.2">
      <c r="A30" s="4" t="s">
        <v>89</v>
      </c>
      <c r="B30" s="4" t="s">
        <v>90</v>
      </c>
      <c r="C30" s="6">
        <v>12</v>
      </c>
      <c r="D30" s="4" t="s">
        <v>91</v>
      </c>
      <c r="E30" s="15">
        <f t="shared" si="2"/>
        <v>50</v>
      </c>
      <c r="F30" s="6">
        <v>4</v>
      </c>
      <c r="G30" s="15">
        <f t="shared" si="0"/>
        <v>600</v>
      </c>
      <c r="H30" s="15">
        <f>G30*F30</f>
        <v>2400</v>
      </c>
      <c r="I30" s="10">
        <f t="shared" si="3"/>
        <v>0</v>
      </c>
      <c r="J30" s="15">
        <f t="shared" si="10"/>
        <v>0</v>
      </c>
      <c r="K30" s="10">
        <f t="shared" si="4"/>
        <v>8</v>
      </c>
      <c r="L30" s="19">
        <f t="shared" si="5"/>
        <v>400</v>
      </c>
      <c r="M30" s="19">
        <f t="shared" si="6"/>
        <v>240</v>
      </c>
      <c r="N30" s="19">
        <f t="shared" si="7"/>
        <v>120</v>
      </c>
      <c r="O30" s="19">
        <f t="shared" si="8"/>
        <v>760</v>
      </c>
      <c r="P30" s="19">
        <f t="shared" si="9"/>
        <v>1640</v>
      </c>
      <c r="Q30" s="7" t="str">
        <f>IF(H30&gt;=$L$5,$J$5,IF(H30&gt;=$L$6,$J$6,$J$7))</f>
        <v>AUTONOMO</v>
      </c>
      <c r="S30" s="8"/>
      <c r="T30" s="7"/>
      <c r="U30" s="8"/>
      <c r="V30" s="7"/>
      <c r="W30" s="8"/>
      <c r="X30" s="7"/>
      <c r="Y30" s="9"/>
      <c r="Z30" s="7"/>
    </row>
    <row r="31" spans="1:26" x14ac:dyDescent="0.2">
      <c r="A31" s="4" t="s">
        <v>92</v>
      </c>
      <c r="B31" s="4" t="s">
        <v>93</v>
      </c>
      <c r="C31" s="6">
        <v>16</v>
      </c>
      <c r="D31" s="4" t="s">
        <v>94</v>
      </c>
      <c r="E31" s="15">
        <f t="shared" si="2"/>
        <v>45</v>
      </c>
      <c r="F31" s="6">
        <v>4</v>
      </c>
      <c r="G31" s="15">
        <f t="shared" si="0"/>
        <v>720</v>
      </c>
      <c r="H31" s="15">
        <f>G31*F31</f>
        <v>2880</v>
      </c>
      <c r="I31" s="10">
        <f t="shared" si="3"/>
        <v>0</v>
      </c>
      <c r="J31" s="15">
        <f t="shared" si="10"/>
        <v>0</v>
      </c>
      <c r="K31" s="10">
        <f>IF(C31&lt;$C$7,$C$7-C31,0)</f>
        <v>4</v>
      </c>
      <c r="L31" s="19">
        <f t="shared" si="5"/>
        <v>180</v>
      </c>
      <c r="M31" s="19">
        <f t="shared" si="6"/>
        <v>288</v>
      </c>
      <c r="N31" s="19">
        <f t="shared" si="7"/>
        <v>144</v>
      </c>
      <c r="O31" s="19">
        <f t="shared" si="8"/>
        <v>612</v>
      </c>
      <c r="P31" s="19">
        <f t="shared" si="9"/>
        <v>2268</v>
      </c>
      <c r="Q31" s="7" t="str">
        <f>IF(H31&gt;=$L$5,$J$5,IF(H31&gt;=$L$6,$J$6,$J$7))</f>
        <v>AUTONOMO</v>
      </c>
      <c r="S31" s="8"/>
      <c r="T31" s="7"/>
      <c r="U31" s="8"/>
      <c r="V31" s="7"/>
      <c r="W31" s="8"/>
      <c r="X31" s="7"/>
      <c r="Y31" s="9"/>
      <c r="Z31" s="7"/>
    </row>
    <row r="32" spans="1:26" x14ac:dyDescent="0.2">
      <c r="A32" s="4" t="s">
        <v>95</v>
      </c>
      <c r="B32" s="4" t="s">
        <v>96</v>
      </c>
      <c r="C32" s="6">
        <v>28</v>
      </c>
      <c r="D32" s="4" t="s">
        <v>97</v>
      </c>
      <c r="E32" s="15">
        <f t="shared" si="2"/>
        <v>45</v>
      </c>
      <c r="F32" s="6">
        <v>4</v>
      </c>
      <c r="G32" s="15">
        <f t="shared" si="0"/>
        <v>1260</v>
      </c>
      <c r="H32" s="15">
        <f>G32*F32</f>
        <v>5040</v>
      </c>
      <c r="I32" s="10">
        <f t="shared" si="3"/>
        <v>8</v>
      </c>
      <c r="J32" s="15">
        <f t="shared" si="10"/>
        <v>360</v>
      </c>
      <c r="K32" s="10">
        <f t="shared" si="4"/>
        <v>0</v>
      </c>
      <c r="L32" s="19">
        <f t="shared" si="5"/>
        <v>0</v>
      </c>
      <c r="M32" s="19">
        <f t="shared" si="6"/>
        <v>504</v>
      </c>
      <c r="N32" s="19">
        <f t="shared" si="7"/>
        <v>252</v>
      </c>
      <c r="O32" s="19">
        <f t="shared" si="8"/>
        <v>756</v>
      </c>
      <c r="P32" s="19">
        <f t="shared" si="9"/>
        <v>4644</v>
      </c>
      <c r="Q32" s="7" t="str">
        <f>IF(H32&gt;=$L$5,$J$5,IF(H32&gt;=$L$6,$J$6,$J$7))</f>
        <v>CAP</v>
      </c>
      <c r="S32" s="8"/>
      <c r="T32" s="7"/>
      <c r="U32" s="8"/>
      <c r="V32" s="7"/>
      <c r="W32" s="8"/>
      <c r="X32" s="7"/>
      <c r="Y32" s="9"/>
      <c r="Z32" s="7"/>
    </row>
    <row r="33" spans="1:25" x14ac:dyDescent="0.2">
      <c r="F33" s="20"/>
      <c r="G33" s="16">
        <f>SUM(G13:G32)</f>
        <v>18215</v>
      </c>
      <c r="H33" s="16">
        <f>SUM(H13:H32)</f>
        <v>72860</v>
      </c>
      <c r="I33" s="12">
        <f>SUM(I13:I32)</f>
        <v>22</v>
      </c>
      <c r="J33" s="16">
        <f>SUM(J13:J32)</f>
        <v>1320</v>
      </c>
      <c r="K33" s="12">
        <f>SUM(K13:K32)</f>
        <v>80</v>
      </c>
      <c r="L33" s="16">
        <f>SUM(L13:L32)</f>
        <v>3805</v>
      </c>
      <c r="M33" s="16">
        <f>SUM(M13:M32)</f>
        <v>6860</v>
      </c>
      <c r="N33" s="16">
        <f>SUM(N13:N32)</f>
        <v>3430</v>
      </c>
      <c r="O33" s="16">
        <f>SUM(O13:O32)</f>
        <v>14095</v>
      </c>
      <c r="P33" s="16">
        <f>SUM(P13:P32)</f>
        <v>60085</v>
      </c>
      <c r="R33" s="7"/>
      <c r="S33" s="11"/>
      <c r="T33" s="2"/>
      <c r="U33" s="11"/>
      <c r="V33" s="2"/>
      <c r="W33" s="11"/>
      <c r="X33" s="2"/>
      <c r="Y33" s="11"/>
    </row>
    <row r="34" spans="1:25" x14ac:dyDescent="0.2">
      <c r="A34" s="13"/>
      <c r="B34" s="13"/>
      <c r="F34" s="4"/>
      <c r="N34" s="21"/>
    </row>
    <row r="35" spans="1:25" x14ac:dyDescent="0.2">
      <c r="A35" s="2"/>
      <c r="B35" s="2"/>
      <c r="F35" s="4"/>
    </row>
    <row r="36" spans="1:25" ht="39.75" customHeight="1" x14ac:dyDescent="0.2">
      <c r="A36" s="28" t="s">
        <v>98</v>
      </c>
      <c r="B36" s="28"/>
      <c r="F36" s="4" t="s">
        <v>99</v>
      </c>
      <c r="G36" s="4" t="s">
        <v>103</v>
      </c>
    </row>
    <row r="37" spans="1:25" x14ac:dyDescent="0.2">
      <c r="A37" s="29" t="s">
        <v>100</v>
      </c>
      <c r="B37" s="29"/>
      <c r="F37" s="4" t="s">
        <v>101</v>
      </c>
    </row>
    <row r="38" spans="1:25" x14ac:dyDescent="0.2">
      <c r="A38" s="29"/>
      <c r="B38" s="29"/>
    </row>
    <row r="39" spans="1:25" x14ac:dyDescent="0.2">
      <c r="A39" s="33" t="s">
        <v>102</v>
      </c>
      <c r="B39" s="31">
        <f>COUNTA(B13:B32)</f>
        <v>20</v>
      </c>
      <c r="F39" s="22" t="s">
        <v>104</v>
      </c>
      <c r="G39" s="22"/>
      <c r="H39" s="22"/>
      <c r="I39" s="22"/>
      <c r="J39" s="22"/>
      <c r="K39" s="22"/>
      <c r="L39" s="22"/>
      <c r="M39" s="22"/>
      <c r="N39" s="22"/>
    </row>
    <row r="40" spans="1:25" x14ac:dyDescent="0.2">
      <c r="A40" s="33" t="s">
        <v>105</v>
      </c>
      <c r="B40" s="32">
        <f>AVERAGE(P13:P32)</f>
        <v>3004.25</v>
      </c>
      <c r="F40" s="22" t="s">
        <v>106</v>
      </c>
      <c r="G40" s="22"/>
      <c r="H40" s="22"/>
      <c r="I40" s="22"/>
      <c r="J40" s="22"/>
      <c r="K40" s="22"/>
      <c r="L40" s="22"/>
      <c r="M40" s="22"/>
      <c r="N40" s="22"/>
    </row>
    <row r="41" spans="1:25" x14ac:dyDescent="0.2">
      <c r="A41" s="33" t="s">
        <v>107</v>
      </c>
      <c r="B41" s="32">
        <f>MAX(H13:H32)</f>
        <v>9520</v>
      </c>
      <c r="F41" s="22" t="s">
        <v>108</v>
      </c>
      <c r="G41" s="22"/>
      <c r="H41" s="22"/>
      <c r="I41" s="22"/>
      <c r="J41" s="22"/>
      <c r="K41" s="22"/>
      <c r="L41" s="22"/>
      <c r="M41" s="22"/>
      <c r="N41" s="22"/>
    </row>
    <row r="42" spans="1:25" x14ac:dyDescent="0.2">
      <c r="A42" s="33" t="s">
        <v>109</v>
      </c>
      <c r="B42" s="32">
        <f>MIN(H13:H32)</f>
        <v>900</v>
      </c>
      <c r="F42" s="22" t="s">
        <v>111</v>
      </c>
      <c r="G42" s="22"/>
      <c r="H42" s="22"/>
      <c r="I42" s="22"/>
      <c r="J42" s="22"/>
      <c r="K42" s="22"/>
      <c r="L42" s="22"/>
      <c r="M42" s="22"/>
      <c r="N42" s="22"/>
    </row>
    <row r="43" spans="1:25" x14ac:dyDescent="0.2">
      <c r="A43" s="33" t="s">
        <v>110</v>
      </c>
      <c r="B43" s="32">
        <f>SUM(H13:H32)</f>
        <v>72860</v>
      </c>
      <c r="F43" s="22" t="s">
        <v>113</v>
      </c>
      <c r="G43" s="22"/>
      <c r="H43" s="22"/>
      <c r="I43" s="22"/>
      <c r="J43" s="22"/>
      <c r="K43" s="22"/>
      <c r="L43" s="22"/>
      <c r="M43" s="22"/>
      <c r="N43" s="22"/>
    </row>
    <row r="44" spans="1:25" ht="15" x14ac:dyDescent="0.2">
      <c r="A44" s="34" t="s">
        <v>112</v>
      </c>
      <c r="B44" s="34"/>
      <c r="F44" s="22" t="s">
        <v>115</v>
      </c>
      <c r="G44" s="22"/>
      <c r="H44" s="22"/>
      <c r="I44" s="22"/>
      <c r="J44" s="22"/>
      <c r="K44" s="22"/>
      <c r="L44" s="22"/>
      <c r="M44" s="22"/>
      <c r="N44" s="22"/>
    </row>
    <row r="45" spans="1:25" ht="15" x14ac:dyDescent="0.2">
      <c r="A45" s="34" t="s">
        <v>114</v>
      </c>
      <c r="B45" s="34"/>
      <c r="F45" s="22" t="s">
        <v>116</v>
      </c>
      <c r="G45" s="22"/>
      <c r="H45" s="22"/>
      <c r="I45" s="22"/>
      <c r="J45" s="22"/>
      <c r="K45" s="22"/>
      <c r="L45" s="22"/>
      <c r="M45" s="22"/>
      <c r="N45" s="22"/>
    </row>
    <row r="46" spans="1:25" x14ac:dyDescent="0.2">
      <c r="A46" s="35" t="s">
        <v>7</v>
      </c>
      <c r="B46" s="30">
        <f>COUNTIF($D$13:$D$32,A46)</f>
        <v>7</v>
      </c>
      <c r="F46" s="22" t="s">
        <v>117</v>
      </c>
      <c r="G46" s="22"/>
      <c r="H46" s="22"/>
      <c r="I46" s="22"/>
      <c r="J46" s="22"/>
      <c r="K46" s="22"/>
      <c r="L46" s="22"/>
      <c r="M46" s="22"/>
      <c r="N46" s="22"/>
    </row>
    <row r="47" spans="1:25" x14ac:dyDescent="0.2">
      <c r="A47" s="35" t="s">
        <v>9</v>
      </c>
      <c r="B47" s="30">
        <f t="shared" ref="B47:B50" si="11">COUNTIF($D$13:$D$32,A47)</f>
        <v>2</v>
      </c>
      <c r="F47" s="22" t="s">
        <v>118</v>
      </c>
      <c r="G47" s="22"/>
      <c r="H47" s="22"/>
      <c r="I47" s="22"/>
      <c r="J47" s="22"/>
      <c r="K47" s="22"/>
      <c r="L47" s="22"/>
      <c r="M47" s="22"/>
      <c r="N47" s="22"/>
    </row>
    <row r="48" spans="1:25" x14ac:dyDescent="0.2">
      <c r="A48" s="35" t="s">
        <v>12</v>
      </c>
      <c r="B48" s="30">
        <f t="shared" si="11"/>
        <v>3</v>
      </c>
      <c r="F48" s="22" t="s">
        <v>119</v>
      </c>
      <c r="G48" s="22"/>
      <c r="H48" s="22"/>
      <c r="I48" s="22"/>
      <c r="J48" s="22"/>
      <c r="K48" s="22"/>
      <c r="L48" s="22"/>
      <c r="M48" s="22"/>
      <c r="N48" s="22"/>
    </row>
    <row r="49" spans="1:14" x14ac:dyDescent="0.2">
      <c r="A49" s="35" t="s">
        <v>13</v>
      </c>
      <c r="B49" s="30">
        <f t="shared" si="11"/>
        <v>6</v>
      </c>
      <c r="F49" s="23" t="s">
        <v>120</v>
      </c>
      <c r="G49" s="23"/>
      <c r="H49" s="23"/>
      <c r="I49" s="23"/>
      <c r="J49" s="23"/>
      <c r="K49" s="23"/>
      <c r="L49" s="23"/>
      <c r="M49" s="23"/>
      <c r="N49" s="23"/>
    </row>
    <row r="50" spans="1:14" x14ac:dyDescent="0.2">
      <c r="A50" s="35" t="s">
        <v>15</v>
      </c>
      <c r="B50" s="30">
        <f t="shared" si="11"/>
        <v>2</v>
      </c>
      <c r="F50" s="23" t="s">
        <v>122</v>
      </c>
      <c r="G50" s="23"/>
      <c r="H50" s="23"/>
      <c r="I50" s="23"/>
      <c r="J50" s="23"/>
      <c r="K50" s="23"/>
      <c r="L50" s="23"/>
      <c r="M50" s="23"/>
      <c r="N50" s="23"/>
    </row>
    <row r="51" spans="1:14" ht="15" x14ac:dyDescent="0.2">
      <c r="A51" s="34" t="s">
        <v>121</v>
      </c>
      <c r="B51" s="34"/>
    </row>
    <row r="52" spans="1:14" ht="15" x14ac:dyDescent="0.2">
      <c r="A52" s="34" t="s">
        <v>114</v>
      </c>
      <c r="B52" s="34"/>
      <c r="F52" s="4" t="s">
        <v>125</v>
      </c>
    </row>
    <row r="53" spans="1:14" x14ac:dyDescent="0.2">
      <c r="A53" s="35" t="s">
        <v>123</v>
      </c>
      <c r="B53" s="32">
        <f ca="1">SUMIF($D$13:$P$32,"Licenciado en Educación",$P$13:$P$32)</f>
        <v>20060</v>
      </c>
      <c r="F53" s="23" t="s">
        <v>127</v>
      </c>
      <c r="G53" s="23"/>
      <c r="H53" s="23"/>
      <c r="I53" s="23"/>
      <c r="J53" s="23"/>
      <c r="K53" s="23"/>
      <c r="L53" s="23"/>
      <c r="M53" s="23"/>
      <c r="N53" s="23"/>
    </row>
    <row r="54" spans="1:14" x14ac:dyDescent="0.2">
      <c r="A54" s="35" t="s">
        <v>124</v>
      </c>
      <c r="B54" s="32">
        <f ca="1">SUMIF($D$13:$P$32,"Magister en Educación",$P$13:$P$32)</f>
        <v>14552</v>
      </c>
      <c r="F54" s="23" t="s">
        <v>129</v>
      </c>
      <c r="G54" s="23"/>
      <c r="H54" s="23"/>
      <c r="I54" s="23"/>
      <c r="J54" s="23"/>
      <c r="K54" s="23"/>
      <c r="L54" s="23"/>
      <c r="M54" s="23"/>
      <c r="N54" s="23"/>
    </row>
    <row r="55" spans="1:14" x14ac:dyDescent="0.2">
      <c r="A55" s="35" t="s">
        <v>126</v>
      </c>
      <c r="B55" s="32">
        <f ca="1">SUMIF($D$13:$P$32,"Ing. De Sistemas",$P$13:$P$32)</f>
        <v>7832</v>
      </c>
      <c r="F55" s="23" t="s">
        <v>131</v>
      </c>
      <c r="G55" s="23"/>
      <c r="H55" s="23"/>
      <c r="I55" s="23"/>
      <c r="J55" s="23"/>
      <c r="K55" s="23"/>
      <c r="L55" s="23"/>
      <c r="M55" s="23"/>
      <c r="N55" s="23"/>
    </row>
    <row r="56" spans="1:14" x14ac:dyDescent="0.2">
      <c r="A56" s="35" t="s">
        <v>128</v>
      </c>
      <c r="B56" s="32">
        <f ca="1">SUMIF($D$13:$P$32,"Administrador",$P$13:$P$32)</f>
        <v>12969</v>
      </c>
      <c r="F56" s="4"/>
    </row>
    <row r="57" spans="1:14" x14ac:dyDescent="0.2">
      <c r="A57" s="35" t="s">
        <v>130</v>
      </c>
      <c r="B57" s="32">
        <f ca="1">SUMIF($D$13:$P$32,"Instructor en Redes",$P$13:$P$32)</f>
        <v>4672</v>
      </c>
      <c r="F57" s="2" t="s">
        <v>132</v>
      </c>
    </row>
    <row r="58" spans="1:14" x14ac:dyDescent="0.2">
      <c r="F58" s="4" t="s">
        <v>133</v>
      </c>
    </row>
    <row r="59" spans="1:14" x14ac:dyDescent="0.2">
      <c r="A59" s="4"/>
    </row>
    <row r="60" spans="1:14" x14ac:dyDescent="0.2">
      <c r="F60" s="4"/>
    </row>
    <row r="61" spans="1:14" x14ac:dyDescent="0.2">
      <c r="F61" s="4"/>
    </row>
  </sheetData>
  <mergeCells count="27">
    <mergeCell ref="A11:A12"/>
    <mergeCell ref="B11:B12"/>
    <mergeCell ref="D11:D12"/>
    <mergeCell ref="E11:E12"/>
    <mergeCell ref="G11:G12"/>
    <mergeCell ref="H11:H12"/>
    <mergeCell ref="F53:N53"/>
    <mergeCell ref="F54:N54"/>
    <mergeCell ref="F55:N55"/>
    <mergeCell ref="A36:B36"/>
    <mergeCell ref="A44:B44"/>
    <mergeCell ref="A45:B45"/>
    <mergeCell ref="A51:B51"/>
    <mergeCell ref="A52:B52"/>
    <mergeCell ref="A37:B38"/>
    <mergeCell ref="F45:N45"/>
    <mergeCell ref="F46:N46"/>
    <mergeCell ref="F47:N47"/>
    <mergeCell ref="F48:N48"/>
    <mergeCell ref="F49:N49"/>
    <mergeCell ref="F50:N50"/>
    <mergeCell ref="F39:N39"/>
    <mergeCell ref="F40:N40"/>
    <mergeCell ref="F41:N41"/>
    <mergeCell ref="F42:N42"/>
    <mergeCell ref="F43:N43"/>
    <mergeCell ref="F44:N44"/>
  </mergeCells>
  <pageMargins left="0.7" right="0.7" top="0.75" bottom="0.75" header="0.3" footer="0.3"/>
  <pageSetup paperSize="9" orientation="portrait" r:id="rId1"/>
  <ignoredErrors>
    <ignoredError sqref="B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user</cp:lastModifiedBy>
  <dcterms:created xsi:type="dcterms:W3CDTF">2023-05-07T20:17:32Z</dcterms:created>
  <dcterms:modified xsi:type="dcterms:W3CDTF">2023-05-09T03:07:57Z</dcterms:modified>
</cp:coreProperties>
</file>