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as/polybox/Cosmic/manuscript/"/>
    </mc:Choice>
  </mc:AlternateContent>
  <bookViews>
    <workbookView xWindow="12000" yWindow="3400" windowWidth="39200" windowHeight="24860" tabRatio="899" firstSheet="26" activeTab="10"/>
  </bookViews>
  <sheets>
    <sheet name="Albania ALB01 775 shifted" sheetId="52" r:id="rId1"/>
    <sheet name="Austria EBA AUT01 775" sheetId="2" r:id="rId2"/>
    <sheet name="Austria AUT02 775" sheetId="39" r:id="rId3"/>
    <sheet name="Canada CAN06 775" sheetId="35" r:id="rId4"/>
    <sheet name="China CHN01 775" sheetId="33" r:id="rId5"/>
    <sheet name="Germany GER01 Steinbach 775" sheetId="4" r:id="rId6"/>
    <sheet name="Germany GER07 775" sheetId="43" r:id="rId7"/>
    <sheet name="Greece GRE02 775" sheetId="31" r:id="rId8"/>
    <sheet name="Italia ITA01 775 shifted" sheetId="30" r:id="rId9"/>
    <sheet name="Italy ITA09 775" sheetId="41" r:id="rId10"/>
    <sheet name="Japan Miyake &amp; JAP01 775" sheetId="7" r:id="rId11"/>
    <sheet name="Mongolia MON03 775" sheetId="21" r:id="rId12"/>
    <sheet name="Mongolia MON09 775" sheetId="45" r:id="rId13"/>
    <sheet name="Pakistan PAK04 775" sheetId="58" r:id="rId14"/>
    <sheet name="Russia ALT01 775" sheetId="26" r:id="rId15"/>
    <sheet name="Russia RUS04 775" sheetId="36" r:id="rId16"/>
    <sheet name="Russia RUS15 775" sheetId="60" r:id="rId17"/>
    <sheet name="Russia RUS17 775" sheetId="53" r:id="rId18"/>
    <sheet name="Russia RUS20 775" sheetId="71" r:id="rId19"/>
    <sheet name="Sweden SWE02 Tor 775" sheetId="11" r:id="rId20"/>
    <sheet name="Sweden SWE01 Tor 775 not used" sheetId="62" r:id="rId21"/>
    <sheet name="Sweden SWE05 775" sheetId="42" r:id="rId22"/>
    <sheet name="Switzerland SUI01 Mustair 775" sheetId="6" r:id="rId23"/>
    <sheet name="Tibet TIB01 775" sheetId="59" r:id="rId24"/>
    <sheet name="USA02 775" sheetId="32" r:id="rId25"/>
    <sheet name="USA10 775 not used" sheetId="38" r:id="rId26"/>
    <sheet name="USA11 775" sheetId="63" r:id="rId27"/>
    <sheet name="USA16 775" sheetId="46" r:id="rId28"/>
    <sheet name="USA18 775" sheetId="70" r:id="rId29"/>
    <sheet name="Argentina PAT02 775" sheetId="29" r:id="rId30"/>
    <sheet name="Argentina PAT03 775" sheetId="16" r:id="rId31"/>
    <sheet name="New Zealand DAR01 775 " sheetId="17" r:id="rId32"/>
    <sheet name="New Zealand DAR02 775 (not used" sheetId="15" r:id="rId33"/>
    <sheet name="New Zealand DAR06 775" sheetId="65" r:id="rId34"/>
    <sheet name="New Zealand DAR07 775" sheetId="66" r:id="rId35"/>
    <sheet name="Tasmania TAS01 775" sheetId="37" r:id="rId36"/>
    <sheet name="China CHI01 993" sheetId="57" r:id="rId37"/>
    <sheet name="Mongolia MON05 993" sheetId="54" r:id="rId38"/>
    <sheet name="Russia ALT02 993" sheetId="55" r:id="rId39"/>
    <sheet name="Sweden SWE01 993" sheetId="10" r:id="rId40"/>
    <sheet name="Sweden SWE02 993" sheetId="12" r:id="rId41"/>
    <sheet name="Sweden SWE03 993" sheetId="13" r:id="rId42"/>
    <sheet name="Sweden SWE04 993" sheetId="14" r:id="rId43"/>
    <sheet name="USA07 993 not used" sheetId="56" r:id="rId44"/>
    <sheet name="Argentina PAT03 993" sheetId="19" r:id="rId45"/>
    <sheet name="New Zealand DAR01 993" sheetId="18" r:id="rId46"/>
  </sheets>
  <definedNames>
    <definedName name="av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" i="35" l="1"/>
  <c r="F22" i="11"/>
  <c r="D22" i="11"/>
  <c r="C29" i="16"/>
  <c r="D23" i="11"/>
  <c r="F23" i="11"/>
  <c r="C30" i="16"/>
  <c r="D24" i="11"/>
  <c r="F24" i="11"/>
  <c r="C31" i="16"/>
  <c r="D25" i="11"/>
  <c r="F25" i="11"/>
  <c r="C32" i="16"/>
  <c r="D26" i="11"/>
  <c r="F26" i="11"/>
  <c r="C33" i="16"/>
  <c r="D27" i="11"/>
  <c r="F27" i="11"/>
  <c r="C34" i="16"/>
  <c r="D28" i="11"/>
  <c r="F28" i="11"/>
  <c r="C35" i="16"/>
  <c r="D29" i="11"/>
  <c r="F29" i="11"/>
  <c r="C36" i="16"/>
  <c r="D30" i="11"/>
  <c r="F30" i="11"/>
  <c r="C37" i="16"/>
  <c r="D31" i="11"/>
  <c r="F31" i="11"/>
  <c r="C38" i="16"/>
  <c r="D32" i="11"/>
  <c r="F32" i="11"/>
  <c r="C28" i="16"/>
  <c r="D18" i="6"/>
  <c r="F18" i="6"/>
  <c r="D19" i="6"/>
  <c r="F19" i="6"/>
  <c r="D18" i="2"/>
  <c r="F18" i="2"/>
  <c r="D20" i="6"/>
  <c r="F20" i="6"/>
  <c r="D19" i="2"/>
  <c r="F19" i="2"/>
  <c r="D9" i="6"/>
  <c r="D21" i="6"/>
  <c r="F9" i="6"/>
  <c r="F21" i="6"/>
  <c r="D20" i="2"/>
  <c r="F20" i="2"/>
  <c r="D10" i="6"/>
  <c r="D22" i="6"/>
  <c r="F10" i="6"/>
  <c r="F22" i="6"/>
  <c r="D21" i="2"/>
  <c r="F21" i="2"/>
  <c r="D23" i="6"/>
  <c r="F23" i="6"/>
  <c r="D22" i="2"/>
  <c r="F22" i="2"/>
  <c r="Q6" i="71"/>
  <c r="Q7" i="71"/>
  <c r="Q8" i="71"/>
  <c r="Q9" i="71"/>
  <c r="Q10" i="71"/>
  <c r="Q11" i="71"/>
  <c r="Q12" i="71"/>
  <c r="Q13" i="71"/>
  <c r="Q14" i="71"/>
  <c r="Q15" i="71"/>
  <c r="Q5" i="71"/>
  <c r="K5" i="71"/>
  <c r="N5" i="71"/>
  <c r="K11" i="70"/>
  <c r="K6" i="71"/>
  <c r="P6" i="71"/>
  <c r="T6" i="71"/>
  <c r="K7" i="71"/>
  <c r="P7" i="71"/>
  <c r="K8" i="71"/>
  <c r="N8" i="71"/>
  <c r="K9" i="71"/>
  <c r="P9" i="71"/>
  <c r="K10" i="71"/>
  <c r="P10" i="71"/>
  <c r="T10" i="71"/>
  <c r="K11" i="71"/>
  <c r="K12" i="71"/>
  <c r="P12" i="71"/>
  <c r="T12" i="71"/>
  <c r="K13" i="71"/>
  <c r="K14" i="71"/>
  <c r="N14" i="71"/>
  <c r="J14" i="71"/>
  <c r="R14" i="71"/>
  <c r="K15" i="71"/>
  <c r="P15" i="71"/>
  <c r="P5" i="71"/>
  <c r="T5" i="71"/>
  <c r="J7" i="71"/>
  <c r="K5" i="70"/>
  <c r="N5" i="70"/>
  <c r="J5" i="70"/>
  <c r="R5" i="70"/>
  <c r="T15" i="71"/>
  <c r="J15" i="71"/>
  <c r="N15" i="71"/>
  <c r="R15" i="71"/>
  <c r="P13" i="71"/>
  <c r="T13" i="71"/>
  <c r="J13" i="71"/>
  <c r="N13" i="71"/>
  <c r="J12" i="71"/>
  <c r="P11" i="71"/>
  <c r="T11" i="71"/>
  <c r="J11" i="71"/>
  <c r="N11" i="71"/>
  <c r="J10" i="71"/>
  <c r="N10" i="71"/>
  <c r="R10" i="71"/>
  <c r="T9" i="71"/>
  <c r="J9" i="71"/>
  <c r="N9" i="71"/>
  <c r="R9" i="71"/>
  <c r="P8" i="71"/>
  <c r="T8" i="71"/>
  <c r="J8" i="71"/>
  <c r="R8" i="71"/>
  <c r="T7" i="71"/>
  <c r="N7" i="71"/>
  <c r="R7" i="71"/>
  <c r="J6" i="71"/>
  <c r="N6" i="71"/>
  <c r="J5" i="71"/>
  <c r="R5" i="71"/>
  <c r="M15" i="70"/>
  <c r="K15" i="70"/>
  <c r="P15" i="70"/>
  <c r="T15" i="70"/>
  <c r="J15" i="70"/>
  <c r="N15" i="70"/>
  <c r="R15" i="70"/>
  <c r="Q15" i="70"/>
  <c r="M14" i="70"/>
  <c r="K14" i="70"/>
  <c r="P14" i="70"/>
  <c r="T14" i="70"/>
  <c r="J14" i="70"/>
  <c r="N14" i="70"/>
  <c r="R14" i="70"/>
  <c r="Q14" i="70"/>
  <c r="M13" i="70"/>
  <c r="K13" i="70"/>
  <c r="P13" i="70"/>
  <c r="T13" i="70"/>
  <c r="J13" i="70"/>
  <c r="N13" i="70"/>
  <c r="R13" i="70"/>
  <c r="Q13" i="70"/>
  <c r="M12" i="70"/>
  <c r="K12" i="70"/>
  <c r="P12" i="70"/>
  <c r="T12" i="70"/>
  <c r="J12" i="70"/>
  <c r="N12" i="70"/>
  <c r="R12" i="70"/>
  <c r="Q12" i="70"/>
  <c r="M11" i="70"/>
  <c r="P11" i="70"/>
  <c r="T11" i="70"/>
  <c r="J11" i="70"/>
  <c r="N11" i="70"/>
  <c r="R11" i="70"/>
  <c r="Q11" i="70"/>
  <c r="M10" i="70"/>
  <c r="K10" i="70"/>
  <c r="N10" i="70"/>
  <c r="J10" i="70"/>
  <c r="R10" i="70"/>
  <c r="Q10" i="70"/>
  <c r="M9" i="70"/>
  <c r="K9" i="70"/>
  <c r="P9" i="70"/>
  <c r="T9" i="70"/>
  <c r="J9" i="70"/>
  <c r="N9" i="70"/>
  <c r="R9" i="70"/>
  <c r="Q9" i="70"/>
  <c r="M8" i="70"/>
  <c r="K8" i="70"/>
  <c r="N8" i="70"/>
  <c r="J8" i="70"/>
  <c r="R8" i="70"/>
  <c r="Q8" i="70"/>
  <c r="M7" i="70"/>
  <c r="K7" i="70"/>
  <c r="P7" i="70"/>
  <c r="T7" i="70"/>
  <c r="J7" i="70"/>
  <c r="N7" i="70"/>
  <c r="R7" i="70"/>
  <c r="Q7" i="70"/>
  <c r="M6" i="70"/>
  <c r="K6" i="70"/>
  <c r="N6" i="70"/>
  <c r="J6" i="70"/>
  <c r="R6" i="70"/>
  <c r="Q6" i="70"/>
  <c r="M5" i="70"/>
  <c r="P5" i="70"/>
  <c r="T5" i="70"/>
  <c r="Q5" i="70"/>
  <c r="D7" i="26"/>
  <c r="D23" i="26"/>
  <c r="C13" i="2"/>
  <c r="K13" i="2"/>
  <c r="K22" i="2"/>
  <c r="C11" i="6"/>
  <c r="G11" i="6"/>
  <c r="K11" i="6"/>
  <c r="K23" i="6"/>
  <c r="C21" i="2"/>
  <c r="G21" i="2"/>
  <c r="K21" i="2"/>
  <c r="C10" i="6"/>
  <c r="G10" i="6"/>
  <c r="K10" i="6"/>
  <c r="K22" i="6"/>
  <c r="C20" i="2"/>
  <c r="G20" i="2"/>
  <c r="K20" i="2"/>
  <c r="C9" i="6"/>
  <c r="G9" i="6"/>
  <c r="K9" i="6"/>
  <c r="K21" i="6"/>
  <c r="C19" i="2"/>
  <c r="G19" i="2"/>
  <c r="K19" i="2"/>
  <c r="C8" i="6"/>
  <c r="G8" i="6"/>
  <c r="K8" i="6"/>
  <c r="K20" i="6"/>
  <c r="C4" i="2"/>
  <c r="K4" i="2"/>
  <c r="K18" i="2"/>
  <c r="C19" i="6"/>
  <c r="G19" i="6"/>
  <c r="K19" i="6"/>
  <c r="C5" i="6"/>
  <c r="G5" i="6"/>
  <c r="K5" i="6"/>
  <c r="K18" i="6"/>
  <c r="C17" i="11"/>
  <c r="K17" i="11"/>
  <c r="K32" i="11"/>
  <c r="C16" i="11"/>
  <c r="K16" i="11"/>
  <c r="K31" i="11"/>
  <c r="C15" i="11"/>
  <c r="K15" i="11"/>
  <c r="K30" i="11"/>
  <c r="C14" i="11"/>
  <c r="K14" i="11"/>
  <c r="K29" i="11"/>
  <c r="C13" i="11"/>
  <c r="K13" i="11"/>
  <c r="K28" i="11"/>
  <c r="C12" i="11"/>
  <c r="K12" i="11"/>
  <c r="K27" i="11"/>
  <c r="C11" i="11"/>
  <c r="K11" i="11"/>
  <c r="K26" i="11"/>
  <c r="C10" i="11"/>
  <c r="K10" i="11"/>
  <c r="K25" i="11"/>
  <c r="C9" i="11"/>
  <c r="K9" i="11"/>
  <c r="K24" i="11"/>
  <c r="C8" i="11"/>
  <c r="K8" i="11"/>
  <c r="K23" i="11"/>
  <c r="C7" i="11"/>
  <c r="K7" i="11"/>
  <c r="K22" i="11"/>
  <c r="Q42" i="15"/>
  <c r="O5" i="66"/>
  <c r="M5" i="66"/>
  <c r="R5" i="66"/>
  <c r="V5" i="66"/>
  <c r="Q37" i="15"/>
  <c r="N45" i="7"/>
  <c r="F13" i="7"/>
  <c r="N13" i="7"/>
  <c r="F59" i="7"/>
  <c r="D13" i="7"/>
  <c r="D59" i="7"/>
  <c r="G59" i="7"/>
  <c r="N55" i="7"/>
  <c r="F21" i="7"/>
  <c r="N21" i="7"/>
  <c r="F69" i="7"/>
  <c r="D21" i="7"/>
  <c r="D69" i="7"/>
  <c r="I69" i="7"/>
  <c r="M69" i="7"/>
  <c r="N54" i="7"/>
  <c r="F20" i="7"/>
  <c r="N20" i="7"/>
  <c r="F68" i="7"/>
  <c r="N53" i="7"/>
  <c r="F19" i="7"/>
  <c r="N19" i="7"/>
  <c r="F67" i="7"/>
  <c r="N52" i="7"/>
  <c r="F18" i="7"/>
  <c r="N18" i="7"/>
  <c r="N51" i="7"/>
  <c r="F17" i="7"/>
  <c r="N17" i="7"/>
  <c r="F65" i="7"/>
  <c r="D17" i="7"/>
  <c r="D65" i="7"/>
  <c r="I65" i="7"/>
  <c r="M65" i="7"/>
  <c r="N50" i="7"/>
  <c r="F16" i="7"/>
  <c r="N16" i="7"/>
  <c r="G65" i="7"/>
  <c r="D18" i="7"/>
  <c r="D19" i="7"/>
  <c r="D67" i="7"/>
  <c r="D20" i="7"/>
  <c r="G69" i="7"/>
  <c r="D16" i="7"/>
  <c r="D15" i="7"/>
  <c r="F15" i="7"/>
  <c r="N15" i="7"/>
  <c r="N49" i="7"/>
  <c r="N47" i="7"/>
  <c r="F14" i="7"/>
  <c r="N14" i="7"/>
  <c r="D14" i="7"/>
  <c r="D61" i="7"/>
  <c r="G61" i="7"/>
  <c r="E61" i="7"/>
  <c r="H61" i="7"/>
  <c r="J61" i="7"/>
  <c r="B61" i="7"/>
  <c r="C61" i="7"/>
  <c r="L61" i="7"/>
  <c r="E62" i="7"/>
  <c r="G62" i="7"/>
  <c r="H62" i="7"/>
  <c r="I62" i="7"/>
  <c r="J62" i="7"/>
  <c r="C62" i="7"/>
  <c r="K62" i="7"/>
  <c r="L62" i="7"/>
  <c r="M62" i="7"/>
  <c r="E63" i="7"/>
  <c r="H63" i="7"/>
  <c r="J63" i="7"/>
  <c r="B63" i="7"/>
  <c r="C63" i="7"/>
  <c r="L63" i="7"/>
  <c r="E64" i="7"/>
  <c r="H64" i="7"/>
  <c r="J64" i="7"/>
  <c r="B64" i="7"/>
  <c r="C64" i="7"/>
  <c r="L64" i="7"/>
  <c r="E65" i="7"/>
  <c r="H65" i="7"/>
  <c r="J65" i="7"/>
  <c r="B65" i="7"/>
  <c r="C65" i="7"/>
  <c r="L65" i="7"/>
  <c r="E66" i="7"/>
  <c r="H66" i="7"/>
  <c r="J66" i="7"/>
  <c r="B66" i="7"/>
  <c r="C66" i="7"/>
  <c r="L66" i="7"/>
  <c r="E67" i="7"/>
  <c r="H67" i="7"/>
  <c r="J67" i="7"/>
  <c r="B67" i="7"/>
  <c r="C67" i="7"/>
  <c r="L67" i="7"/>
  <c r="E68" i="7"/>
  <c r="H68" i="7"/>
  <c r="J68" i="7"/>
  <c r="B68" i="7"/>
  <c r="C68" i="7"/>
  <c r="L68" i="7"/>
  <c r="E69" i="7"/>
  <c r="H69" i="7"/>
  <c r="J69" i="7"/>
  <c r="B69" i="7"/>
  <c r="C69" i="7"/>
  <c r="L69" i="7"/>
  <c r="E60" i="7"/>
  <c r="G60" i="7"/>
  <c r="H60" i="7"/>
  <c r="I60" i="7"/>
  <c r="J60" i="7"/>
  <c r="C60" i="7"/>
  <c r="K60" i="7"/>
  <c r="L60" i="7"/>
  <c r="M60" i="7"/>
  <c r="B59" i="7"/>
  <c r="C59" i="7"/>
  <c r="K59" i="7"/>
  <c r="L29" i="41"/>
  <c r="I45" i="7"/>
  <c r="M45" i="7"/>
  <c r="G45" i="7"/>
  <c r="K45" i="7"/>
  <c r="N46" i="7"/>
  <c r="N48" i="7"/>
  <c r="M5" i="33"/>
  <c r="U5" i="33"/>
  <c r="M27" i="33"/>
  <c r="U27" i="33"/>
  <c r="M45" i="33"/>
  <c r="K5" i="33"/>
  <c r="K27" i="33"/>
  <c r="M5" i="35"/>
  <c r="Y5" i="35"/>
  <c r="K5" i="35"/>
  <c r="M18" i="35"/>
  <c r="Y18" i="35"/>
  <c r="K18" i="35"/>
  <c r="I55" i="7"/>
  <c r="M55" i="7"/>
  <c r="G55" i="7"/>
  <c r="K55" i="7"/>
  <c r="I54" i="7"/>
  <c r="M54" i="7"/>
  <c r="G54" i="7"/>
  <c r="K54" i="7"/>
  <c r="I53" i="7"/>
  <c r="M53" i="7"/>
  <c r="G53" i="7"/>
  <c r="K53" i="7"/>
  <c r="I52" i="7"/>
  <c r="M52" i="7"/>
  <c r="G52" i="7"/>
  <c r="K52" i="7"/>
  <c r="I51" i="7"/>
  <c r="M51" i="7"/>
  <c r="G51" i="7"/>
  <c r="K51" i="7"/>
  <c r="I50" i="7"/>
  <c r="M50" i="7"/>
  <c r="G50" i="7"/>
  <c r="K50" i="7"/>
  <c r="I49" i="7"/>
  <c r="M49" i="7"/>
  <c r="G49" i="7"/>
  <c r="K49" i="7"/>
  <c r="I48" i="7"/>
  <c r="M48" i="7"/>
  <c r="G48" i="7"/>
  <c r="K48" i="7"/>
  <c r="I47" i="7"/>
  <c r="M47" i="7"/>
  <c r="G47" i="7"/>
  <c r="K47" i="7"/>
  <c r="I46" i="7"/>
  <c r="M46" i="7"/>
  <c r="G46" i="7"/>
  <c r="K46" i="7"/>
  <c r="C28" i="36"/>
  <c r="F28" i="36"/>
  <c r="B28" i="36"/>
  <c r="J28" i="36"/>
  <c r="C34" i="15"/>
  <c r="K34" i="15"/>
  <c r="M34" i="15"/>
  <c r="C33" i="15"/>
  <c r="K33" i="15"/>
  <c r="M33" i="15"/>
  <c r="C32" i="15"/>
  <c r="K32" i="15"/>
  <c r="M32" i="15"/>
  <c r="C31" i="15"/>
  <c r="K31" i="15"/>
  <c r="M31" i="15"/>
  <c r="C30" i="15"/>
  <c r="K30" i="15"/>
  <c r="M30" i="15"/>
  <c r="C29" i="15"/>
  <c r="K29" i="15"/>
  <c r="M29" i="15"/>
  <c r="C28" i="15"/>
  <c r="K28" i="15"/>
  <c r="M28" i="15"/>
  <c r="C27" i="15"/>
  <c r="K27" i="15"/>
  <c r="M27" i="15"/>
  <c r="C26" i="15"/>
  <c r="K26" i="15"/>
  <c r="M26" i="15"/>
  <c r="C25" i="15"/>
  <c r="K25" i="15"/>
  <c r="M25" i="15"/>
  <c r="C24" i="15"/>
  <c r="K24" i="15"/>
  <c r="M24" i="15"/>
  <c r="C23" i="15"/>
  <c r="K23" i="15"/>
  <c r="M23" i="15"/>
  <c r="C22" i="15"/>
  <c r="K22" i="15"/>
  <c r="M22" i="15"/>
  <c r="C21" i="15"/>
  <c r="K21" i="15"/>
  <c r="M21" i="15"/>
  <c r="C20" i="15"/>
  <c r="K20" i="15"/>
  <c r="M20" i="15"/>
  <c r="C19" i="15"/>
  <c r="K19" i="15"/>
  <c r="M19" i="15"/>
  <c r="C18" i="15"/>
  <c r="K18" i="15"/>
  <c r="M18" i="15"/>
  <c r="C17" i="15"/>
  <c r="K17" i="15"/>
  <c r="M17" i="15"/>
  <c r="C16" i="15"/>
  <c r="K16" i="15"/>
  <c r="M16" i="15"/>
  <c r="C15" i="15"/>
  <c r="K15" i="15"/>
  <c r="M15" i="15"/>
  <c r="C14" i="15"/>
  <c r="K14" i="15"/>
  <c r="M14" i="15"/>
  <c r="C13" i="15"/>
  <c r="K13" i="15"/>
  <c r="M13" i="15"/>
  <c r="C12" i="15"/>
  <c r="K12" i="15"/>
  <c r="M12" i="15"/>
  <c r="C11" i="15"/>
  <c r="K11" i="15"/>
  <c r="M11" i="15"/>
  <c r="C10" i="15"/>
  <c r="K10" i="15"/>
  <c r="M10" i="15"/>
  <c r="C9" i="15"/>
  <c r="K9" i="15"/>
  <c r="M9" i="15"/>
  <c r="C8" i="15"/>
  <c r="K8" i="15"/>
  <c r="M8" i="15"/>
  <c r="C7" i="15"/>
  <c r="K7" i="15"/>
  <c r="M7" i="15"/>
  <c r="C6" i="15"/>
  <c r="K6" i="15"/>
  <c r="M6" i="15"/>
  <c r="C5" i="15"/>
  <c r="K5" i="15"/>
  <c r="M5" i="15"/>
  <c r="S37" i="15"/>
  <c r="T37" i="15"/>
  <c r="P37" i="15"/>
  <c r="W37" i="15"/>
  <c r="V37" i="15"/>
  <c r="Y37" i="15"/>
  <c r="Q38" i="15"/>
  <c r="T38" i="15"/>
  <c r="S38" i="15"/>
  <c r="V38" i="15"/>
  <c r="Y38" i="15"/>
  <c r="P38" i="15"/>
  <c r="Q39" i="15"/>
  <c r="S39" i="15"/>
  <c r="V39" i="15"/>
  <c r="Y39" i="15"/>
  <c r="T39" i="15"/>
  <c r="P39" i="15"/>
  <c r="Q40" i="15"/>
  <c r="T40" i="15"/>
  <c r="S40" i="15"/>
  <c r="V40" i="15"/>
  <c r="Y40" i="15"/>
  <c r="P40" i="15"/>
  <c r="W40" i="15"/>
  <c r="Q41" i="15"/>
  <c r="T41" i="15"/>
  <c r="S41" i="15"/>
  <c r="V41" i="15"/>
  <c r="Y41" i="15"/>
  <c r="P41" i="15"/>
  <c r="W41" i="15"/>
  <c r="S42" i="15"/>
  <c r="V42" i="15"/>
  <c r="Y42" i="15"/>
  <c r="T42" i="15"/>
  <c r="P42" i="15"/>
  <c r="W42" i="15"/>
  <c r="Q43" i="15"/>
  <c r="S43" i="15"/>
  <c r="V43" i="15"/>
  <c r="Y43" i="15"/>
  <c r="T43" i="15"/>
  <c r="P43" i="15"/>
  <c r="Q44" i="15"/>
  <c r="S44" i="15"/>
  <c r="V44" i="15"/>
  <c r="Y44" i="15"/>
  <c r="T44" i="15"/>
  <c r="P44" i="15"/>
  <c r="W44" i="15"/>
  <c r="Q45" i="15"/>
  <c r="T45" i="15"/>
  <c r="S45" i="15"/>
  <c r="V45" i="15"/>
  <c r="Y45" i="15"/>
  <c r="P45" i="15"/>
  <c r="Q46" i="15"/>
  <c r="S46" i="15"/>
  <c r="V46" i="15"/>
  <c r="Y46" i="15"/>
  <c r="T46" i="15"/>
  <c r="P46" i="15"/>
  <c r="W46" i="15"/>
  <c r="Q47" i="15"/>
  <c r="T47" i="15"/>
  <c r="S47" i="15"/>
  <c r="V47" i="15"/>
  <c r="Y47" i="15"/>
  <c r="P47" i="15"/>
  <c r="W47" i="15"/>
  <c r="D5" i="15"/>
  <c r="F5" i="15"/>
  <c r="M48" i="15"/>
  <c r="M49" i="15"/>
  <c r="M47" i="15"/>
  <c r="C47" i="15"/>
  <c r="K47" i="15"/>
  <c r="C48" i="15"/>
  <c r="K48" i="15"/>
  <c r="C49" i="15"/>
  <c r="K49" i="15"/>
  <c r="M6" i="33"/>
  <c r="U6" i="33"/>
  <c r="M28" i="33"/>
  <c r="U28" i="33"/>
  <c r="M46" i="33"/>
  <c r="K6" i="33"/>
  <c r="K28" i="33"/>
  <c r="N28" i="33"/>
  <c r="M8" i="33"/>
  <c r="U8" i="33"/>
  <c r="M19" i="33"/>
  <c r="U19" i="33"/>
  <c r="M30" i="33"/>
  <c r="K8" i="33"/>
  <c r="K19" i="33"/>
  <c r="K30" i="33"/>
  <c r="M9" i="33"/>
  <c r="U9" i="33"/>
  <c r="M20" i="33"/>
  <c r="U20" i="33"/>
  <c r="M31" i="33"/>
  <c r="U31" i="33"/>
  <c r="K9" i="33"/>
  <c r="K20" i="33"/>
  <c r="K31" i="33"/>
  <c r="N31" i="33"/>
  <c r="M10" i="33"/>
  <c r="U10" i="33"/>
  <c r="M21" i="33"/>
  <c r="U21" i="33"/>
  <c r="K10" i="33"/>
  <c r="K21" i="33"/>
  <c r="K32" i="33"/>
  <c r="M32" i="33"/>
  <c r="U32" i="33"/>
  <c r="K50" i="33"/>
  <c r="N50" i="33"/>
  <c r="R50" i="33"/>
  <c r="M11" i="33"/>
  <c r="U11" i="33"/>
  <c r="M22" i="33"/>
  <c r="U22" i="33"/>
  <c r="M33" i="33"/>
  <c r="U33" i="33"/>
  <c r="K11" i="33"/>
  <c r="K22" i="33"/>
  <c r="K33" i="33"/>
  <c r="M12" i="33"/>
  <c r="U12" i="33"/>
  <c r="M23" i="33"/>
  <c r="U23" i="33"/>
  <c r="K12" i="33"/>
  <c r="K23" i="33"/>
  <c r="K34" i="33"/>
  <c r="M34" i="33"/>
  <c r="U34" i="33"/>
  <c r="K52" i="33"/>
  <c r="N52" i="33"/>
  <c r="R52" i="33"/>
  <c r="M13" i="33"/>
  <c r="U13" i="33"/>
  <c r="M24" i="33"/>
  <c r="U24" i="33"/>
  <c r="K13" i="33"/>
  <c r="K24" i="33"/>
  <c r="M14" i="33"/>
  <c r="U14" i="33"/>
  <c r="M35" i="33"/>
  <c r="U35" i="33"/>
  <c r="M54" i="33"/>
  <c r="K14" i="33"/>
  <c r="K35" i="33"/>
  <c r="K54" i="33"/>
  <c r="P54" i="33"/>
  <c r="T54" i="33"/>
  <c r="N35" i="33"/>
  <c r="M15" i="33"/>
  <c r="U15" i="33"/>
  <c r="M36" i="33"/>
  <c r="U36" i="33"/>
  <c r="K15" i="33"/>
  <c r="K36" i="33"/>
  <c r="K55" i="33"/>
  <c r="M7" i="33"/>
  <c r="U7" i="33"/>
  <c r="M18" i="33"/>
  <c r="U18" i="33"/>
  <c r="M29" i="33"/>
  <c r="K29" i="33"/>
  <c r="P29" i="33"/>
  <c r="T29" i="33"/>
  <c r="U29" i="33"/>
  <c r="K7" i="33"/>
  <c r="K18" i="33"/>
  <c r="N54" i="33"/>
  <c r="R54" i="33"/>
  <c r="N55" i="33"/>
  <c r="R55" i="33"/>
  <c r="J28" i="33"/>
  <c r="P28" i="33"/>
  <c r="T28" i="33"/>
  <c r="Q28" i="33"/>
  <c r="R28" i="33"/>
  <c r="J29" i="33"/>
  <c r="N29" i="33"/>
  <c r="Q29" i="33"/>
  <c r="R29" i="33"/>
  <c r="J30" i="33"/>
  <c r="N30" i="33"/>
  <c r="Q30" i="33"/>
  <c r="J31" i="33"/>
  <c r="P31" i="33"/>
  <c r="T31" i="33"/>
  <c r="Q31" i="33"/>
  <c r="J32" i="33"/>
  <c r="N32" i="33"/>
  <c r="P32" i="33"/>
  <c r="T32" i="33"/>
  <c r="Q32" i="33"/>
  <c r="R32" i="33"/>
  <c r="J33" i="33"/>
  <c r="N33" i="33"/>
  <c r="P33" i="33"/>
  <c r="T33" i="33"/>
  <c r="Q33" i="33"/>
  <c r="R33" i="33"/>
  <c r="J34" i="33"/>
  <c r="N34" i="33"/>
  <c r="P34" i="33"/>
  <c r="Q34" i="33"/>
  <c r="T34" i="33"/>
  <c r="J35" i="33"/>
  <c r="R35" i="33"/>
  <c r="P35" i="33"/>
  <c r="T35" i="33"/>
  <c r="Q35" i="33"/>
  <c r="J36" i="33"/>
  <c r="N36" i="33"/>
  <c r="Q36" i="33"/>
  <c r="R36" i="33"/>
  <c r="J27" i="33"/>
  <c r="P27" i="33"/>
  <c r="T27" i="33"/>
  <c r="N27" i="33"/>
  <c r="R27" i="33"/>
  <c r="Q27" i="33"/>
  <c r="J18" i="33"/>
  <c r="C37" i="36"/>
  <c r="F37" i="36"/>
  <c r="B37" i="36"/>
  <c r="J37" i="36"/>
  <c r="E37" i="36"/>
  <c r="E36" i="36"/>
  <c r="E35" i="36"/>
  <c r="E34" i="36"/>
  <c r="C34" i="36"/>
  <c r="H34" i="36"/>
  <c r="L34" i="36"/>
  <c r="B34" i="36"/>
  <c r="F34" i="36"/>
  <c r="J34" i="36"/>
  <c r="B35" i="36"/>
  <c r="C35" i="36"/>
  <c r="F35" i="36"/>
  <c r="J35" i="36"/>
  <c r="E33" i="36"/>
  <c r="C33" i="36"/>
  <c r="H33" i="36"/>
  <c r="L33" i="36"/>
  <c r="E32" i="36"/>
  <c r="E31" i="36"/>
  <c r="C31" i="36"/>
  <c r="H31" i="36"/>
  <c r="L31" i="36"/>
  <c r="E30" i="36"/>
  <c r="E29" i="36"/>
  <c r="E28" i="36"/>
  <c r="C36" i="36"/>
  <c r="C32" i="36"/>
  <c r="F31" i="36"/>
  <c r="B31" i="36"/>
  <c r="J31" i="36"/>
  <c r="C30" i="36"/>
  <c r="C29" i="36"/>
  <c r="H36" i="36"/>
  <c r="L36" i="36"/>
  <c r="B36" i="36"/>
  <c r="F36" i="36"/>
  <c r="J36" i="36"/>
  <c r="H35" i="36"/>
  <c r="L35" i="36"/>
  <c r="B33" i="36"/>
  <c r="F33" i="36"/>
  <c r="J33" i="36"/>
  <c r="H32" i="36"/>
  <c r="L32" i="36"/>
  <c r="B32" i="36"/>
  <c r="F32" i="36"/>
  <c r="J32" i="36"/>
  <c r="H30" i="36"/>
  <c r="L30" i="36"/>
  <c r="B30" i="36"/>
  <c r="F30" i="36"/>
  <c r="J30" i="36"/>
  <c r="B29" i="36"/>
  <c r="J19" i="36"/>
  <c r="K19" i="36"/>
  <c r="N19" i="36"/>
  <c r="R19" i="36"/>
  <c r="J16" i="36"/>
  <c r="K16" i="36"/>
  <c r="N16" i="36"/>
  <c r="R16" i="36"/>
  <c r="M16" i="36"/>
  <c r="P16" i="36"/>
  <c r="Q16" i="36"/>
  <c r="T16" i="36"/>
  <c r="J17" i="36"/>
  <c r="K17" i="36"/>
  <c r="N17" i="36"/>
  <c r="R17" i="36"/>
  <c r="M17" i="36"/>
  <c r="P17" i="36"/>
  <c r="Q17" i="36"/>
  <c r="T17" i="36"/>
  <c r="J18" i="36"/>
  <c r="K18" i="36"/>
  <c r="N18" i="36"/>
  <c r="R18" i="36"/>
  <c r="M18" i="36"/>
  <c r="P18" i="36"/>
  <c r="Q18" i="36"/>
  <c r="T18" i="36"/>
  <c r="M19" i="36"/>
  <c r="P19" i="36"/>
  <c r="T19" i="36"/>
  <c r="Q19" i="36"/>
  <c r="J20" i="36"/>
  <c r="K20" i="36"/>
  <c r="N20" i="36"/>
  <c r="R20" i="36"/>
  <c r="M20" i="36"/>
  <c r="P20" i="36"/>
  <c r="T20" i="36"/>
  <c r="Q20" i="36"/>
  <c r="J21" i="36"/>
  <c r="K21" i="36"/>
  <c r="N21" i="36"/>
  <c r="R21" i="36"/>
  <c r="M21" i="36"/>
  <c r="P21" i="36"/>
  <c r="T21" i="36"/>
  <c r="Q21" i="36"/>
  <c r="J22" i="36"/>
  <c r="K22" i="36"/>
  <c r="M22" i="36"/>
  <c r="N22" i="36"/>
  <c r="P22" i="36"/>
  <c r="T22" i="36"/>
  <c r="Q22" i="36"/>
  <c r="J23" i="36"/>
  <c r="K23" i="36"/>
  <c r="M23" i="36"/>
  <c r="N23" i="36"/>
  <c r="P23" i="36"/>
  <c r="T23" i="36"/>
  <c r="Q23" i="36"/>
  <c r="J24" i="36"/>
  <c r="K24" i="36"/>
  <c r="N24" i="36"/>
  <c r="R24" i="36"/>
  <c r="M24" i="36"/>
  <c r="P24" i="36"/>
  <c r="T24" i="36"/>
  <c r="Q24" i="36"/>
  <c r="L5" i="66"/>
  <c r="P5" i="66"/>
  <c r="T5" i="66"/>
  <c r="S5" i="66"/>
  <c r="O15" i="66"/>
  <c r="M15" i="66"/>
  <c r="R15" i="66"/>
  <c r="V15" i="66"/>
  <c r="L15" i="66"/>
  <c r="P15" i="66"/>
  <c r="T15" i="66"/>
  <c r="S15" i="66"/>
  <c r="O14" i="66"/>
  <c r="M14" i="66"/>
  <c r="R14" i="66"/>
  <c r="V14" i="66"/>
  <c r="L14" i="66"/>
  <c r="P14" i="66"/>
  <c r="T14" i="66"/>
  <c r="S14" i="66"/>
  <c r="O13" i="66"/>
  <c r="M13" i="66"/>
  <c r="R13" i="66"/>
  <c r="V13" i="66"/>
  <c r="L13" i="66"/>
  <c r="P13" i="66"/>
  <c r="T13" i="66"/>
  <c r="S13" i="66"/>
  <c r="O12" i="66"/>
  <c r="M12" i="66"/>
  <c r="R12" i="66"/>
  <c r="V12" i="66"/>
  <c r="L12" i="66"/>
  <c r="P12" i="66"/>
  <c r="T12" i="66"/>
  <c r="S12" i="66"/>
  <c r="O11" i="66"/>
  <c r="M11" i="66"/>
  <c r="R11" i="66"/>
  <c r="V11" i="66"/>
  <c r="L11" i="66"/>
  <c r="P11" i="66"/>
  <c r="T11" i="66"/>
  <c r="S11" i="66"/>
  <c r="O10" i="66"/>
  <c r="M10" i="66"/>
  <c r="R10" i="66"/>
  <c r="V10" i="66"/>
  <c r="L10" i="66"/>
  <c r="P10" i="66"/>
  <c r="T10" i="66"/>
  <c r="S10" i="66"/>
  <c r="O9" i="66"/>
  <c r="M9" i="66"/>
  <c r="R9" i="66"/>
  <c r="V9" i="66"/>
  <c r="L9" i="66"/>
  <c r="P9" i="66"/>
  <c r="T9" i="66"/>
  <c r="S9" i="66"/>
  <c r="O8" i="66"/>
  <c r="M8" i="66"/>
  <c r="R8" i="66"/>
  <c r="V8" i="66"/>
  <c r="L8" i="66"/>
  <c r="P8" i="66"/>
  <c r="T8" i="66"/>
  <c r="S8" i="66"/>
  <c r="O7" i="66"/>
  <c r="M7" i="66"/>
  <c r="R7" i="66"/>
  <c r="V7" i="66"/>
  <c r="L7" i="66"/>
  <c r="P7" i="66"/>
  <c r="T7" i="66"/>
  <c r="S7" i="66"/>
  <c r="O6" i="66"/>
  <c r="M6" i="66"/>
  <c r="R6" i="66"/>
  <c r="V6" i="66"/>
  <c r="L6" i="66"/>
  <c r="P6" i="66"/>
  <c r="T6" i="66"/>
  <c r="S6" i="66"/>
  <c r="O5" i="65"/>
  <c r="M5" i="65"/>
  <c r="R5" i="65"/>
  <c r="V5" i="65"/>
  <c r="L5" i="65"/>
  <c r="P5" i="65"/>
  <c r="T5" i="65"/>
  <c r="S5" i="65"/>
  <c r="O15" i="65"/>
  <c r="M15" i="65"/>
  <c r="R15" i="65"/>
  <c r="V15" i="65"/>
  <c r="L15" i="65"/>
  <c r="P15" i="65"/>
  <c r="T15" i="65"/>
  <c r="S15" i="65"/>
  <c r="O14" i="65"/>
  <c r="M14" i="65"/>
  <c r="R14" i="65"/>
  <c r="V14" i="65"/>
  <c r="L14" i="65"/>
  <c r="P14" i="65"/>
  <c r="T14" i="65"/>
  <c r="S14" i="65"/>
  <c r="O13" i="65"/>
  <c r="M13" i="65"/>
  <c r="R13" i="65"/>
  <c r="V13" i="65"/>
  <c r="L13" i="65"/>
  <c r="P13" i="65"/>
  <c r="T13" i="65"/>
  <c r="S13" i="65"/>
  <c r="O12" i="65"/>
  <c r="M12" i="65"/>
  <c r="R12" i="65"/>
  <c r="V12" i="65"/>
  <c r="L12" i="65"/>
  <c r="P12" i="65"/>
  <c r="T12" i="65"/>
  <c r="S12" i="65"/>
  <c r="O11" i="65"/>
  <c r="M11" i="65"/>
  <c r="R11" i="65"/>
  <c r="V11" i="65"/>
  <c r="L11" i="65"/>
  <c r="P11" i="65"/>
  <c r="T11" i="65"/>
  <c r="S11" i="65"/>
  <c r="O10" i="65"/>
  <c r="M10" i="65"/>
  <c r="R10" i="65"/>
  <c r="V10" i="65"/>
  <c r="L10" i="65"/>
  <c r="P10" i="65"/>
  <c r="T10" i="65"/>
  <c r="S10" i="65"/>
  <c r="O9" i="65"/>
  <c r="M9" i="65"/>
  <c r="R9" i="65"/>
  <c r="V9" i="65"/>
  <c r="L9" i="65"/>
  <c r="P9" i="65"/>
  <c r="T9" i="65"/>
  <c r="S9" i="65"/>
  <c r="O8" i="65"/>
  <c r="M8" i="65"/>
  <c r="R8" i="65"/>
  <c r="V8" i="65"/>
  <c r="L8" i="65"/>
  <c r="P8" i="65"/>
  <c r="T8" i="65"/>
  <c r="S8" i="65"/>
  <c r="O7" i="65"/>
  <c r="M7" i="65"/>
  <c r="R7" i="65"/>
  <c r="V7" i="65"/>
  <c r="L7" i="65"/>
  <c r="P7" i="65"/>
  <c r="T7" i="65"/>
  <c r="S7" i="65"/>
  <c r="O6" i="65"/>
  <c r="M6" i="65"/>
  <c r="R6" i="65"/>
  <c r="V6" i="65"/>
  <c r="L6" i="65"/>
  <c r="P6" i="65"/>
  <c r="T6" i="65"/>
  <c r="S6" i="65"/>
  <c r="M6" i="63"/>
  <c r="K6" i="63"/>
  <c r="P6" i="63"/>
  <c r="T6" i="63"/>
  <c r="M7" i="63"/>
  <c r="K7" i="63"/>
  <c r="P7" i="63"/>
  <c r="N7" i="63"/>
  <c r="T7" i="63"/>
  <c r="M8" i="63"/>
  <c r="K8" i="63"/>
  <c r="P8" i="63"/>
  <c r="T8" i="63"/>
  <c r="J8" i="63"/>
  <c r="N8" i="63"/>
  <c r="R8" i="63"/>
  <c r="V8" i="63"/>
  <c r="M9" i="63"/>
  <c r="K9" i="63"/>
  <c r="P9" i="63"/>
  <c r="T9" i="63"/>
  <c r="N9" i="63"/>
  <c r="J9" i="63"/>
  <c r="R9" i="63"/>
  <c r="M10" i="63"/>
  <c r="K10" i="63"/>
  <c r="P10" i="63"/>
  <c r="T10" i="63"/>
  <c r="M11" i="63"/>
  <c r="K11" i="63"/>
  <c r="P11" i="63"/>
  <c r="N11" i="63"/>
  <c r="J11" i="63"/>
  <c r="R11" i="63"/>
  <c r="T11" i="63"/>
  <c r="M12" i="63"/>
  <c r="K12" i="63"/>
  <c r="P12" i="63"/>
  <c r="T12" i="63"/>
  <c r="J12" i="63"/>
  <c r="N12" i="63"/>
  <c r="R12" i="63"/>
  <c r="W12" i="63"/>
  <c r="M13" i="63"/>
  <c r="K13" i="63"/>
  <c r="P13" i="63"/>
  <c r="T13" i="63"/>
  <c r="J13" i="63"/>
  <c r="N13" i="63"/>
  <c r="R13" i="63"/>
  <c r="V13" i="63"/>
  <c r="M14" i="63"/>
  <c r="K14" i="63"/>
  <c r="P14" i="63"/>
  <c r="T14" i="63"/>
  <c r="M15" i="63"/>
  <c r="K15" i="63"/>
  <c r="P15" i="63"/>
  <c r="T15" i="63"/>
  <c r="N15" i="63"/>
  <c r="M5" i="63"/>
  <c r="K5" i="63"/>
  <c r="P5" i="63"/>
  <c r="T5" i="63"/>
  <c r="J5" i="63"/>
  <c r="N5" i="63"/>
  <c r="R5" i="63"/>
  <c r="W5" i="63"/>
  <c r="J6" i="63"/>
  <c r="N6" i="63"/>
  <c r="R6" i="63"/>
  <c r="J7" i="63"/>
  <c r="R7" i="63"/>
  <c r="W7" i="63"/>
  <c r="J10" i="63"/>
  <c r="N10" i="63"/>
  <c r="R10" i="63"/>
  <c r="V10" i="63"/>
  <c r="J14" i="63"/>
  <c r="N14" i="63"/>
  <c r="J15" i="63"/>
  <c r="Q5" i="63"/>
  <c r="Q15" i="63"/>
  <c r="Q14" i="63"/>
  <c r="Q13" i="63"/>
  <c r="Q12" i="63"/>
  <c r="Q11" i="63"/>
  <c r="W10" i="63"/>
  <c r="Q10" i="63"/>
  <c r="Q9" i="63"/>
  <c r="Q8" i="63"/>
  <c r="V7" i="63"/>
  <c r="Q7" i="63"/>
  <c r="Q6" i="63"/>
  <c r="V5" i="63"/>
  <c r="M5" i="62"/>
  <c r="K5" i="62"/>
  <c r="N5" i="62"/>
  <c r="J5" i="62"/>
  <c r="R5" i="62"/>
  <c r="P5" i="62"/>
  <c r="T5" i="62"/>
  <c r="Q5" i="62"/>
  <c r="M15" i="62"/>
  <c r="K15" i="62"/>
  <c r="N15" i="62"/>
  <c r="J15" i="62"/>
  <c r="R15" i="62"/>
  <c r="Q15" i="62"/>
  <c r="M14" i="62"/>
  <c r="K14" i="62"/>
  <c r="N14" i="62"/>
  <c r="J14" i="62"/>
  <c r="R14" i="62"/>
  <c r="P14" i="62"/>
  <c r="T14" i="62"/>
  <c r="Q14" i="62"/>
  <c r="M13" i="62"/>
  <c r="K13" i="62"/>
  <c r="N13" i="62"/>
  <c r="J13" i="62"/>
  <c r="R13" i="62"/>
  <c r="Q13" i="62"/>
  <c r="M12" i="62"/>
  <c r="K12" i="62"/>
  <c r="N12" i="62"/>
  <c r="J12" i="62"/>
  <c r="R12" i="62"/>
  <c r="P12" i="62"/>
  <c r="T12" i="62"/>
  <c r="Q12" i="62"/>
  <c r="M11" i="62"/>
  <c r="K11" i="62"/>
  <c r="N11" i="62"/>
  <c r="J11" i="62"/>
  <c r="R11" i="62"/>
  <c r="P11" i="62"/>
  <c r="T11" i="62"/>
  <c r="Q11" i="62"/>
  <c r="M10" i="62"/>
  <c r="K10" i="62"/>
  <c r="N10" i="62"/>
  <c r="J10" i="62"/>
  <c r="R10" i="62"/>
  <c r="P10" i="62"/>
  <c r="T10" i="62"/>
  <c r="Q10" i="62"/>
  <c r="M9" i="62"/>
  <c r="K9" i="62"/>
  <c r="J9" i="62"/>
  <c r="Q9" i="62"/>
  <c r="M8" i="62"/>
  <c r="K8" i="62"/>
  <c r="N8" i="62"/>
  <c r="J8" i="62"/>
  <c r="R8" i="62"/>
  <c r="P8" i="62"/>
  <c r="T8" i="62"/>
  <c r="Q8" i="62"/>
  <c r="M7" i="62"/>
  <c r="K7" i="62"/>
  <c r="N7" i="62"/>
  <c r="J7" i="62"/>
  <c r="R7" i="62"/>
  <c r="Q7" i="62"/>
  <c r="M6" i="62"/>
  <c r="K6" i="62"/>
  <c r="N6" i="62"/>
  <c r="J6" i="62"/>
  <c r="R6" i="62"/>
  <c r="P6" i="62"/>
  <c r="T6" i="62"/>
  <c r="Q6" i="62"/>
  <c r="M7" i="60"/>
  <c r="K7" i="60"/>
  <c r="N7" i="60"/>
  <c r="J7" i="60"/>
  <c r="R7" i="60"/>
  <c r="M5" i="60"/>
  <c r="K5" i="60"/>
  <c r="P5" i="60"/>
  <c r="T5" i="60"/>
  <c r="J5" i="60"/>
  <c r="N5" i="60"/>
  <c r="R5" i="60"/>
  <c r="Q5" i="60"/>
  <c r="M15" i="60"/>
  <c r="K15" i="60"/>
  <c r="P15" i="60"/>
  <c r="T15" i="60"/>
  <c r="J15" i="60"/>
  <c r="N15" i="60"/>
  <c r="R15" i="60"/>
  <c r="Q15" i="60"/>
  <c r="M14" i="60"/>
  <c r="K14" i="60"/>
  <c r="P14" i="60"/>
  <c r="T14" i="60"/>
  <c r="J14" i="60"/>
  <c r="N14" i="60"/>
  <c r="R14" i="60"/>
  <c r="Q14" i="60"/>
  <c r="M13" i="60"/>
  <c r="K13" i="60"/>
  <c r="P13" i="60"/>
  <c r="T13" i="60"/>
  <c r="J13" i="60"/>
  <c r="N13" i="60"/>
  <c r="R13" i="60"/>
  <c r="Q13" i="60"/>
  <c r="M12" i="60"/>
  <c r="K12" i="60"/>
  <c r="P12" i="60"/>
  <c r="T12" i="60"/>
  <c r="J12" i="60"/>
  <c r="N12" i="60"/>
  <c r="R12" i="60"/>
  <c r="Q12" i="60"/>
  <c r="M11" i="60"/>
  <c r="K11" i="60"/>
  <c r="P11" i="60"/>
  <c r="T11" i="60"/>
  <c r="J11" i="60"/>
  <c r="N11" i="60"/>
  <c r="R11" i="60"/>
  <c r="Q11" i="60"/>
  <c r="M10" i="60"/>
  <c r="K10" i="60"/>
  <c r="P10" i="60"/>
  <c r="T10" i="60"/>
  <c r="J10" i="60"/>
  <c r="N10" i="60"/>
  <c r="R10" i="60"/>
  <c r="Q10" i="60"/>
  <c r="M9" i="60"/>
  <c r="K9" i="60"/>
  <c r="P9" i="60"/>
  <c r="T9" i="60"/>
  <c r="J9" i="60"/>
  <c r="N9" i="60"/>
  <c r="R9" i="60"/>
  <c r="Q9" i="60"/>
  <c r="M8" i="60"/>
  <c r="K8" i="60"/>
  <c r="P8" i="60"/>
  <c r="T8" i="60"/>
  <c r="J8" i="60"/>
  <c r="N8" i="60"/>
  <c r="R8" i="60"/>
  <c r="Q8" i="60"/>
  <c r="Q7" i="60"/>
  <c r="M6" i="60"/>
  <c r="K6" i="60"/>
  <c r="N6" i="60"/>
  <c r="J6" i="60"/>
  <c r="R6" i="60"/>
  <c r="P6" i="60"/>
  <c r="T6" i="60"/>
  <c r="Q6" i="60"/>
  <c r="M7" i="59"/>
  <c r="K7" i="59"/>
  <c r="N7" i="59"/>
  <c r="P7" i="59"/>
  <c r="T7" i="59"/>
  <c r="J5" i="59"/>
  <c r="K5" i="59"/>
  <c r="N5" i="59"/>
  <c r="R5" i="59"/>
  <c r="Q5" i="59"/>
  <c r="M5" i="59"/>
  <c r="P5" i="59"/>
  <c r="M15" i="59"/>
  <c r="K15" i="59"/>
  <c r="P15" i="59"/>
  <c r="T15" i="59"/>
  <c r="J15" i="59"/>
  <c r="N15" i="59"/>
  <c r="R15" i="59"/>
  <c r="Q15" i="59"/>
  <c r="M14" i="59"/>
  <c r="K14" i="59"/>
  <c r="P14" i="59"/>
  <c r="T14" i="59"/>
  <c r="J14" i="59"/>
  <c r="N14" i="59"/>
  <c r="R14" i="59"/>
  <c r="Q14" i="59"/>
  <c r="M13" i="59"/>
  <c r="K13" i="59"/>
  <c r="P13" i="59"/>
  <c r="T13" i="59"/>
  <c r="J13" i="59"/>
  <c r="N13" i="59"/>
  <c r="R13" i="59"/>
  <c r="Q13" i="59"/>
  <c r="M12" i="59"/>
  <c r="K12" i="59"/>
  <c r="P12" i="59"/>
  <c r="T12" i="59"/>
  <c r="J12" i="59"/>
  <c r="N12" i="59"/>
  <c r="R12" i="59"/>
  <c r="Q12" i="59"/>
  <c r="M11" i="59"/>
  <c r="K11" i="59"/>
  <c r="P11" i="59"/>
  <c r="T11" i="59"/>
  <c r="J11" i="59"/>
  <c r="N11" i="59"/>
  <c r="R11" i="59"/>
  <c r="Q11" i="59"/>
  <c r="M10" i="59"/>
  <c r="K10" i="59"/>
  <c r="P10" i="59"/>
  <c r="T10" i="59"/>
  <c r="J10" i="59"/>
  <c r="N10" i="59"/>
  <c r="R10" i="59"/>
  <c r="Q10" i="59"/>
  <c r="M9" i="59"/>
  <c r="K9" i="59"/>
  <c r="P9" i="59"/>
  <c r="T9" i="59"/>
  <c r="J9" i="59"/>
  <c r="N9" i="59"/>
  <c r="R9" i="59"/>
  <c r="Q9" i="59"/>
  <c r="M8" i="59"/>
  <c r="K8" i="59"/>
  <c r="P8" i="59"/>
  <c r="T8" i="59"/>
  <c r="J8" i="59"/>
  <c r="N8" i="59"/>
  <c r="R8" i="59"/>
  <c r="Q8" i="59"/>
  <c r="J7" i="59"/>
  <c r="R7" i="59"/>
  <c r="Q7" i="59"/>
  <c r="M6" i="59"/>
  <c r="K6" i="59"/>
  <c r="P6" i="59"/>
  <c r="T6" i="59"/>
  <c r="N6" i="59"/>
  <c r="J6" i="59"/>
  <c r="Q6" i="59"/>
  <c r="T5" i="59"/>
  <c r="M5" i="58"/>
  <c r="K5" i="58"/>
  <c r="N5" i="58"/>
  <c r="J5" i="58"/>
  <c r="R5" i="58"/>
  <c r="Q5" i="58"/>
  <c r="K6" i="58"/>
  <c r="M6" i="58"/>
  <c r="P6" i="58"/>
  <c r="T6" i="58"/>
  <c r="M7" i="58"/>
  <c r="K7" i="58"/>
  <c r="P7" i="58"/>
  <c r="T7" i="58"/>
  <c r="M8" i="58"/>
  <c r="M9" i="58"/>
  <c r="M10" i="58"/>
  <c r="M11" i="58"/>
  <c r="M12" i="58"/>
  <c r="K12" i="58"/>
  <c r="P12" i="58"/>
  <c r="T12" i="58"/>
  <c r="M13" i="58"/>
  <c r="M14" i="58"/>
  <c r="K14" i="58"/>
  <c r="P14" i="58"/>
  <c r="T14" i="58"/>
  <c r="M15" i="58"/>
  <c r="K15" i="58"/>
  <c r="P15" i="58"/>
  <c r="T15" i="58"/>
  <c r="K8" i="58"/>
  <c r="K9" i="58"/>
  <c r="P9" i="58"/>
  <c r="K10" i="58"/>
  <c r="N10" i="58"/>
  <c r="K11" i="58"/>
  <c r="K13" i="58"/>
  <c r="N14" i="58"/>
  <c r="J15" i="58"/>
  <c r="N15" i="58"/>
  <c r="Q15" i="58"/>
  <c r="J14" i="58"/>
  <c r="R14" i="58"/>
  <c r="Q14" i="58"/>
  <c r="J13" i="58"/>
  <c r="Q13" i="58"/>
  <c r="J12" i="58"/>
  <c r="N12" i="58"/>
  <c r="R12" i="58"/>
  <c r="Q12" i="58"/>
  <c r="J11" i="58"/>
  <c r="N11" i="58"/>
  <c r="Q11" i="58"/>
  <c r="P10" i="58"/>
  <c r="T10" i="58"/>
  <c r="J10" i="58"/>
  <c r="R10" i="58"/>
  <c r="Q10" i="58"/>
  <c r="T9" i="58"/>
  <c r="J9" i="58"/>
  <c r="N9" i="58"/>
  <c r="R9" i="58"/>
  <c r="Q9" i="58"/>
  <c r="P8" i="58"/>
  <c r="T8" i="58"/>
  <c r="J8" i="58"/>
  <c r="N8" i="58"/>
  <c r="R8" i="58"/>
  <c r="Q8" i="58"/>
  <c r="J7" i="58"/>
  <c r="N7" i="58"/>
  <c r="R7" i="58"/>
  <c r="Q7" i="58"/>
  <c r="J6" i="58"/>
  <c r="N6" i="58"/>
  <c r="R6" i="58"/>
  <c r="Q6" i="58"/>
  <c r="C4" i="57"/>
  <c r="G4" i="57"/>
  <c r="K4" i="57"/>
  <c r="I14" i="57"/>
  <c r="M14" i="57"/>
  <c r="C14" i="57"/>
  <c r="G14" i="57"/>
  <c r="K14" i="57"/>
  <c r="I13" i="57"/>
  <c r="M13" i="57"/>
  <c r="C13" i="57"/>
  <c r="G13" i="57"/>
  <c r="K13" i="57"/>
  <c r="I12" i="57"/>
  <c r="M12" i="57"/>
  <c r="C12" i="57"/>
  <c r="G12" i="57"/>
  <c r="K12" i="57"/>
  <c r="I11" i="57"/>
  <c r="M11" i="57"/>
  <c r="C11" i="57"/>
  <c r="G11" i="57"/>
  <c r="K11" i="57"/>
  <c r="I10" i="57"/>
  <c r="M10" i="57"/>
  <c r="C10" i="57"/>
  <c r="G10" i="57"/>
  <c r="K10" i="57"/>
  <c r="I9" i="57"/>
  <c r="M9" i="57"/>
  <c r="C9" i="57"/>
  <c r="G9" i="57"/>
  <c r="I8" i="57"/>
  <c r="M8" i="57"/>
  <c r="C8" i="57"/>
  <c r="G8" i="57"/>
  <c r="K8" i="57"/>
  <c r="I7" i="57"/>
  <c r="M7" i="57"/>
  <c r="C7" i="57"/>
  <c r="G7" i="57"/>
  <c r="K7" i="57"/>
  <c r="I6" i="57"/>
  <c r="M6" i="57"/>
  <c r="C6" i="57"/>
  <c r="G6" i="57"/>
  <c r="K6" i="57"/>
  <c r="I5" i="57"/>
  <c r="M5" i="57"/>
  <c r="C5" i="57"/>
  <c r="G5" i="57"/>
  <c r="K5" i="57"/>
  <c r="I4" i="57"/>
  <c r="M4" i="57"/>
  <c r="C10" i="56"/>
  <c r="G10" i="56"/>
  <c r="K10" i="56"/>
  <c r="C4" i="56"/>
  <c r="G4" i="56"/>
  <c r="I14" i="56"/>
  <c r="M14" i="56"/>
  <c r="C14" i="56"/>
  <c r="G14" i="56"/>
  <c r="K14" i="56"/>
  <c r="I13" i="56"/>
  <c r="M13" i="56"/>
  <c r="C13" i="56"/>
  <c r="G13" i="56"/>
  <c r="K13" i="56"/>
  <c r="I12" i="56"/>
  <c r="M12" i="56"/>
  <c r="C12" i="56"/>
  <c r="G12" i="56"/>
  <c r="K12" i="56"/>
  <c r="I11" i="56"/>
  <c r="M11" i="56"/>
  <c r="C11" i="56"/>
  <c r="G11" i="56"/>
  <c r="I10" i="56"/>
  <c r="M10" i="56"/>
  <c r="I9" i="56"/>
  <c r="M9" i="56"/>
  <c r="C9" i="56"/>
  <c r="G9" i="56"/>
  <c r="K9" i="56"/>
  <c r="I8" i="56"/>
  <c r="M8" i="56"/>
  <c r="C8" i="56"/>
  <c r="G8" i="56"/>
  <c r="I7" i="56"/>
  <c r="M7" i="56"/>
  <c r="C7" i="56"/>
  <c r="G7" i="56"/>
  <c r="K7" i="56"/>
  <c r="I6" i="56"/>
  <c r="M6" i="56"/>
  <c r="C6" i="56"/>
  <c r="G6" i="56"/>
  <c r="K6" i="56"/>
  <c r="I5" i="56"/>
  <c r="M5" i="56"/>
  <c r="C5" i="56"/>
  <c r="G5" i="56"/>
  <c r="K5" i="56"/>
  <c r="I4" i="56"/>
  <c r="M4" i="56"/>
  <c r="I9" i="55"/>
  <c r="M9" i="55"/>
  <c r="C9" i="55"/>
  <c r="G9" i="55"/>
  <c r="K9" i="55"/>
  <c r="I4" i="55"/>
  <c r="M4" i="55"/>
  <c r="C4" i="55"/>
  <c r="G4" i="55"/>
  <c r="K4" i="55"/>
  <c r="I14" i="55"/>
  <c r="M14" i="55"/>
  <c r="C14" i="55"/>
  <c r="G14" i="55"/>
  <c r="K14" i="55"/>
  <c r="I13" i="55"/>
  <c r="M13" i="55"/>
  <c r="C13" i="55"/>
  <c r="G13" i="55"/>
  <c r="K13" i="55"/>
  <c r="I12" i="55"/>
  <c r="M12" i="55"/>
  <c r="C12" i="55"/>
  <c r="G12" i="55"/>
  <c r="K12" i="55"/>
  <c r="I11" i="55"/>
  <c r="M11" i="55"/>
  <c r="C11" i="55"/>
  <c r="G11" i="55"/>
  <c r="K11" i="55"/>
  <c r="I10" i="55"/>
  <c r="M10" i="55"/>
  <c r="C10" i="55"/>
  <c r="G10" i="55"/>
  <c r="K10" i="55"/>
  <c r="I8" i="55"/>
  <c r="M8" i="55"/>
  <c r="C8" i="55"/>
  <c r="G8" i="55"/>
  <c r="K8" i="55"/>
  <c r="I7" i="55"/>
  <c r="M7" i="55"/>
  <c r="C7" i="55"/>
  <c r="G7" i="55"/>
  <c r="K7" i="55"/>
  <c r="I6" i="55"/>
  <c r="M6" i="55"/>
  <c r="C6" i="55"/>
  <c r="G6" i="55"/>
  <c r="K6" i="55"/>
  <c r="I5" i="55"/>
  <c r="M5" i="55"/>
  <c r="C5" i="55"/>
  <c r="G5" i="55"/>
  <c r="K5" i="55"/>
  <c r="I4" i="54"/>
  <c r="M4" i="54"/>
  <c r="C4" i="54"/>
  <c r="G4" i="54"/>
  <c r="K4" i="54"/>
  <c r="A19" i="18"/>
  <c r="I14" i="54"/>
  <c r="M14" i="54"/>
  <c r="C14" i="54"/>
  <c r="G14" i="54"/>
  <c r="K14" i="54"/>
  <c r="I13" i="54"/>
  <c r="M13" i="54"/>
  <c r="C13" i="54"/>
  <c r="G13" i="54"/>
  <c r="K13" i="54"/>
  <c r="I12" i="54"/>
  <c r="M12" i="54"/>
  <c r="C12" i="54"/>
  <c r="G12" i="54"/>
  <c r="K12" i="54"/>
  <c r="I11" i="54"/>
  <c r="M11" i="54"/>
  <c r="C11" i="54"/>
  <c r="G11" i="54"/>
  <c r="K11" i="54"/>
  <c r="I10" i="54"/>
  <c r="M10" i="54"/>
  <c r="C10" i="54"/>
  <c r="G10" i="54"/>
  <c r="K10" i="54"/>
  <c r="I9" i="54"/>
  <c r="M9" i="54"/>
  <c r="C9" i="54"/>
  <c r="G9" i="54"/>
  <c r="K9" i="54"/>
  <c r="I8" i="54"/>
  <c r="M8" i="54"/>
  <c r="C8" i="54"/>
  <c r="G8" i="54"/>
  <c r="I7" i="54"/>
  <c r="M7" i="54"/>
  <c r="C7" i="54"/>
  <c r="G7" i="54"/>
  <c r="K7" i="54"/>
  <c r="I6" i="54"/>
  <c r="M6" i="54"/>
  <c r="C6" i="54"/>
  <c r="G6" i="54"/>
  <c r="K6" i="54"/>
  <c r="I5" i="54"/>
  <c r="M5" i="54"/>
  <c r="C5" i="54"/>
  <c r="G5" i="54"/>
  <c r="K5" i="54"/>
  <c r="M5" i="53"/>
  <c r="P5" i="53"/>
  <c r="N5" i="53"/>
  <c r="M15" i="53"/>
  <c r="P15" i="53"/>
  <c r="T15" i="53"/>
  <c r="J15" i="53"/>
  <c r="N15" i="53"/>
  <c r="Q15" i="53"/>
  <c r="M14" i="53"/>
  <c r="P14" i="53"/>
  <c r="T14" i="53"/>
  <c r="J14" i="53"/>
  <c r="N14" i="53"/>
  <c r="R14" i="53"/>
  <c r="Q14" i="53"/>
  <c r="M13" i="53"/>
  <c r="P13" i="53"/>
  <c r="T13" i="53"/>
  <c r="J13" i="53"/>
  <c r="N13" i="53"/>
  <c r="R13" i="53"/>
  <c r="Q13" i="53"/>
  <c r="M12" i="53"/>
  <c r="P12" i="53"/>
  <c r="T12" i="53"/>
  <c r="J12" i="53"/>
  <c r="N12" i="53"/>
  <c r="R12" i="53"/>
  <c r="Q12" i="53"/>
  <c r="M11" i="53"/>
  <c r="P11" i="53"/>
  <c r="T11" i="53"/>
  <c r="J11" i="53"/>
  <c r="N11" i="53"/>
  <c r="R11" i="53"/>
  <c r="Q11" i="53"/>
  <c r="M10" i="53"/>
  <c r="P10" i="53"/>
  <c r="T10" i="53"/>
  <c r="J10" i="53"/>
  <c r="N10" i="53"/>
  <c r="R10" i="53"/>
  <c r="Q10" i="53"/>
  <c r="M9" i="53"/>
  <c r="P9" i="53"/>
  <c r="T9" i="53"/>
  <c r="J9" i="53"/>
  <c r="N9" i="53"/>
  <c r="R9" i="53"/>
  <c r="Q9" i="53"/>
  <c r="M8" i="53"/>
  <c r="P8" i="53"/>
  <c r="T8" i="53"/>
  <c r="J8" i="53"/>
  <c r="N8" i="53"/>
  <c r="R8" i="53"/>
  <c r="Q8" i="53"/>
  <c r="M7" i="53"/>
  <c r="P7" i="53"/>
  <c r="T7" i="53"/>
  <c r="J7" i="53"/>
  <c r="N7" i="53"/>
  <c r="R7" i="53"/>
  <c r="Q7" i="53"/>
  <c r="M6" i="53"/>
  <c r="P6" i="53"/>
  <c r="T6" i="53"/>
  <c r="J6" i="53"/>
  <c r="N6" i="53"/>
  <c r="R6" i="53"/>
  <c r="Q6" i="53"/>
  <c r="T5" i="53"/>
  <c r="J5" i="53"/>
  <c r="R5" i="53"/>
  <c r="Q5" i="53"/>
  <c r="M6" i="52"/>
  <c r="P6" i="52"/>
  <c r="T6" i="52"/>
  <c r="M7" i="52"/>
  <c r="P7" i="52"/>
  <c r="T7" i="52"/>
  <c r="M8" i="52"/>
  <c r="P8" i="52"/>
  <c r="T8" i="52"/>
  <c r="M9" i="52"/>
  <c r="P9" i="52"/>
  <c r="T9" i="52"/>
  <c r="M10" i="52"/>
  <c r="P10" i="52"/>
  <c r="T10" i="52"/>
  <c r="M11" i="52"/>
  <c r="P11" i="52"/>
  <c r="T11" i="52"/>
  <c r="M12" i="52"/>
  <c r="P12" i="52"/>
  <c r="T12" i="52"/>
  <c r="M13" i="52"/>
  <c r="P13" i="52"/>
  <c r="M14" i="52"/>
  <c r="P14" i="52"/>
  <c r="T14" i="52"/>
  <c r="M15" i="52"/>
  <c r="P15" i="52"/>
  <c r="T15" i="52"/>
  <c r="M5" i="52"/>
  <c r="P5" i="52"/>
  <c r="T5" i="52"/>
  <c r="M5" i="45"/>
  <c r="K5" i="45"/>
  <c r="P5" i="45"/>
  <c r="T5" i="45"/>
  <c r="T13" i="52"/>
  <c r="J5" i="45"/>
  <c r="N5" i="45"/>
  <c r="R5" i="45"/>
  <c r="J5" i="52"/>
  <c r="N5" i="52"/>
  <c r="R5" i="52"/>
  <c r="J6" i="52"/>
  <c r="N6" i="52"/>
  <c r="R6" i="52"/>
  <c r="J7" i="52"/>
  <c r="N7" i="52"/>
  <c r="R7" i="52"/>
  <c r="J8" i="52"/>
  <c r="N8" i="52"/>
  <c r="R8" i="52"/>
  <c r="J9" i="52"/>
  <c r="N9" i="52"/>
  <c r="R9" i="52"/>
  <c r="J10" i="52"/>
  <c r="N10" i="52"/>
  <c r="R10" i="52"/>
  <c r="J11" i="52"/>
  <c r="N11" i="52"/>
  <c r="R11" i="52"/>
  <c r="J12" i="52"/>
  <c r="N12" i="52"/>
  <c r="R12" i="52"/>
  <c r="J13" i="52"/>
  <c r="N13" i="52"/>
  <c r="R13" i="52"/>
  <c r="J14" i="52"/>
  <c r="N14" i="52"/>
  <c r="R14" i="52"/>
  <c r="J15" i="52"/>
  <c r="N15" i="52"/>
  <c r="R15" i="52"/>
  <c r="Q6" i="52"/>
  <c r="Q7" i="52"/>
  <c r="Q8" i="52"/>
  <c r="Q9" i="52"/>
  <c r="Q10" i="52"/>
  <c r="Q11" i="52"/>
  <c r="Q12" i="52"/>
  <c r="Q13" i="52"/>
  <c r="Q14" i="52"/>
  <c r="Q15" i="52"/>
  <c r="Q5" i="52"/>
  <c r="D39" i="4"/>
  <c r="F39" i="4"/>
  <c r="D17" i="21"/>
  <c r="F17" i="21"/>
  <c r="F33" i="21"/>
  <c r="D29" i="4"/>
  <c r="F29" i="4"/>
  <c r="D7" i="21"/>
  <c r="D23" i="21"/>
  <c r="F7" i="21"/>
  <c r="F23" i="21"/>
  <c r="D30" i="4"/>
  <c r="F30" i="4"/>
  <c r="D8" i="21"/>
  <c r="F8" i="21"/>
  <c r="F24" i="21"/>
  <c r="D31" i="4"/>
  <c r="F31" i="4"/>
  <c r="D9" i="21"/>
  <c r="D25" i="21"/>
  <c r="F9" i="21"/>
  <c r="F25" i="21"/>
  <c r="D32" i="4"/>
  <c r="F32" i="4"/>
  <c r="D10" i="21"/>
  <c r="F10" i="21"/>
  <c r="F26" i="21"/>
  <c r="D33" i="4"/>
  <c r="F33" i="4"/>
  <c r="D11" i="21"/>
  <c r="D27" i="21"/>
  <c r="F11" i="21"/>
  <c r="F27" i="21"/>
  <c r="D34" i="4"/>
  <c r="F34" i="4"/>
  <c r="D12" i="21"/>
  <c r="F12" i="21"/>
  <c r="F28" i="21"/>
  <c r="D35" i="4"/>
  <c r="F35" i="4"/>
  <c r="D13" i="21"/>
  <c r="D29" i="21"/>
  <c r="F13" i="21"/>
  <c r="F29" i="21"/>
  <c r="D36" i="4"/>
  <c r="F36" i="4"/>
  <c r="D14" i="21"/>
  <c r="F14" i="21"/>
  <c r="F30" i="21"/>
  <c r="D37" i="4"/>
  <c r="F37" i="4"/>
  <c r="D15" i="21"/>
  <c r="D31" i="21"/>
  <c r="F15" i="21"/>
  <c r="F31" i="21"/>
  <c r="D38" i="4"/>
  <c r="F38" i="4"/>
  <c r="D16" i="21"/>
  <c r="F16" i="21"/>
  <c r="F32" i="21"/>
  <c r="C7" i="21"/>
  <c r="C8" i="21"/>
  <c r="C9" i="21"/>
  <c r="C10" i="21"/>
  <c r="C11" i="21"/>
  <c r="C12" i="21"/>
  <c r="C13" i="21"/>
  <c r="C14" i="21"/>
  <c r="C15" i="21"/>
  <c r="C16" i="21"/>
  <c r="C17" i="21"/>
  <c r="G13" i="4"/>
  <c r="K13" i="4"/>
  <c r="K29" i="4"/>
  <c r="G14" i="4"/>
  <c r="K14" i="4"/>
  <c r="K30" i="4"/>
  <c r="G15" i="4"/>
  <c r="K15" i="4"/>
  <c r="K31" i="4"/>
  <c r="G16" i="4"/>
  <c r="K16" i="4"/>
  <c r="K32" i="4"/>
  <c r="G17" i="4"/>
  <c r="K17" i="4"/>
  <c r="K33" i="4"/>
  <c r="G18" i="4"/>
  <c r="K18" i="4"/>
  <c r="K34" i="4"/>
  <c r="G19" i="4"/>
  <c r="K19" i="4"/>
  <c r="K35" i="4"/>
  <c r="G20" i="4"/>
  <c r="K20" i="4"/>
  <c r="K36" i="4"/>
  <c r="G21" i="4"/>
  <c r="K21" i="4"/>
  <c r="K37" i="4"/>
  <c r="G22" i="4"/>
  <c r="K22" i="4"/>
  <c r="K38" i="4"/>
  <c r="G23" i="4"/>
  <c r="K23" i="4"/>
  <c r="K39" i="4"/>
  <c r="G13" i="7"/>
  <c r="K13" i="7"/>
  <c r="G14" i="7"/>
  <c r="K14" i="7"/>
  <c r="G15" i="7"/>
  <c r="K15" i="7"/>
  <c r="G16" i="7"/>
  <c r="K16" i="7"/>
  <c r="G17" i="7"/>
  <c r="K17" i="7"/>
  <c r="G18" i="7"/>
  <c r="K18" i="7"/>
  <c r="G19" i="7"/>
  <c r="K19" i="7"/>
  <c r="G20" i="7"/>
  <c r="K20" i="7"/>
  <c r="G21" i="7"/>
  <c r="K21" i="7"/>
  <c r="F17" i="18"/>
  <c r="N17" i="18"/>
  <c r="F40" i="18"/>
  <c r="F13" i="18"/>
  <c r="N13" i="18"/>
  <c r="F24" i="18"/>
  <c r="N24" i="18"/>
  <c r="F36" i="18"/>
  <c r="F14" i="18"/>
  <c r="N14" i="18"/>
  <c r="F25" i="18"/>
  <c r="N25" i="18"/>
  <c r="F37" i="18"/>
  <c r="F15" i="18"/>
  <c r="N15" i="18"/>
  <c r="F26" i="18"/>
  <c r="N26" i="18"/>
  <c r="F38" i="18"/>
  <c r="F16" i="18"/>
  <c r="N16" i="18"/>
  <c r="D16" i="18"/>
  <c r="D27" i="18"/>
  <c r="F27" i="18"/>
  <c r="N27" i="18"/>
  <c r="D39" i="18"/>
  <c r="G39" i="18"/>
  <c r="C39" i="18"/>
  <c r="K39" i="18"/>
  <c r="F12" i="18"/>
  <c r="N12" i="18"/>
  <c r="F23" i="18"/>
  <c r="N23" i="18"/>
  <c r="F35" i="18"/>
  <c r="F10" i="18"/>
  <c r="N10" i="18"/>
  <c r="F22" i="18"/>
  <c r="N22" i="18"/>
  <c r="F11" i="18"/>
  <c r="N11" i="18"/>
  <c r="F8" i="18"/>
  <c r="N8" i="18"/>
  <c r="F21" i="18"/>
  <c r="N21" i="18"/>
  <c r="F9" i="18"/>
  <c r="N9" i="18"/>
  <c r="F33" i="18"/>
  <c r="F7" i="18"/>
  <c r="N7" i="18"/>
  <c r="F20" i="18"/>
  <c r="N20" i="18"/>
  <c r="F5" i="18"/>
  <c r="N5" i="18"/>
  <c r="F19" i="18"/>
  <c r="N19" i="18"/>
  <c r="F31" i="18"/>
  <c r="F4" i="18"/>
  <c r="N4" i="18"/>
  <c r="F18" i="18"/>
  <c r="N18" i="18"/>
  <c r="F30" i="18"/>
  <c r="D7" i="18"/>
  <c r="D20" i="18"/>
  <c r="D5" i="18"/>
  <c r="D19" i="18"/>
  <c r="D15" i="18"/>
  <c r="D26" i="18"/>
  <c r="D14" i="18"/>
  <c r="D25" i="18"/>
  <c r="D37" i="18"/>
  <c r="G37" i="18"/>
  <c r="C37" i="18"/>
  <c r="K37" i="18"/>
  <c r="D13" i="18"/>
  <c r="D24" i="18"/>
  <c r="D12" i="18"/>
  <c r="D23" i="18"/>
  <c r="D35" i="18"/>
  <c r="G35" i="18"/>
  <c r="C35" i="18"/>
  <c r="K35" i="18"/>
  <c r="D10" i="18"/>
  <c r="D22" i="18"/>
  <c r="D11" i="18"/>
  <c r="D8" i="18"/>
  <c r="D21" i="18"/>
  <c r="D9" i="18"/>
  <c r="D4" i="18"/>
  <c r="D18" i="18"/>
  <c r="C31" i="18"/>
  <c r="C32" i="18"/>
  <c r="C33" i="18"/>
  <c r="C34" i="18"/>
  <c r="C36" i="18"/>
  <c r="C38" i="18"/>
  <c r="C30" i="18"/>
  <c r="C40" i="18"/>
  <c r="I25" i="14"/>
  <c r="M25" i="14"/>
  <c r="I26" i="14"/>
  <c r="M26" i="14"/>
  <c r="I27" i="14"/>
  <c r="M27" i="14"/>
  <c r="I28" i="14"/>
  <c r="M28" i="14"/>
  <c r="I29" i="14"/>
  <c r="M29" i="14"/>
  <c r="I30" i="14"/>
  <c r="M30" i="14"/>
  <c r="N5" i="14"/>
  <c r="N6" i="14"/>
  <c r="F22" i="14"/>
  <c r="N7" i="14"/>
  <c r="N8" i="14"/>
  <c r="D23" i="14"/>
  <c r="G23" i="14"/>
  <c r="C23" i="14"/>
  <c r="K23" i="14"/>
  <c r="F23" i="14"/>
  <c r="I23" i="14"/>
  <c r="M23" i="14"/>
  <c r="N9" i="14"/>
  <c r="N10" i="14"/>
  <c r="I21" i="14"/>
  <c r="M21" i="14"/>
  <c r="C25" i="14"/>
  <c r="G25" i="14"/>
  <c r="K25" i="14"/>
  <c r="C26" i="14"/>
  <c r="G26" i="14"/>
  <c r="K26" i="14"/>
  <c r="C27" i="14"/>
  <c r="G27" i="14"/>
  <c r="K27" i="14"/>
  <c r="C28" i="14"/>
  <c r="G28" i="14"/>
  <c r="K28" i="14"/>
  <c r="C29" i="14"/>
  <c r="G29" i="14"/>
  <c r="K29" i="14"/>
  <c r="C30" i="14"/>
  <c r="G30" i="14"/>
  <c r="K30" i="14"/>
  <c r="C22" i="14"/>
  <c r="C24" i="14"/>
  <c r="C21" i="14"/>
  <c r="G21" i="14"/>
  <c r="K21" i="14"/>
  <c r="G4" i="14"/>
  <c r="N11" i="14"/>
  <c r="N12" i="14"/>
  <c r="N13" i="14"/>
  <c r="N14" i="14"/>
  <c r="N15" i="14"/>
  <c r="N16" i="14"/>
  <c r="N4" i="14"/>
  <c r="N10" i="13"/>
  <c r="N11" i="13"/>
  <c r="D25" i="13"/>
  <c r="G25" i="13"/>
  <c r="F25" i="13"/>
  <c r="C25" i="13"/>
  <c r="N8" i="13"/>
  <c r="N9" i="13"/>
  <c r="C24" i="13"/>
  <c r="N6" i="13"/>
  <c r="N7" i="13"/>
  <c r="AB33" i="12"/>
  <c r="W6" i="12"/>
  <c r="U6" i="12"/>
  <c r="AB23" i="12"/>
  <c r="S6" i="12"/>
  <c r="Q6" i="12"/>
  <c r="U4" i="12"/>
  <c r="D4" i="12"/>
  <c r="AB32" i="12"/>
  <c r="W5" i="12"/>
  <c r="U5" i="12"/>
  <c r="AB22" i="12"/>
  <c r="S5" i="12"/>
  <c r="Q5" i="12"/>
  <c r="D5" i="12"/>
  <c r="G5" i="12"/>
  <c r="C5" i="12"/>
  <c r="K5" i="12"/>
  <c r="U7" i="12"/>
  <c r="D7" i="12"/>
  <c r="U8" i="12"/>
  <c r="D8" i="12"/>
  <c r="AB35" i="12"/>
  <c r="W8" i="12"/>
  <c r="F8" i="12"/>
  <c r="I8" i="12"/>
  <c r="M8" i="12"/>
  <c r="U9" i="12"/>
  <c r="D9" i="12"/>
  <c r="U10" i="12"/>
  <c r="D10" i="12"/>
  <c r="U11" i="12"/>
  <c r="D11" i="12"/>
  <c r="U12" i="12"/>
  <c r="D12" i="12"/>
  <c r="U13" i="12"/>
  <c r="D13" i="12"/>
  <c r="C23" i="13"/>
  <c r="X4" i="12"/>
  <c r="J4" i="12"/>
  <c r="I6" i="13"/>
  <c r="M7" i="32"/>
  <c r="U7" i="32"/>
  <c r="K7" i="32"/>
  <c r="M18" i="32"/>
  <c r="U18" i="32"/>
  <c r="K18" i="32"/>
  <c r="K55" i="32"/>
  <c r="N55" i="32"/>
  <c r="R55" i="32"/>
  <c r="C26" i="13"/>
  <c r="C27" i="13"/>
  <c r="C28" i="13"/>
  <c r="C29" i="13"/>
  <c r="C30" i="13"/>
  <c r="C31" i="13"/>
  <c r="C22" i="13"/>
  <c r="C21" i="13"/>
  <c r="N4" i="13"/>
  <c r="N5" i="13"/>
  <c r="N12" i="13"/>
  <c r="N13" i="13"/>
  <c r="N14" i="13"/>
  <c r="N15" i="13"/>
  <c r="N16" i="13"/>
  <c r="N17" i="13"/>
  <c r="G4" i="13"/>
  <c r="C4" i="13"/>
  <c r="K4" i="13"/>
  <c r="P7" i="16"/>
  <c r="P8" i="16"/>
  <c r="P9" i="16"/>
  <c r="D30" i="16"/>
  <c r="D28" i="16"/>
  <c r="O6" i="16"/>
  <c r="X5" i="12"/>
  <c r="J5" i="12"/>
  <c r="F5" i="12"/>
  <c r="I5" i="12"/>
  <c r="M5" i="12"/>
  <c r="X6" i="12"/>
  <c r="F6" i="12"/>
  <c r="X7" i="12"/>
  <c r="J7" i="12"/>
  <c r="AB34" i="12"/>
  <c r="W7" i="12"/>
  <c r="F7" i="12"/>
  <c r="I7" i="12"/>
  <c r="M7" i="12"/>
  <c r="X8" i="12"/>
  <c r="J8" i="12"/>
  <c r="X9" i="12"/>
  <c r="J9" i="12"/>
  <c r="AB36" i="12"/>
  <c r="W9" i="12"/>
  <c r="F9" i="12"/>
  <c r="I9" i="12"/>
  <c r="M9" i="12"/>
  <c r="X10" i="12"/>
  <c r="J10" i="12"/>
  <c r="AB37" i="12"/>
  <c r="W10" i="12"/>
  <c r="F10" i="12"/>
  <c r="X11" i="12"/>
  <c r="J11" i="12"/>
  <c r="AB38" i="12"/>
  <c r="W11" i="12"/>
  <c r="F11" i="12"/>
  <c r="I11" i="12"/>
  <c r="M11" i="12"/>
  <c r="X12" i="12"/>
  <c r="J12" i="12"/>
  <c r="AB39" i="12"/>
  <c r="W12" i="12"/>
  <c r="F12" i="12"/>
  <c r="X13" i="12"/>
  <c r="J13" i="12"/>
  <c r="AB40" i="12"/>
  <c r="W13" i="12"/>
  <c r="F13" i="12"/>
  <c r="I13" i="12"/>
  <c r="M13" i="12"/>
  <c r="AB31" i="12"/>
  <c r="W4" i="12"/>
  <c r="F4" i="12"/>
  <c r="F4" i="10"/>
  <c r="D4" i="10"/>
  <c r="I4" i="10"/>
  <c r="M4" i="10"/>
  <c r="F6" i="10"/>
  <c r="F8" i="10"/>
  <c r="F9" i="10"/>
  <c r="F10" i="10"/>
  <c r="F11" i="10"/>
  <c r="F12" i="10"/>
  <c r="F13" i="10"/>
  <c r="F14" i="10"/>
  <c r="D14" i="10"/>
  <c r="I14" i="10"/>
  <c r="M14" i="10"/>
  <c r="D5" i="10"/>
  <c r="D6" i="10"/>
  <c r="G6" i="10"/>
  <c r="C6" i="10"/>
  <c r="K6" i="10"/>
  <c r="D7" i="10"/>
  <c r="D8" i="10"/>
  <c r="D9" i="10"/>
  <c r="D10" i="10"/>
  <c r="D11" i="10"/>
  <c r="D12" i="10"/>
  <c r="D13" i="10"/>
  <c r="G5" i="14"/>
  <c r="I5" i="14"/>
  <c r="M5" i="14"/>
  <c r="C5" i="14"/>
  <c r="K5" i="14"/>
  <c r="G6" i="14"/>
  <c r="I6" i="14"/>
  <c r="M6" i="14"/>
  <c r="C6" i="14"/>
  <c r="K6" i="14"/>
  <c r="G7" i="14"/>
  <c r="C7" i="14"/>
  <c r="K7" i="14"/>
  <c r="I7" i="14"/>
  <c r="M7" i="14"/>
  <c r="G8" i="14"/>
  <c r="C8" i="14"/>
  <c r="K8" i="14"/>
  <c r="I8" i="14"/>
  <c r="M8" i="14"/>
  <c r="G9" i="14"/>
  <c r="I9" i="14"/>
  <c r="M9" i="14"/>
  <c r="C9" i="14"/>
  <c r="K9" i="14"/>
  <c r="G10" i="14"/>
  <c r="C10" i="14"/>
  <c r="K10" i="14"/>
  <c r="I10" i="14"/>
  <c r="M10" i="14"/>
  <c r="G11" i="14"/>
  <c r="I11" i="14"/>
  <c r="C11" i="14"/>
  <c r="K11" i="14"/>
  <c r="M11" i="14"/>
  <c r="G12" i="14"/>
  <c r="I12" i="14"/>
  <c r="M12" i="14"/>
  <c r="C12" i="14"/>
  <c r="K12" i="14"/>
  <c r="G13" i="14"/>
  <c r="I13" i="14"/>
  <c r="M13" i="14"/>
  <c r="C13" i="14"/>
  <c r="K13" i="14"/>
  <c r="G14" i="14"/>
  <c r="I14" i="14"/>
  <c r="M14" i="14"/>
  <c r="C14" i="14"/>
  <c r="K14" i="14"/>
  <c r="I4" i="14"/>
  <c r="M4" i="14"/>
  <c r="C4" i="14"/>
  <c r="K4" i="14"/>
  <c r="G5" i="13"/>
  <c r="I5" i="13"/>
  <c r="C5" i="13"/>
  <c r="K5" i="13"/>
  <c r="M5" i="13"/>
  <c r="G6" i="13"/>
  <c r="C6" i="13"/>
  <c r="K6" i="13"/>
  <c r="M6" i="13"/>
  <c r="G7" i="13"/>
  <c r="I7" i="13"/>
  <c r="M7" i="13"/>
  <c r="C7" i="13"/>
  <c r="K7" i="13"/>
  <c r="G8" i="13"/>
  <c r="I8" i="13"/>
  <c r="M8" i="13"/>
  <c r="C8" i="13"/>
  <c r="K8" i="13"/>
  <c r="G9" i="13"/>
  <c r="I9" i="13"/>
  <c r="M9" i="13"/>
  <c r="C9" i="13"/>
  <c r="K9" i="13"/>
  <c r="G10" i="13"/>
  <c r="I10" i="13"/>
  <c r="M10" i="13"/>
  <c r="C10" i="13"/>
  <c r="K10" i="13"/>
  <c r="G11" i="13"/>
  <c r="I11" i="13"/>
  <c r="M11" i="13"/>
  <c r="C11" i="13"/>
  <c r="K11" i="13"/>
  <c r="G12" i="13"/>
  <c r="I12" i="13"/>
  <c r="M12" i="13"/>
  <c r="C12" i="13"/>
  <c r="K12" i="13"/>
  <c r="G13" i="13"/>
  <c r="I13" i="13"/>
  <c r="M13" i="13"/>
  <c r="C13" i="13"/>
  <c r="K13" i="13"/>
  <c r="G14" i="13"/>
  <c r="I14" i="13"/>
  <c r="M14" i="13"/>
  <c r="C14" i="13"/>
  <c r="K14" i="13"/>
  <c r="I4" i="13"/>
  <c r="M4" i="13"/>
  <c r="C6" i="12"/>
  <c r="G7" i="12"/>
  <c r="C7" i="12"/>
  <c r="K7" i="12"/>
  <c r="C8" i="12"/>
  <c r="G9" i="12"/>
  <c r="C9" i="12"/>
  <c r="K9" i="12"/>
  <c r="G10" i="12"/>
  <c r="I10" i="12"/>
  <c r="M10" i="12"/>
  <c r="C10" i="12"/>
  <c r="K10" i="12"/>
  <c r="G11" i="12"/>
  <c r="C11" i="12"/>
  <c r="K11" i="12"/>
  <c r="C12" i="12"/>
  <c r="G13" i="12"/>
  <c r="C13" i="12"/>
  <c r="K13" i="12"/>
  <c r="C4" i="12"/>
  <c r="F5" i="10"/>
  <c r="I5" i="10"/>
  <c r="M5" i="10"/>
  <c r="G5" i="10"/>
  <c r="J5" i="10"/>
  <c r="C5" i="10"/>
  <c r="I6" i="10"/>
  <c r="J6" i="10"/>
  <c r="M6" i="10"/>
  <c r="F7" i="10"/>
  <c r="I7" i="10"/>
  <c r="M7" i="10"/>
  <c r="G7" i="10"/>
  <c r="J7" i="10"/>
  <c r="C7" i="10"/>
  <c r="K7" i="10"/>
  <c r="G8" i="10"/>
  <c r="I8" i="10"/>
  <c r="J8" i="10"/>
  <c r="C8" i="10"/>
  <c r="K8" i="10"/>
  <c r="M8" i="10"/>
  <c r="G9" i="10"/>
  <c r="I9" i="10"/>
  <c r="J9" i="10"/>
  <c r="C9" i="10"/>
  <c r="K9" i="10"/>
  <c r="M9" i="10"/>
  <c r="G10" i="10"/>
  <c r="I10" i="10"/>
  <c r="M10" i="10"/>
  <c r="J10" i="10"/>
  <c r="C10" i="10"/>
  <c r="K10" i="10"/>
  <c r="J11" i="10"/>
  <c r="C11" i="10"/>
  <c r="G12" i="10"/>
  <c r="I12" i="10"/>
  <c r="M12" i="10"/>
  <c r="J12" i="10"/>
  <c r="C12" i="10"/>
  <c r="G13" i="10"/>
  <c r="I13" i="10"/>
  <c r="J13" i="10"/>
  <c r="C13" i="10"/>
  <c r="K13" i="10"/>
  <c r="M13" i="10"/>
  <c r="G14" i="10"/>
  <c r="C14" i="10"/>
  <c r="K14" i="10"/>
  <c r="J14" i="10"/>
  <c r="C4" i="10"/>
  <c r="G4" i="10"/>
  <c r="K4" i="10"/>
  <c r="J4" i="10"/>
  <c r="J29" i="4"/>
  <c r="J22" i="11"/>
  <c r="J7" i="21"/>
  <c r="J23" i="21"/>
  <c r="J30" i="4"/>
  <c r="J18" i="6"/>
  <c r="J23" i="11"/>
  <c r="J8" i="21"/>
  <c r="J24" i="21"/>
  <c r="J31" i="4"/>
  <c r="J19" i="6"/>
  <c r="J24" i="11"/>
  <c r="J9" i="21"/>
  <c r="J25" i="21"/>
  <c r="J32" i="4"/>
  <c r="J18" i="2"/>
  <c r="J20" i="6"/>
  <c r="J25" i="11"/>
  <c r="J10" i="21"/>
  <c r="J26" i="21"/>
  <c r="J33" i="4"/>
  <c r="J19" i="2"/>
  <c r="J9" i="6"/>
  <c r="J21" i="6"/>
  <c r="J26" i="11"/>
  <c r="J11" i="21"/>
  <c r="J27" i="21"/>
  <c r="J34" i="4"/>
  <c r="J20" i="2"/>
  <c r="J10" i="6"/>
  <c r="J22" i="6"/>
  <c r="J27" i="11"/>
  <c r="J12" i="21"/>
  <c r="J28" i="21"/>
  <c r="J35" i="4"/>
  <c r="J21" i="2"/>
  <c r="J23" i="6"/>
  <c r="J28" i="11"/>
  <c r="J13" i="21"/>
  <c r="J29" i="21"/>
  <c r="J36" i="4"/>
  <c r="J22" i="2"/>
  <c r="J29" i="11"/>
  <c r="J14" i="21"/>
  <c r="J30" i="21"/>
  <c r="J37" i="4"/>
  <c r="J30" i="11"/>
  <c r="J15" i="21"/>
  <c r="J31" i="21"/>
  <c r="J38" i="4"/>
  <c r="J31" i="11"/>
  <c r="J16" i="21"/>
  <c r="J32" i="21"/>
  <c r="J39" i="4"/>
  <c r="J32" i="11"/>
  <c r="J17" i="21"/>
  <c r="J33" i="21"/>
  <c r="I20" i="7"/>
  <c r="M20" i="7"/>
  <c r="I18" i="4"/>
  <c r="M18" i="4"/>
  <c r="M34" i="4"/>
  <c r="L34" i="4"/>
  <c r="I34" i="4"/>
  <c r="H34" i="4"/>
  <c r="G34" i="4"/>
  <c r="E34" i="4"/>
  <c r="I15" i="7"/>
  <c r="M15" i="7"/>
  <c r="M9" i="11"/>
  <c r="M24" i="11"/>
  <c r="L24" i="11"/>
  <c r="I24" i="11"/>
  <c r="H24" i="11"/>
  <c r="G24" i="11"/>
  <c r="E24" i="11"/>
  <c r="I14" i="7"/>
  <c r="M14" i="7"/>
  <c r="I8" i="21"/>
  <c r="M8" i="21"/>
  <c r="M24" i="21"/>
  <c r="L24" i="21"/>
  <c r="I24" i="21"/>
  <c r="H24" i="21"/>
  <c r="E24" i="21"/>
  <c r="I13" i="7"/>
  <c r="M13" i="7"/>
  <c r="L59" i="7"/>
  <c r="H59" i="7"/>
  <c r="E59" i="7"/>
  <c r="J6" i="38"/>
  <c r="N6" i="38"/>
  <c r="R6" i="38"/>
  <c r="P6" i="38"/>
  <c r="T6" i="38"/>
  <c r="J7" i="38"/>
  <c r="N7" i="38"/>
  <c r="R7" i="38"/>
  <c r="P7" i="38"/>
  <c r="T7" i="38"/>
  <c r="J8" i="38"/>
  <c r="N8" i="38"/>
  <c r="R8" i="38"/>
  <c r="P8" i="38"/>
  <c r="T8" i="38"/>
  <c r="W8" i="38"/>
  <c r="J9" i="38"/>
  <c r="N9" i="38"/>
  <c r="R9" i="38"/>
  <c r="P9" i="38"/>
  <c r="T9" i="38"/>
  <c r="V9" i="38"/>
  <c r="J10" i="38"/>
  <c r="N10" i="38"/>
  <c r="R10" i="38"/>
  <c r="P10" i="38"/>
  <c r="T10" i="38"/>
  <c r="V10" i="38"/>
  <c r="W10" i="38"/>
  <c r="J11" i="38"/>
  <c r="N11" i="38"/>
  <c r="R11" i="38"/>
  <c r="P11" i="38"/>
  <c r="T11" i="38"/>
  <c r="J12" i="38"/>
  <c r="N12" i="38"/>
  <c r="R12" i="38"/>
  <c r="P12" i="38"/>
  <c r="T12" i="38"/>
  <c r="V12" i="38"/>
  <c r="W12" i="38"/>
  <c r="J13" i="38"/>
  <c r="N13" i="38"/>
  <c r="R13" i="38"/>
  <c r="P13" i="38"/>
  <c r="T13" i="38"/>
  <c r="W13" i="38"/>
  <c r="J14" i="38"/>
  <c r="N14" i="38"/>
  <c r="R14" i="38"/>
  <c r="P14" i="38"/>
  <c r="T14" i="38"/>
  <c r="J15" i="38"/>
  <c r="N15" i="38"/>
  <c r="R15" i="38"/>
  <c r="P15" i="38"/>
  <c r="T15" i="38"/>
  <c r="J5" i="38"/>
  <c r="N5" i="38"/>
  <c r="R5" i="38"/>
  <c r="P5" i="38"/>
  <c r="T5" i="38"/>
  <c r="V8" i="38"/>
  <c r="L7" i="41"/>
  <c r="M7" i="41"/>
  <c r="P7" i="41"/>
  <c r="T7" i="41"/>
  <c r="L6" i="41"/>
  <c r="M6" i="41"/>
  <c r="P6" i="41"/>
  <c r="T6" i="41"/>
  <c r="L8" i="41"/>
  <c r="M8" i="41"/>
  <c r="P8" i="41"/>
  <c r="T8" i="41"/>
  <c r="L9" i="41"/>
  <c r="M9" i="41"/>
  <c r="P9" i="41"/>
  <c r="T9" i="41"/>
  <c r="Y9" i="41"/>
  <c r="L10" i="41"/>
  <c r="M10" i="41"/>
  <c r="P10" i="41"/>
  <c r="L11" i="41"/>
  <c r="M11" i="41"/>
  <c r="P11" i="41"/>
  <c r="L12" i="41"/>
  <c r="M12" i="41"/>
  <c r="P12" i="41"/>
  <c r="T12" i="41"/>
  <c r="L13" i="41"/>
  <c r="M13" i="41"/>
  <c r="P13" i="41"/>
  <c r="T13" i="41"/>
  <c r="Y13" i="41"/>
  <c r="L14" i="41"/>
  <c r="M14" i="41"/>
  <c r="P14" i="41"/>
  <c r="L15" i="41"/>
  <c r="M15" i="41"/>
  <c r="P15" i="41"/>
  <c r="T15" i="41"/>
  <c r="L16" i="41"/>
  <c r="M16" i="41"/>
  <c r="P16" i="41"/>
  <c r="T16" i="41"/>
  <c r="Y16" i="41"/>
  <c r="L17" i="41"/>
  <c r="M17" i="41"/>
  <c r="P17" i="41"/>
  <c r="T17" i="41"/>
  <c r="L18" i="41"/>
  <c r="M18" i="41"/>
  <c r="P18" i="41"/>
  <c r="T18" i="41"/>
  <c r="L19" i="41"/>
  <c r="M19" i="41"/>
  <c r="P19" i="41"/>
  <c r="T19" i="41"/>
  <c r="Y19" i="41"/>
  <c r="L20" i="41"/>
  <c r="M20" i="41"/>
  <c r="P20" i="41"/>
  <c r="T20" i="41"/>
  <c r="Y20" i="41"/>
  <c r="L21" i="41"/>
  <c r="M21" i="41"/>
  <c r="P21" i="41"/>
  <c r="T21" i="41"/>
  <c r="Y21" i="41"/>
  <c r="L22" i="41"/>
  <c r="M22" i="41"/>
  <c r="P22" i="41"/>
  <c r="L23" i="41"/>
  <c r="M23" i="41"/>
  <c r="P23" i="41"/>
  <c r="T23" i="41"/>
  <c r="L5" i="41"/>
  <c r="M5" i="41"/>
  <c r="P5" i="41"/>
  <c r="T5" i="41"/>
  <c r="J5" i="46"/>
  <c r="K5" i="46"/>
  <c r="N5" i="46"/>
  <c r="R5" i="46"/>
  <c r="M5" i="46"/>
  <c r="P5" i="46"/>
  <c r="T5" i="46"/>
  <c r="M5" i="32"/>
  <c r="K5" i="32"/>
  <c r="P5" i="32"/>
  <c r="T5" i="32"/>
  <c r="J5" i="32"/>
  <c r="N5" i="32"/>
  <c r="R5" i="32"/>
  <c r="O7" i="41"/>
  <c r="W7" i="41"/>
  <c r="O8" i="41"/>
  <c r="W8" i="41"/>
  <c r="O9" i="41"/>
  <c r="W9" i="41"/>
  <c r="M5" i="42"/>
  <c r="K5" i="42"/>
  <c r="N5" i="42"/>
  <c r="P5" i="42"/>
  <c r="T5" i="42"/>
  <c r="J5" i="42"/>
  <c r="R5" i="42"/>
  <c r="Q5" i="46"/>
  <c r="J6" i="46"/>
  <c r="K6" i="46"/>
  <c r="J7" i="46"/>
  <c r="K7" i="46"/>
  <c r="N7" i="46"/>
  <c r="J8" i="46"/>
  <c r="K8" i="46"/>
  <c r="N8" i="46"/>
  <c r="R8" i="46"/>
  <c r="J9" i="46"/>
  <c r="J10" i="46"/>
  <c r="K10" i="46"/>
  <c r="N10" i="46"/>
  <c r="J11" i="46"/>
  <c r="K11" i="46"/>
  <c r="N11" i="46"/>
  <c r="J12" i="46"/>
  <c r="J13" i="46"/>
  <c r="K13" i="46"/>
  <c r="N13" i="46"/>
  <c r="R13" i="46"/>
  <c r="J14" i="46"/>
  <c r="K14" i="46"/>
  <c r="N14" i="46"/>
  <c r="R14" i="46"/>
  <c r="J15" i="46"/>
  <c r="K15" i="46"/>
  <c r="N15" i="46"/>
  <c r="R15" i="46"/>
  <c r="M6" i="46"/>
  <c r="Q6" i="46"/>
  <c r="Q15" i="46"/>
  <c r="M15" i="46"/>
  <c r="P15" i="46"/>
  <c r="T15" i="46"/>
  <c r="M11" i="46"/>
  <c r="K9" i="46"/>
  <c r="K12" i="46"/>
  <c r="M14" i="46"/>
  <c r="P14" i="46"/>
  <c r="T14" i="46"/>
  <c r="Q14" i="46"/>
  <c r="M13" i="46"/>
  <c r="P13" i="46"/>
  <c r="T13" i="46"/>
  <c r="Q13" i="46"/>
  <c r="M12" i="46"/>
  <c r="Q12" i="46"/>
  <c r="P11" i="46"/>
  <c r="T11" i="46"/>
  <c r="Q11" i="46"/>
  <c r="M10" i="46"/>
  <c r="P10" i="46"/>
  <c r="T10" i="46"/>
  <c r="Q10" i="46"/>
  <c r="M9" i="46"/>
  <c r="P9" i="46"/>
  <c r="T9" i="46"/>
  <c r="N9" i="46"/>
  <c r="R9" i="46"/>
  <c r="Q9" i="46"/>
  <c r="M8" i="46"/>
  <c r="P8" i="46"/>
  <c r="T8" i="46"/>
  <c r="Q8" i="46"/>
  <c r="M7" i="46"/>
  <c r="P7" i="46"/>
  <c r="T7" i="46"/>
  <c r="Q7" i="46"/>
  <c r="Q5" i="45"/>
  <c r="J6" i="45"/>
  <c r="K6" i="45"/>
  <c r="N6" i="45"/>
  <c r="R6" i="45"/>
  <c r="J7" i="45"/>
  <c r="J8" i="45"/>
  <c r="J9" i="45"/>
  <c r="J10" i="45"/>
  <c r="K10" i="45"/>
  <c r="N10" i="45"/>
  <c r="R10" i="45"/>
  <c r="J11" i="45"/>
  <c r="J12" i="45"/>
  <c r="J13" i="45"/>
  <c r="J14" i="45"/>
  <c r="K14" i="45"/>
  <c r="N14" i="45"/>
  <c r="R14" i="45"/>
  <c r="M14" i="45"/>
  <c r="P14" i="45"/>
  <c r="T14" i="45"/>
  <c r="Q14" i="45"/>
  <c r="M13" i="45"/>
  <c r="K13" i="45"/>
  <c r="P13" i="45"/>
  <c r="T13" i="45"/>
  <c r="N13" i="45"/>
  <c r="R13" i="45"/>
  <c r="Q13" i="45"/>
  <c r="M12" i="45"/>
  <c r="K12" i="45"/>
  <c r="P12" i="45"/>
  <c r="N12" i="45"/>
  <c r="R12" i="45"/>
  <c r="T12" i="45"/>
  <c r="Q12" i="45"/>
  <c r="M11" i="45"/>
  <c r="K11" i="45"/>
  <c r="P11" i="45"/>
  <c r="T11" i="45"/>
  <c r="N11" i="45"/>
  <c r="Q11" i="45"/>
  <c r="M10" i="45"/>
  <c r="P10" i="45"/>
  <c r="T10" i="45"/>
  <c r="Q10" i="45"/>
  <c r="M9" i="45"/>
  <c r="K9" i="45"/>
  <c r="P9" i="45"/>
  <c r="T9" i="45"/>
  <c r="N9" i="45"/>
  <c r="Q9" i="45"/>
  <c r="M8" i="45"/>
  <c r="K8" i="45"/>
  <c r="N8" i="45"/>
  <c r="R8" i="45"/>
  <c r="Q8" i="45"/>
  <c r="M7" i="45"/>
  <c r="K7" i="45"/>
  <c r="P7" i="45"/>
  <c r="T7" i="45"/>
  <c r="N7" i="45"/>
  <c r="R7" i="45"/>
  <c r="Q7" i="45"/>
  <c r="M6" i="45"/>
  <c r="P6" i="45"/>
  <c r="T6" i="45"/>
  <c r="Q6" i="45"/>
  <c r="N40" i="35"/>
  <c r="R40" i="35"/>
  <c r="M7" i="35"/>
  <c r="K7" i="35"/>
  <c r="N7" i="35"/>
  <c r="J7" i="35"/>
  <c r="R7" i="35"/>
  <c r="J20" i="35"/>
  <c r="K20" i="35"/>
  <c r="N20" i="35"/>
  <c r="R20" i="35"/>
  <c r="U7" i="35"/>
  <c r="M20" i="35"/>
  <c r="M31" i="35"/>
  <c r="K31" i="35"/>
  <c r="N31" i="35"/>
  <c r="Q8" i="35"/>
  <c r="M8" i="35"/>
  <c r="Y8" i="35"/>
  <c r="Q21" i="35"/>
  <c r="M21" i="35"/>
  <c r="Y21" i="35"/>
  <c r="Q32" i="35"/>
  <c r="M32" i="35"/>
  <c r="Q9" i="35"/>
  <c r="M9" i="35"/>
  <c r="Y9" i="35"/>
  <c r="Q22" i="35"/>
  <c r="M22" i="35"/>
  <c r="Y22" i="35"/>
  <c r="Q33" i="35"/>
  <c r="M33" i="35"/>
  <c r="Y33" i="35"/>
  <c r="Q10" i="35"/>
  <c r="M10" i="35"/>
  <c r="Y10" i="35"/>
  <c r="Q23" i="35"/>
  <c r="M23" i="35"/>
  <c r="Y23" i="35"/>
  <c r="Q34" i="35"/>
  <c r="M34" i="35"/>
  <c r="Y34" i="35"/>
  <c r="K10" i="35"/>
  <c r="K23" i="35"/>
  <c r="K34" i="35"/>
  <c r="K45" i="35"/>
  <c r="N45" i="35"/>
  <c r="R45" i="35"/>
  <c r="Q11" i="35"/>
  <c r="M11" i="35"/>
  <c r="Q24" i="35"/>
  <c r="M24" i="35"/>
  <c r="Q35" i="35"/>
  <c r="M35" i="35"/>
  <c r="Y35" i="35"/>
  <c r="Q7" i="35"/>
  <c r="Q20" i="35"/>
  <c r="Q31" i="35"/>
  <c r="M44" i="35"/>
  <c r="M12" i="35"/>
  <c r="K12" i="35"/>
  <c r="N12" i="35"/>
  <c r="M25" i="35"/>
  <c r="Y25" i="35"/>
  <c r="K25" i="35"/>
  <c r="N25" i="35"/>
  <c r="K8" i="35"/>
  <c r="K21" i="35"/>
  <c r="N21" i="35"/>
  <c r="K32" i="35"/>
  <c r="K9" i="35"/>
  <c r="K22" i="35"/>
  <c r="N22" i="35"/>
  <c r="J22" i="35"/>
  <c r="R22" i="35"/>
  <c r="K33" i="35"/>
  <c r="K11" i="35"/>
  <c r="K24" i="35"/>
  <c r="N24" i="35"/>
  <c r="K35" i="35"/>
  <c r="N35" i="35"/>
  <c r="M6" i="35"/>
  <c r="Y6" i="35"/>
  <c r="K6" i="35"/>
  <c r="M19" i="35"/>
  <c r="Y19" i="35"/>
  <c r="K19" i="35"/>
  <c r="K41" i="35"/>
  <c r="N41" i="35"/>
  <c r="R41" i="35"/>
  <c r="N19" i="35"/>
  <c r="M13" i="35"/>
  <c r="Y13" i="35"/>
  <c r="K13" i="35"/>
  <c r="P13" i="35"/>
  <c r="M26" i="35"/>
  <c r="Y26" i="35"/>
  <c r="M48" i="35"/>
  <c r="K26" i="35"/>
  <c r="K48" i="35"/>
  <c r="P48" i="35"/>
  <c r="T48" i="35"/>
  <c r="N48" i="35"/>
  <c r="M14" i="35"/>
  <c r="Y14" i="35"/>
  <c r="K14" i="35"/>
  <c r="M27" i="35"/>
  <c r="Y27" i="35"/>
  <c r="K27" i="35"/>
  <c r="M15" i="35"/>
  <c r="Y15" i="35"/>
  <c r="K15" i="35"/>
  <c r="M28" i="35"/>
  <c r="Y28" i="35"/>
  <c r="K28" i="35"/>
  <c r="K50" i="35"/>
  <c r="N50" i="35"/>
  <c r="R50" i="35"/>
  <c r="J31" i="35"/>
  <c r="P35" i="35"/>
  <c r="T35" i="35"/>
  <c r="J35" i="35"/>
  <c r="R35" i="35"/>
  <c r="P34" i="35"/>
  <c r="T34" i="35"/>
  <c r="J34" i="35"/>
  <c r="N34" i="35"/>
  <c r="R34" i="35"/>
  <c r="P33" i="35"/>
  <c r="T33" i="35"/>
  <c r="J33" i="35"/>
  <c r="N33" i="35"/>
  <c r="J32" i="35"/>
  <c r="N32" i="35"/>
  <c r="R32" i="35"/>
  <c r="J5" i="35"/>
  <c r="N5" i="35"/>
  <c r="R5" i="35"/>
  <c r="J18" i="35"/>
  <c r="N18" i="35"/>
  <c r="P5" i="35"/>
  <c r="T5" i="35"/>
  <c r="P18" i="35"/>
  <c r="T18" i="35"/>
  <c r="V5" i="35"/>
  <c r="J6" i="35"/>
  <c r="N6" i="35"/>
  <c r="R6" i="35"/>
  <c r="J19" i="35"/>
  <c r="P6" i="35"/>
  <c r="T6" i="35"/>
  <c r="P19" i="35"/>
  <c r="T19" i="35"/>
  <c r="V6" i="35"/>
  <c r="J8" i="35"/>
  <c r="N8" i="35"/>
  <c r="R8" i="35"/>
  <c r="J21" i="35"/>
  <c r="R21" i="35"/>
  <c r="P8" i="35"/>
  <c r="T8" i="35"/>
  <c r="J9" i="35"/>
  <c r="N9" i="35"/>
  <c r="R9" i="35"/>
  <c r="U9" i="35"/>
  <c r="P9" i="35"/>
  <c r="T9" i="35"/>
  <c r="J10" i="35"/>
  <c r="N10" i="35"/>
  <c r="R10" i="35"/>
  <c r="J23" i="35"/>
  <c r="P10" i="35"/>
  <c r="T10" i="35"/>
  <c r="J11" i="35"/>
  <c r="N11" i="35"/>
  <c r="R11" i="35"/>
  <c r="J24" i="35"/>
  <c r="J12" i="35"/>
  <c r="J25" i="35"/>
  <c r="R25" i="35"/>
  <c r="P25" i="35"/>
  <c r="T25" i="35"/>
  <c r="J13" i="35"/>
  <c r="N13" i="35"/>
  <c r="R13" i="35"/>
  <c r="J26" i="35"/>
  <c r="N26" i="35"/>
  <c r="T13" i="35"/>
  <c r="P26" i="35"/>
  <c r="T26" i="35"/>
  <c r="V13" i="35"/>
  <c r="J14" i="35"/>
  <c r="N14" i="35"/>
  <c r="R14" i="35"/>
  <c r="J27" i="35"/>
  <c r="N27" i="35"/>
  <c r="P14" i="35"/>
  <c r="T14" i="35"/>
  <c r="P27" i="35"/>
  <c r="T27" i="35"/>
  <c r="V14" i="35"/>
  <c r="J15" i="35"/>
  <c r="N15" i="35"/>
  <c r="R15" i="35"/>
  <c r="J28" i="35"/>
  <c r="N28" i="35"/>
  <c r="R28" i="35"/>
  <c r="U15" i="35"/>
  <c r="P15" i="35"/>
  <c r="T15" i="35"/>
  <c r="P28" i="35"/>
  <c r="T28" i="35"/>
  <c r="M5" i="43"/>
  <c r="K5" i="43"/>
  <c r="P5" i="43"/>
  <c r="T5" i="43"/>
  <c r="J5" i="43"/>
  <c r="N5" i="43"/>
  <c r="Q5" i="43"/>
  <c r="M15" i="43"/>
  <c r="K15" i="43"/>
  <c r="P15" i="43"/>
  <c r="T15" i="43"/>
  <c r="J15" i="43"/>
  <c r="N15" i="43"/>
  <c r="Q15" i="43"/>
  <c r="M14" i="43"/>
  <c r="K14" i="43"/>
  <c r="N14" i="43"/>
  <c r="P14" i="43"/>
  <c r="T14" i="43"/>
  <c r="J14" i="43"/>
  <c r="Q14" i="43"/>
  <c r="M13" i="43"/>
  <c r="K13" i="43"/>
  <c r="P13" i="43"/>
  <c r="T13" i="43"/>
  <c r="J13" i="43"/>
  <c r="N13" i="43"/>
  <c r="Q13" i="43"/>
  <c r="M12" i="43"/>
  <c r="K12" i="43"/>
  <c r="P12" i="43"/>
  <c r="T12" i="43"/>
  <c r="J12" i="43"/>
  <c r="N12" i="43"/>
  <c r="Q12" i="43"/>
  <c r="M11" i="43"/>
  <c r="K11" i="43"/>
  <c r="P11" i="43"/>
  <c r="T11" i="43"/>
  <c r="J11" i="43"/>
  <c r="N11" i="43"/>
  <c r="Q11" i="43"/>
  <c r="M10" i="43"/>
  <c r="K10" i="43"/>
  <c r="N10" i="43"/>
  <c r="P10" i="43"/>
  <c r="T10" i="43"/>
  <c r="J10" i="43"/>
  <c r="Q10" i="43"/>
  <c r="M9" i="43"/>
  <c r="K9" i="43"/>
  <c r="P9" i="43"/>
  <c r="T9" i="43"/>
  <c r="J9" i="43"/>
  <c r="N9" i="43"/>
  <c r="Q9" i="43"/>
  <c r="M8" i="43"/>
  <c r="K8" i="43"/>
  <c r="P8" i="43"/>
  <c r="T8" i="43"/>
  <c r="J8" i="43"/>
  <c r="N8" i="43"/>
  <c r="Q8" i="43"/>
  <c r="M7" i="43"/>
  <c r="K7" i="43"/>
  <c r="P7" i="43"/>
  <c r="T7" i="43"/>
  <c r="J7" i="43"/>
  <c r="N7" i="43"/>
  <c r="Q7" i="43"/>
  <c r="M6" i="43"/>
  <c r="K6" i="43"/>
  <c r="N6" i="43"/>
  <c r="P6" i="43"/>
  <c r="T6" i="43"/>
  <c r="J6" i="43"/>
  <c r="Q6" i="43"/>
  <c r="Q5" i="42"/>
  <c r="M15" i="42"/>
  <c r="K15" i="42"/>
  <c r="N15" i="42"/>
  <c r="J15" i="42"/>
  <c r="R15" i="42"/>
  <c r="Q15" i="42"/>
  <c r="M14" i="42"/>
  <c r="K14" i="42"/>
  <c r="N14" i="42"/>
  <c r="J14" i="42"/>
  <c r="R14" i="42"/>
  <c r="Q14" i="42"/>
  <c r="M13" i="42"/>
  <c r="K13" i="42"/>
  <c r="N13" i="42"/>
  <c r="J13" i="42"/>
  <c r="Q13" i="42"/>
  <c r="M12" i="42"/>
  <c r="K12" i="42"/>
  <c r="P12" i="42"/>
  <c r="T12" i="42"/>
  <c r="N12" i="42"/>
  <c r="J12" i="42"/>
  <c r="R12" i="42"/>
  <c r="Q12" i="42"/>
  <c r="M11" i="42"/>
  <c r="K11" i="42"/>
  <c r="P11" i="42"/>
  <c r="T11" i="42"/>
  <c r="N11" i="42"/>
  <c r="J11" i="42"/>
  <c r="R11" i="42"/>
  <c r="Q11" i="42"/>
  <c r="M10" i="42"/>
  <c r="K10" i="42"/>
  <c r="P10" i="42"/>
  <c r="T10" i="42"/>
  <c r="N10" i="42"/>
  <c r="J10" i="42"/>
  <c r="R10" i="42"/>
  <c r="Q10" i="42"/>
  <c r="M9" i="42"/>
  <c r="K9" i="42"/>
  <c r="N9" i="42"/>
  <c r="J9" i="42"/>
  <c r="R9" i="42"/>
  <c r="Q9" i="42"/>
  <c r="M8" i="42"/>
  <c r="K8" i="42"/>
  <c r="P8" i="42"/>
  <c r="T8" i="42"/>
  <c r="N8" i="42"/>
  <c r="J8" i="42"/>
  <c r="R8" i="42"/>
  <c r="Q8" i="42"/>
  <c r="M7" i="42"/>
  <c r="K7" i="42"/>
  <c r="N7" i="42"/>
  <c r="J7" i="42"/>
  <c r="R7" i="42"/>
  <c r="Q7" i="42"/>
  <c r="M6" i="42"/>
  <c r="K6" i="42"/>
  <c r="N6" i="42"/>
  <c r="J6" i="42"/>
  <c r="R6" i="42"/>
  <c r="Q6" i="42"/>
  <c r="M49" i="35"/>
  <c r="M50" i="35"/>
  <c r="P50" i="35"/>
  <c r="T50" i="35"/>
  <c r="M40" i="35"/>
  <c r="P40" i="35"/>
  <c r="T40" i="35"/>
  <c r="M41" i="35"/>
  <c r="R48" i="35"/>
  <c r="Q5" i="35"/>
  <c r="Q18" i="35"/>
  <c r="Q40" i="35"/>
  <c r="Q6" i="35"/>
  <c r="Q19" i="35"/>
  <c r="Q41" i="35"/>
  <c r="Q12" i="35"/>
  <c r="Q25" i="35"/>
  <c r="Q13" i="35"/>
  <c r="Q26" i="35"/>
  <c r="Q48" i="35"/>
  <c r="Q14" i="35"/>
  <c r="Q27" i="35"/>
  <c r="Q49" i="35"/>
  <c r="Q15" i="35"/>
  <c r="Q28" i="35"/>
  <c r="Q50" i="35"/>
  <c r="Q8" i="33"/>
  <c r="Q19" i="33"/>
  <c r="Q9" i="33"/>
  <c r="Q20" i="33"/>
  <c r="Q10" i="33"/>
  <c r="Q21" i="33"/>
  <c r="Q11" i="33"/>
  <c r="Q22" i="33"/>
  <c r="Q12" i="33"/>
  <c r="Q23" i="33"/>
  <c r="Q13" i="33"/>
  <c r="Q24" i="33"/>
  <c r="Q7" i="33"/>
  <c r="Q18" i="33"/>
  <c r="Q8" i="32"/>
  <c r="M8" i="32"/>
  <c r="U8" i="32"/>
  <c r="Q19" i="32"/>
  <c r="M19" i="32"/>
  <c r="U19" i="32"/>
  <c r="Q9" i="32"/>
  <c r="M9" i="32"/>
  <c r="U9" i="32"/>
  <c r="Q20" i="32"/>
  <c r="M20" i="32"/>
  <c r="Q10" i="32"/>
  <c r="M10" i="32"/>
  <c r="U10" i="32"/>
  <c r="Q21" i="32"/>
  <c r="M21" i="32"/>
  <c r="U21" i="32"/>
  <c r="Q11" i="32"/>
  <c r="M11" i="32"/>
  <c r="U11" i="32"/>
  <c r="M22" i="32"/>
  <c r="U22" i="32"/>
  <c r="M59" i="32"/>
  <c r="K11" i="32"/>
  <c r="K22" i="32"/>
  <c r="K59" i="32"/>
  <c r="P59" i="32"/>
  <c r="T59" i="32"/>
  <c r="Q22" i="32"/>
  <c r="N59" i="32"/>
  <c r="R59" i="32"/>
  <c r="Q59" i="32"/>
  <c r="Q12" i="32"/>
  <c r="M12" i="32"/>
  <c r="U12" i="32"/>
  <c r="Q23" i="32"/>
  <c r="M23" i="32"/>
  <c r="U23" i="32"/>
  <c r="Q60" i="32"/>
  <c r="M60" i="32"/>
  <c r="Q13" i="32"/>
  <c r="M13" i="32"/>
  <c r="U13" i="32"/>
  <c r="Q24" i="32"/>
  <c r="M24" i="32"/>
  <c r="U24" i="32"/>
  <c r="Q7" i="32"/>
  <c r="Q18" i="32"/>
  <c r="Q55" i="32"/>
  <c r="J8" i="31"/>
  <c r="K8" i="31"/>
  <c r="N8" i="31"/>
  <c r="R8" i="31"/>
  <c r="M8" i="31"/>
  <c r="U8" i="31"/>
  <c r="J9" i="31"/>
  <c r="K9" i="31"/>
  <c r="N9" i="31"/>
  <c r="R9" i="31"/>
  <c r="M9" i="31"/>
  <c r="U9" i="31"/>
  <c r="K8" i="32"/>
  <c r="K19" i="32"/>
  <c r="K9" i="32"/>
  <c r="K20" i="32"/>
  <c r="K10" i="32"/>
  <c r="K21" i="32"/>
  <c r="K12" i="32"/>
  <c r="K23" i="32"/>
  <c r="K60" i="32"/>
  <c r="N60" i="32"/>
  <c r="R60" i="32"/>
  <c r="K13" i="32"/>
  <c r="K24" i="32"/>
  <c r="M6" i="32"/>
  <c r="U6" i="32"/>
  <c r="M14" i="32"/>
  <c r="U14" i="32"/>
  <c r="M15" i="32"/>
  <c r="U15" i="32"/>
  <c r="U5" i="32"/>
  <c r="M5" i="31"/>
  <c r="U5" i="31"/>
  <c r="M6" i="31"/>
  <c r="U6" i="31"/>
  <c r="J12" i="31"/>
  <c r="K12" i="31"/>
  <c r="M12" i="31"/>
  <c r="U12" i="31"/>
  <c r="K13" i="31"/>
  <c r="M13" i="31"/>
  <c r="U13" i="31"/>
  <c r="K28" i="31"/>
  <c r="N28" i="31"/>
  <c r="J28" i="31"/>
  <c r="R28" i="31"/>
  <c r="J13" i="31"/>
  <c r="N13" i="31"/>
  <c r="R13" i="31"/>
  <c r="M10" i="31"/>
  <c r="U10" i="31"/>
  <c r="M11" i="31"/>
  <c r="U11" i="31"/>
  <c r="M27" i="31"/>
  <c r="K10" i="31"/>
  <c r="N10" i="31"/>
  <c r="K11" i="31"/>
  <c r="J27" i="31"/>
  <c r="J10" i="31"/>
  <c r="R10" i="31"/>
  <c r="J11" i="31"/>
  <c r="N11" i="31"/>
  <c r="R11" i="31"/>
  <c r="J26" i="31"/>
  <c r="J24" i="31"/>
  <c r="J25" i="31"/>
  <c r="J29" i="31"/>
  <c r="J30" i="31"/>
  <c r="J31" i="31"/>
  <c r="J32" i="31"/>
  <c r="J33" i="31"/>
  <c r="J23" i="31"/>
  <c r="M7" i="31"/>
  <c r="U7" i="31"/>
  <c r="M14" i="31"/>
  <c r="U14" i="31"/>
  <c r="M15" i="31"/>
  <c r="U15" i="31"/>
  <c r="M16" i="31"/>
  <c r="U16" i="31"/>
  <c r="M17" i="31"/>
  <c r="U17" i="31"/>
  <c r="M18" i="31"/>
  <c r="U18" i="31"/>
  <c r="O5" i="41"/>
  <c r="W5" i="41"/>
  <c r="O22" i="41"/>
  <c r="W22" i="41"/>
  <c r="O23" i="41"/>
  <c r="W23" i="41"/>
  <c r="O19" i="41"/>
  <c r="W19" i="41"/>
  <c r="O20" i="41"/>
  <c r="W20" i="41"/>
  <c r="O21" i="41"/>
  <c r="W21" i="41"/>
  <c r="M35" i="41"/>
  <c r="P35" i="41"/>
  <c r="L35" i="41"/>
  <c r="T35" i="41"/>
  <c r="O16" i="41"/>
  <c r="W16" i="41"/>
  <c r="O17" i="41"/>
  <c r="W17" i="41"/>
  <c r="O18" i="41"/>
  <c r="W18" i="41"/>
  <c r="M34" i="41"/>
  <c r="P34" i="41"/>
  <c r="L34" i="41"/>
  <c r="T34" i="41"/>
  <c r="O13" i="41"/>
  <c r="O14" i="41"/>
  <c r="O15" i="41"/>
  <c r="W15" i="41"/>
  <c r="L33" i="41"/>
  <c r="L36" i="41"/>
  <c r="L32" i="41"/>
  <c r="O10" i="41"/>
  <c r="O11" i="41"/>
  <c r="W11" i="41"/>
  <c r="O12" i="41"/>
  <c r="W12" i="41"/>
  <c r="L31" i="41"/>
  <c r="M31" i="41"/>
  <c r="P31" i="41"/>
  <c r="T31" i="41"/>
  <c r="P10" i="16"/>
  <c r="P11" i="16"/>
  <c r="F31" i="16"/>
  <c r="D31" i="16"/>
  <c r="I31" i="16"/>
  <c r="M31" i="16"/>
  <c r="G31" i="16"/>
  <c r="K31" i="16"/>
  <c r="S31" i="41"/>
  <c r="J30" i="16"/>
  <c r="F30" i="16"/>
  <c r="I30" i="16"/>
  <c r="G30" i="16"/>
  <c r="O6" i="41"/>
  <c r="F28" i="16"/>
  <c r="L30" i="41"/>
  <c r="G28" i="16"/>
  <c r="K28" i="16"/>
  <c r="P6" i="16"/>
  <c r="AC7" i="17"/>
  <c r="AF7" i="17"/>
  <c r="AB7" i="17"/>
  <c r="AJ7" i="17"/>
  <c r="K35" i="17"/>
  <c r="R7" i="41"/>
  <c r="V7" i="41"/>
  <c r="R8" i="41"/>
  <c r="V8" i="41"/>
  <c r="R9" i="41"/>
  <c r="V9" i="41"/>
  <c r="R12" i="41"/>
  <c r="V12" i="41"/>
  <c r="R15" i="41"/>
  <c r="V15" i="41"/>
  <c r="R16" i="41"/>
  <c r="V16" i="41"/>
  <c r="R18" i="41"/>
  <c r="V18" i="41"/>
  <c r="R19" i="41"/>
  <c r="V19" i="41"/>
  <c r="R20" i="41"/>
  <c r="V20" i="41"/>
  <c r="R21" i="41"/>
  <c r="V21" i="41"/>
  <c r="R22" i="41"/>
  <c r="V22" i="41"/>
  <c r="R23" i="41"/>
  <c r="V23" i="41"/>
  <c r="R5" i="41"/>
  <c r="V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5" i="41"/>
  <c r="N4" i="39"/>
  <c r="L4" i="39"/>
  <c r="Q4" i="39"/>
  <c r="U4" i="39"/>
  <c r="K4" i="39"/>
  <c r="O4" i="39"/>
  <c r="S4" i="39"/>
  <c r="R4" i="39"/>
  <c r="N14" i="39"/>
  <c r="L14" i="39"/>
  <c r="Q14" i="39"/>
  <c r="U14" i="39"/>
  <c r="K14" i="39"/>
  <c r="O14" i="39"/>
  <c r="R14" i="39"/>
  <c r="N13" i="39"/>
  <c r="L13" i="39"/>
  <c r="Q13" i="39"/>
  <c r="U13" i="39"/>
  <c r="K13" i="39"/>
  <c r="O13" i="39"/>
  <c r="S13" i="39"/>
  <c r="R13" i="39"/>
  <c r="N12" i="39"/>
  <c r="L12" i="39"/>
  <c r="Q12" i="39"/>
  <c r="U12" i="39"/>
  <c r="K12" i="39"/>
  <c r="O12" i="39"/>
  <c r="R12" i="39"/>
  <c r="N11" i="39"/>
  <c r="L11" i="39"/>
  <c r="Q11" i="39"/>
  <c r="U11" i="39"/>
  <c r="K11" i="39"/>
  <c r="O11" i="39"/>
  <c r="S11" i="39"/>
  <c r="R11" i="39"/>
  <c r="N10" i="39"/>
  <c r="L10" i="39"/>
  <c r="Q10" i="39"/>
  <c r="U10" i="39"/>
  <c r="K10" i="39"/>
  <c r="O10" i="39"/>
  <c r="R10" i="39"/>
  <c r="N9" i="39"/>
  <c r="L9" i="39"/>
  <c r="Q9" i="39"/>
  <c r="U9" i="39"/>
  <c r="K9" i="39"/>
  <c r="O9" i="39"/>
  <c r="S9" i="39"/>
  <c r="R9" i="39"/>
  <c r="N8" i="39"/>
  <c r="L8" i="39"/>
  <c r="Q8" i="39"/>
  <c r="U8" i="39"/>
  <c r="K8" i="39"/>
  <c r="O8" i="39"/>
  <c r="R8" i="39"/>
  <c r="N7" i="39"/>
  <c r="L7" i="39"/>
  <c r="Q7" i="39"/>
  <c r="U7" i="39"/>
  <c r="K7" i="39"/>
  <c r="O7" i="39"/>
  <c r="S7" i="39"/>
  <c r="R7" i="39"/>
  <c r="N6" i="39"/>
  <c r="L6" i="39"/>
  <c r="Q6" i="39"/>
  <c r="U6" i="39"/>
  <c r="K6" i="39"/>
  <c r="O6" i="39"/>
  <c r="R6" i="39"/>
  <c r="N5" i="39"/>
  <c r="L5" i="39"/>
  <c r="Q5" i="39"/>
  <c r="U5" i="39"/>
  <c r="K5" i="39"/>
  <c r="O5" i="39"/>
  <c r="S5" i="39"/>
  <c r="R5" i="39"/>
  <c r="Q7" i="38"/>
  <c r="Q8" i="38"/>
  <c r="Q9" i="38"/>
  <c r="Q10" i="38"/>
  <c r="Q11" i="38"/>
  <c r="Q12" i="38"/>
  <c r="Q13" i="38"/>
  <c r="Q14" i="38"/>
  <c r="Q15" i="38"/>
  <c r="Q6" i="38"/>
  <c r="Q5" i="38"/>
  <c r="Q15" i="37"/>
  <c r="M15" i="37"/>
  <c r="K15" i="37"/>
  <c r="P15" i="37"/>
  <c r="T15" i="37"/>
  <c r="J15" i="37"/>
  <c r="Q14" i="37"/>
  <c r="M14" i="37"/>
  <c r="K14" i="37"/>
  <c r="N14" i="37"/>
  <c r="J14" i="37"/>
  <c r="R14" i="37"/>
  <c r="Q13" i="37"/>
  <c r="M13" i="37"/>
  <c r="K13" i="37"/>
  <c r="J13" i="37"/>
  <c r="Q12" i="37"/>
  <c r="M12" i="37"/>
  <c r="K12" i="37"/>
  <c r="P12" i="37"/>
  <c r="T12" i="37"/>
  <c r="N12" i="37"/>
  <c r="J12" i="37"/>
  <c r="R12" i="37"/>
  <c r="Q11" i="37"/>
  <c r="M11" i="37"/>
  <c r="K11" i="37"/>
  <c r="J11" i="37"/>
  <c r="Q10" i="37"/>
  <c r="M10" i="37"/>
  <c r="K10" i="37"/>
  <c r="N10" i="37"/>
  <c r="J10" i="37"/>
  <c r="R10" i="37"/>
  <c r="Q9" i="37"/>
  <c r="M9" i="37"/>
  <c r="K9" i="37"/>
  <c r="N9" i="37"/>
  <c r="J9" i="37"/>
  <c r="R9" i="37"/>
  <c r="Q8" i="37"/>
  <c r="M8" i="37"/>
  <c r="K8" i="37"/>
  <c r="P8" i="37"/>
  <c r="N8" i="37"/>
  <c r="J8" i="37"/>
  <c r="Q7" i="37"/>
  <c r="M7" i="37"/>
  <c r="K7" i="37"/>
  <c r="P7" i="37"/>
  <c r="N7" i="37"/>
  <c r="J7" i="37"/>
  <c r="Q6" i="37"/>
  <c r="M6" i="37"/>
  <c r="K6" i="37"/>
  <c r="J6" i="37"/>
  <c r="Q5" i="37"/>
  <c r="M5" i="37"/>
  <c r="K5" i="37"/>
  <c r="N5" i="37"/>
  <c r="J5" i="37"/>
  <c r="R5" i="37"/>
  <c r="M5" i="36"/>
  <c r="K5" i="36"/>
  <c r="P5" i="36"/>
  <c r="T5" i="36"/>
  <c r="N5" i="36"/>
  <c r="J5" i="36"/>
  <c r="R5" i="36"/>
  <c r="Q5" i="36"/>
  <c r="K6" i="36"/>
  <c r="N6" i="36"/>
  <c r="J6" i="36"/>
  <c r="R6" i="36"/>
  <c r="K7" i="36"/>
  <c r="N7" i="36"/>
  <c r="K8" i="36"/>
  <c r="K9" i="36"/>
  <c r="M9" i="36"/>
  <c r="P9" i="36"/>
  <c r="T9" i="36"/>
  <c r="K10" i="36"/>
  <c r="K11" i="36"/>
  <c r="M11" i="36"/>
  <c r="P11" i="36"/>
  <c r="N11" i="36"/>
  <c r="K12" i="36"/>
  <c r="N12" i="36"/>
  <c r="K13" i="36"/>
  <c r="M13" i="36"/>
  <c r="P13" i="36"/>
  <c r="T13" i="36"/>
  <c r="K14" i="36"/>
  <c r="J9" i="36"/>
  <c r="Q14" i="36"/>
  <c r="N14" i="36"/>
  <c r="M14" i="36"/>
  <c r="P14" i="36"/>
  <c r="T14" i="36"/>
  <c r="J14" i="36"/>
  <c r="R14" i="36"/>
  <c r="Q13" i="36"/>
  <c r="N13" i="36"/>
  <c r="J13" i="36"/>
  <c r="Q12" i="36"/>
  <c r="M12" i="36"/>
  <c r="P12" i="36"/>
  <c r="T12" i="36"/>
  <c r="J12" i="36"/>
  <c r="R12" i="36"/>
  <c r="Q11" i="36"/>
  <c r="J11" i="36"/>
  <c r="Q10" i="36"/>
  <c r="N10" i="36"/>
  <c r="M10" i="36"/>
  <c r="P10" i="36"/>
  <c r="T10" i="36"/>
  <c r="J10" i="36"/>
  <c r="R10" i="36"/>
  <c r="Q9" i="36"/>
  <c r="Q8" i="36"/>
  <c r="N8" i="36"/>
  <c r="M8" i="36"/>
  <c r="P8" i="36"/>
  <c r="T8" i="36"/>
  <c r="J8" i="36"/>
  <c r="Q7" i="36"/>
  <c r="M7" i="36"/>
  <c r="J7" i="36"/>
  <c r="Q6" i="36"/>
  <c r="M6" i="36"/>
  <c r="T8" i="37"/>
  <c r="P14" i="37"/>
  <c r="T14" i="37"/>
  <c r="T7" i="37"/>
  <c r="P9" i="37"/>
  <c r="T9" i="37"/>
  <c r="P5" i="37"/>
  <c r="T5" i="37"/>
  <c r="N9" i="36"/>
  <c r="R9" i="36"/>
  <c r="R11" i="36"/>
  <c r="T11" i="36"/>
  <c r="R7" i="36"/>
  <c r="J18" i="32"/>
  <c r="N18" i="32"/>
  <c r="R18" i="32"/>
  <c r="P18" i="32"/>
  <c r="T18" i="32"/>
  <c r="J19" i="32"/>
  <c r="N19" i="32"/>
  <c r="R19" i="32"/>
  <c r="P19" i="32"/>
  <c r="T19" i="32"/>
  <c r="J20" i="32"/>
  <c r="N20" i="32"/>
  <c r="R20" i="32"/>
  <c r="J21" i="32"/>
  <c r="N21" i="32"/>
  <c r="P21" i="32"/>
  <c r="T21" i="32"/>
  <c r="J22" i="32"/>
  <c r="N22" i="32"/>
  <c r="R22" i="32"/>
  <c r="P22" i="32"/>
  <c r="T22" i="32"/>
  <c r="J23" i="32"/>
  <c r="N23" i="32"/>
  <c r="R23" i="32"/>
  <c r="P23" i="32"/>
  <c r="T23" i="32"/>
  <c r="J24" i="32"/>
  <c r="N24" i="32"/>
  <c r="R24" i="32"/>
  <c r="P24" i="32"/>
  <c r="T24" i="32"/>
  <c r="P18" i="33"/>
  <c r="T18" i="33"/>
  <c r="N18" i="33"/>
  <c r="R18" i="33"/>
  <c r="J19" i="33"/>
  <c r="N19" i="33"/>
  <c r="R19" i="33"/>
  <c r="P19" i="33"/>
  <c r="T19" i="33"/>
  <c r="J20" i="33"/>
  <c r="N20" i="33"/>
  <c r="R20" i="33"/>
  <c r="P20" i="33"/>
  <c r="T20" i="33"/>
  <c r="J21" i="33"/>
  <c r="N21" i="33"/>
  <c r="R21" i="33"/>
  <c r="P21" i="33"/>
  <c r="T21" i="33"/>
  <c r="J22" i="33"/>
  <c r="N22" i="33"/>
  <c r="R22" i="33"/>
  <c r="P22" i="33"/>
  <c r="T22" i="33"/>
  <c r="J23" i="33"/>
  <c r="N23" i="33"/>
  <c r="R23" i="33"/>
  <c r="P23" i="33"/>
  <c r="T23" i="33"/>
  <c r="J24" i="33"/>
  <c r="N24" i="33"/>
  <c r="R24" i="33"/>
  <c r="P24" i="33"/>
  <c r="T24" i="33"/>
  <c r="D35" i="17"/>
  <c r="N5" i="33"/>
  <c r="J5" i="33"/>
  <c r="R5" i="33"/>
  <c r="Q15" i="33"/>
  <c r="P15" i="33"/>
  <c r="T15" i="33"/>
  <c r="N15" i="33"/>
  <c r="J15" i="33"/>
  <c r="R15" i="33"/>
  <c r="Q14" i="33"/>
  <c r="P14" i="33"/>
  <c r="T14" i="33"/>
  <c r="N14" i="33"/>
  <c r="J14" i="33"/>
  <c r="R14" i="33"/>
  <c r="P13" i="33"/>
  <c r="T13" i="33"/>
  <c r="N13" i="33"/>
  <c r="J13" i="33"/>
  <c r="R13" i="33"/>
  <c r="P12" i="33"/>
  <c r="T12" i="33"/>
  <c r="N12" i="33"/>
  <c r="J12" i="33"/>
  <c r="R12" i="33"/>
  <c r="P11" i="33"/>
  <c r="T11" i="33"/>
  <c r="N11" i="33"/>
  <c r="J11" i="33"/>
  <c r="R11" i="33"/>
  <c r="P10" i="33"/>
  <c r="T10" i="33"/>
  <c r="N10" i="33"/>
  <c r="J10" i="33"/>
  <c r="R10" i="33"/>
  <c r="P9" i="33"/>
  <c r="T9" i="33"/>
  <c r="N9" i="33"/>
  <c r="J9" i="33"/>
  <c r="R9" i="33"/>
  <c r="P8" i="33"/>
  <c r="T8" i="33"/>
  <c r="N8" i="33"/>
  <c r="J8" i="33"/>
  <c r="R8" i="33"/>
  <c r="P7" i="33"/>
  <c r="T7" i="33"/>
  <c r="N7" i="33"/>
  <c r="J7" i="33"/>
  <c r="R7" i="33"/>
  <c r="Q6" i="33"/>
  <c r="P6" i="33"/>
  <c r="T6" i="33"/>
  <c r="N6" i="33"/>
  <c r="J6" i="33"/>
  <c r="Q5" i="33"/>
  <c r="P5" i="33"/>
  <c r="T5" i="33"/>
  <c r="Q5" i="32"/>
  <c r="Q15" i="32"/>
  <c r="K15" i="32"/>
  <c r="N15" i="32"/>
  <c r="J15" i="32"/>
  <c r="P15" i="32"/>
  <c r="T15" i="32"/>
  <c r="Q14" i="32"/>
  <c r="K14" i="32"/>
  <c r="J14" i="32"/>
  <c r="N13" i="32"/>
  <c r="P13" i="32"/>
  <c r="T13" i="32"/>
  <c r="J13" i="32"/>
  <c r="R13" i="32"/>
  <c r="N12" i="32"/>
  <c r="J12" i="32"/>
  <c r="R12" i="32"/>
  <c r="P12" i="32"/>
  <c r="T12" i="32"/>
  <c r="N11" i="32"/>
  <c r="P11" i="32"/>
  <c r="T11" i="32"/>
  <c r="J11" i="32"/>
  <c r="N10" i="32"/>
  <c r="P10" i="32"/>
  <c r="T10" i="32"/>
  <c r="J10" i="32"/>
  <c r="R10" i="32"/>
  <c r="N9" i="32"/>
  <c r="J9" i="32"/>
  <c r="R9" i="32"/>
  <c r="P9" i="32"/>
  <c r="T9" i="32"/>
  <c r="N8" i="32"/>
  <c r="P8" i="32"/>
  <c r="T8" i="32"/>
  <c r="J8" i="32"/>
  <c r="N7" i="32"/>
  <c r="J7" i="32"/>
  <c r="R7" i="32"/>
  <c r="P7" i="32"/>
  <c r="T7" i="32"/>
  <c r="Q6" i="32"/>
  <c r="K6" i="32"/>
  <c r="N6" i="32"/>
  <c r="J6" i="32"/>
  <c r="R6" i="32"/>
  <c r="R11" i="32"/>
  <c r="R8" i="32"/>
  <c r="AB10" i="17"/>
  <c r="AC10" i="17"/>
  <c r="AF10" i="17"/>
  <c r="G38" i="17"/>
  <c r="K6" i="31"/>
  <c r="P6" i="31"/>
  <c r="T6" i="31"/>
  <c r="K7" i="31"/>
  <c r="P8" i="31"/>
  <c r="T8" i="31"/>
  <c r="P9" i="31"/>
  <c r="T9" i="31"/>
  <c r="P10" i="31"/>
  <c r="T10" i="31"/>
  <c r="P11" i="31"/>
  <c r="T11" i="31"/>
  <c r="P12" i="31"/>
  <c r="T12" i="31"/>
  <c r="P13" i="31"/>
  <c r="T13" i="31"/>
  <c r="K14" i="31"/>
  <c r="P14" i="31"/>
  <c r="T14" i="31"/>
  <c r="K15" i="31"/>
  <c r="P15" i="31"/>
  <c r="T15" i="31"/>
  <c r="K16" i="31"/>
  <c r="N16" i="31"/>
  <c r="J16" i="31"/>
  <c r="R16" i="31"/>
  <c r="K17" i="31"/>
  <c r="K18" i="31"/>
  <c r="P18" i="31"/>
  <c r="T18" i="31"/>
  <c r="J6" i="31"/>
  <c r="J7" i="31"/>
  <c r="J14" i="31"/>
  <c r="N14" i="31"/>
  <c r="R14" i="31"/>
  <c r="J15" i="31"/>
  <c r="N15" i="31"/>
  <c r="R15" i="31"/>
  <c r="J17" i="31"/>
  <c r="J18" i="31"/>
  <c r="J5" i="31"/>
  <c r="K5" i="31"/>
  <c r="N5" i="31"/>
  <c r="R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5" i="31"/>
  <c r="P5" i="31"/>
  <c r="T5" i="31"/>
  <c r="N19" i="30"/>
  <c r="L19" i="30"/>
  <c r="M19" i="29"/>
  <c r="P19" i="29"/>
  <c r="T19" i="29"/>
  <c r="J19" i="29"/>
  <c r="N19" i="29"/>
  <c r="R19" i="29"/>
  <c r="K19" i="30"/>
  <c r="K20" i="30"/>
  <c r="L20" i="30"/>
  <c r="O20" i="30"/>
  <c r="S20" i="30"/>
  <c r="K21" i="30"/>
  <c r="L21" i="30"/>
  <c r="O21" i="30"/>
  <c r="S21" i="30"/>
  <c r="K23" i="30"/>
  <c r="L23" i="30"/>
  <c r="O23" i="30"/>
  <c r="S23" i="30"/>
  <c r="K24" i="30"/>
  <c r="L24" i="30"/>
  <c r="O24" i="30"/>
  <c r="K25" i="30"/>
  <c r="L25" i="30"/>
  <c r="N25" i="30"/>
  <c r="Q25" i="30"/>
  <c r="U25" i="30"/>
  <c r="K26" i="30"/>
  <c r="L26" i="30"/>
  <c r="O26" i="30"/>
  <c r="S26" i="30"/>
  <c r="K27" i="30"/>
  <c r="L27" i="30"/>
  <c r="O27" i="30"/>
  <c r="S27" i="30"/>
  <c r="K28" i="30"/>
  <c r="L28" i="30"/>
  <c r="O28" i="30"/>
  <c r="K29" i="30"/>
  <c r="L29" i="30"/>
  <c r="O29" i="30"/>
  <c r="S29" i="30"/>
  <c r="R20" i="30"/>
  <c r="R21" i="30"/>
  <c r="R22" i="30"/>
  <c r="R23" i="30"/>
  <c r="R24" i="30"/>
  <c r="R25" i="30"/>
  <c r="R26" i="30"/>
  <c r="R27" i="30"/>
  <c r="R28" i="30"/>
  <c r="R29" i="30"/>
  <c r="R19" i="30"/>
  <c r="N20" i="30"/>
  <c r="Q20" i="30"/>
  <c r="U20" i="30"/>
  <c r="N21" i="30"/>
  <c r="N22" i="30"/>
  <c r="N23" i="30"/>
  <c r="N24" i="30"/>
  <c r="N26" i="30"/>
  <c r="Q26" i="30"/>
  <c r="U26" i="30"/>
  <c r="N27" i="30"/>
  <c r="Q27" i="30"/>
  <c r="U27" i="30"/>
  <c r="N28" i="30"/>
  <c r="Q28" i="30"/>
  <c r="U28" i="30"/>
  <c r="N29" i="30"/>
  <c r="Q29" i="30"/>
  <c r="U29" i="30"/>
  <c r="L22" i="30"/>
  <c r="Q22" i="30"/>
  <c r="U22" i="30"/>
  <c r="Q23" i="30"/>
  <c r="U23" i="30"/>
  <c r="K22" i="30"/>
  <c r="Q21" i="30"/>
  <c r="U21" i="30"/>
  <c r="R18" i="30"/>
  <c r="L18" i="30"/>
  <c r="N18" i="30"/>
  <c r="K18" i="30"/>
  <c r="R17" i="30"/>
  <c r="L17" i="30"/>
  <c r="N17" i="30"/>
  <c r="K17" i="30"/>
  <c r="R16" i="30"/>
  <c r="L16" i="30"/>
  <c r="N16" i="30"/>
  <c r="K16" i="30"/>
  <c r="R15" i="30"/>
  <c r="L15" i="30"/>
  <c r="N15" i="30"/>
  <c r="K15" i="30"/>
  <c r="R14" i="30"/>
  <c r="L14" i="30"/>
  <c r="N14" i="30"/>
  <c r="K14" i="30"/>
  <c r="R13" i="30"/>
  <c r="L13" i="30"/>
  <c r="N13" i="30"/>
  <c r="K13" i="30"/>
  <c r="R12" i="30"/>
  <c r="L12" i="30"/>
  <c r="N12" i="30"/>
  <c r="K12" i="30"/>
  <c r="R11" i="30"/>
  <c r="L11" i="30"/>
  <c r="N11" i="30"/>
  <c r="K11" i="30"/>
  <c r="R10" i="30"/>
  <c r="L10" i="30"/>
  <c r="N10" i="30"/>
  <c r="K10" i="30"/>
  <c r="R9" i="30"/>
  <c r="L9" i="30"/>
  <c r="N9" i="30"/>
  <c r="K9" i="30"/>
  <c r="R8" i="30"/>
  <c r="L8" i="30"/>
  <c r="N8" i="30"/>
  <c r="K8" i="30"/>
  <c r="R7" i="30"/>
  <c r="L7" i="30"/>
  <c r="N7" i="30"/>
  <c r="K7" i="30"/>
  <c r="R6" i="30"/>
  <c r="L6" i="30"/>
  <c r="N6" i="30"/>
  <c r="K6" i="30"/>
  <c r="R5" i="30"/>
  <c r="L5" i="30"/>
  <c r="N5" i="30"/>
  <c r="K5" i="30"/>
  <c r="M23" i="29"/>
  <c r="P23" i="29"/>
  <c r="T23" i="29"/>
  <c r="M24" i="29"/>
  <c r="P24" i="29"/>
  <c r="T24" i="29"/>
  <c r="M25" i="29"/>
  <c r="P25" i="29"/>
  <c r="T25" i="29"/>
  <c r="M26" i="29"/>
  <c r="P26" i="29"/>
  <c r="T26" i="29"/>
  <c r="M27" i="29"/>
  <c r="P27" i="29"/>
  <c r="T27" i="29"/>
  <c r="M28" i="29"/>
  <c r="P28" i="29"/>
  <c r="T28" i="29"/>
  <c r="M29" i="29"/>
  <c r="P29" i="29"/>
  <c r="T29" i="29"/>
  <c r="M20" i="29"/>
  <c r="P20" i="29"/>
  <c r="T20" i="29"/>
  <c r="M21" i="29"/>
  <c r="P21" i="29"/>
  <c r="T21" i="29"/>
  <c r="M22" i="29"/>
  <c r="P22" i="29"/>
  <c r="T22" i="29"/>
  <c r="F6" i="16"/>
  <c r="D6" i="16"/>
  <c r="I6" i="16"/>
  <c r="M6" i="16"/>
  <c r="G6" i="16"/>
  <c r="C6" i="16"/>
  <c r="K6" i="16"/>
  <c r="J23" i="29"/>
  <c r="N23" i="29"/>
  <c r="R23" i="29"/>
  <c r="J24" i="29"/>
  <c r="N24" i="29"/>
  <c r="R24" i="29"/>
  <c r="J25" i="29"/>
  <c r="N25" i="29"/>
  <c r="R25" i="29"/>
  <c r="J26" i="29"/>
  <c r="N26" i="29"/>
  <c r="R26" i="29"/>
  <c r="J27" i="29"/>
  <c r="N27" i="29"/>
  <c r="R27" i="29"/>
  <c r="J28" i="29"/>
  <c r="N28" i="29"/>
  <c r="R28" i="29"/>
  <c r="J29" i="29"/>
  <c r="N29" i="29"/>
  <c r="R29" i="29"/>
  <c r="Q23" i="29"/>
  <c r="Q24" i="29"/>
  <c r="Q25" i="29"/>
  <c r="Q26" i="29"/>
  <c r="Q27" i="29"/>
  <c r="Q28" i="29"/>
  <c r="Q29" i="29"/>
  <c r="Q20" i="29"/>
  <c r="Q21" i="29"/>
  <c r="Q22" i="29"/>
  <c r="Q19" i="29"/>
  <c r="J6" i="16"/>
  <c r="J20" i="29"/>
  <c r="J21" i="29"/>
  <c r="J22" i="29"/>
  <c r="N22" i="29"/>
  <c r="R22" i="29"/>
  <c r="N21" i="29"/>
  <c r="R21" i="29"/>
  <c r="N20" i="29"/>
  <c r="R20" i="29"/>
  <c r="Q18" i="29"/>
  <c r="K18" i="29"/>
  <c r="N18" i="29"/>
  <c r="J18" i="29"/>
  <c r="R18" i="29"/>
  <c r="M18" i="29"/>
  <c r="P18" i="29"/>
  <c r="T18" i="29"/>
  <c r="Q17" i="29"/>
  <c r="K17" i="29"/>
  <c r="N17" i="29"/>
  <c r="J17" i="29"/>
  <c r="R17" i="29"/>
  <c r="M17" i="29"/>
  <c r="P17" i="29"/>
  <c r="T17" i="29"/>
  <c r="Q16" i="29"/>
  <c r="K16" i="29"/>
  <c r="N16" i="29"/>
  <c r="J16" i="29"/>
  <c r="R16" i="29"/>
  <c r="M16" i="29"/>
  <c r="P16" i="29"/>
  <c r="T16" i="29"/>
  <c r="Q15" i="29"/>
  <c r="K15" i="29"/>
  <c r="N15" i="29"/>
  <c r="J15" i="29"/>
  <c r="R15" i="29"/>
  <c r="M15" i="29"/>
  <c r="P15" i="29"/>
  <c r="T15" i="29"/>
  <c r="Q14" i="29"/>
  <c r="K14" i="29"/>
  <c r="N14" i="29"/>
  <c r="J14" i="29"/>
  <c r="R14" i="29"/>
  <c r="M14" i="29"/>
  <c r="P14" i="29"/>
  <c r="T14" i="29"/>
  <c r="Q13" i="29"/>
  <c r="K13" i="29"/>
  <c r="N13" i="29"/>
  <c r="J13" i="29"/>
  <c r="R13" i="29"/>
  <c r="M13" i="29"/>
  <c r="P13" i="29"/>
  <c r="T13" i="29"/>
  <c r="Q12" i="29"/>
  <c r="K12" i="29"/>
  <c r="N12" i="29"/>
  <c r="J12" i="29"/>
  <c r="R12" i="29"/>
  <c r="M12" i="29"/>
  <c r="P12" i="29"/>
  <c r="T12" i="29"/>
  <c r="Q11" i="29"/>
  <c r="K11" i="29"/>
  <c r="N11" i="29"/>
  <c r="J11" i="29"/>
  <c r="R11" i="29"/>
  <c r="M11" i="29"/>
  <c r="P11" i="29"/>
  <c r="T11" i="29"/>
  <c r="Q10" i="29"/>
  <c r="K10" i="29"/>
  <c r="N10" i="29"/>
  <c r="J10" i="29"/>
  <c r="R10" i="29"/>
  <c r="M10" i="29"/>
  <c r="P10" i="29"/>
  <c r="T10" i="29"/>
  <c r="Q9" i="29"/>
  <c r="K9" i="29"/>
  <c r="N9" i="29"/>
  <c r="J9" i="29"/>
  <c r="R9" i="29"/>
  <c r="M9" i="29"/>
  <c r="P9" i="29"/>
  <c r="T9" i="29"/>
  <c r="Q8" i="29"/>
  <c r="K8" i="29"/>
  <c r="N8" i="29"/>
  <c r="J8" i="29"/>
  <c r="R8" i="29"/>
  <c r="M8" i="29"/>
  <c r="P8" i="29"/>
  <c r="T8" i="29"/>
  <c r="Q7" i="29"/>
  <c r="K7" i="29"/>
  <c r="N7" i="29"/>
  <c r="J7" i="29"/>
  <c r="R7" i="29"/>
  <c r="M7" i="29"/>
  <c r="P7" i="29"/>
  <c r="T7" i="29"/>
  <c r="Q6" i="29"/>
  <c r="K6" i="29"/>
  <c r="N6" i="29"/>
  <c r="J6" i="29"/>
  <c r="R6" i="29"/>
  <c r="M6" i="29"/>
  <c r="P6" i="29"/>
  <c r="T6" i="29"/>
  <c r="Q5" i="29"/>
  <c r="K5" i="29"/>
  <c r="N5" i="29"/>
  <c r="J5" i="29"/>
  <c r="R5" i="29"/>
  <c r="M5" i="29"/>
  <c r="P5" i="29"/>
  <c r="T5" i="29"/>
  <c r="Q24" i="30"/>
  <c r="U24" i="30"/>
  <c r="A9" i="26"/>
  <c r="A25" i="26"/>
  <c r="A10" i="26"/>
  <c r="A26" i="26"/>
  <c r="A17" i="26"/>
  <c r="A33" i="26"/>
  <c r="F17" i="26"/>
  <c r="D17" i="26"/>
  <c r="G17" i="26"/>
  <c r="G33" i="26"/>
  <c r="I17" i="26"/>
  <c r="L33" i="26"/>
  <c r="C17" i="26"/>
  <c r="J17" i="26"/>
  <c r="J33" i="26"/>
  <c r="H33" i="26"/>
  <c r="F33" i="26"/>
  <c r="E33" i="26"/>
  <c r="D33" i="26"/>
  <c r="B33" i="26"/>
  <c r="F16" i="26"/>
  <c r="D16" i="26"/>
  <c r="G16" i="26"/>
  <c r="G32" i="26"/>
  <c r="I16" i="26"/>
  <c r="I32" i="26"/>
  <c r="M16" i="26"/>
  <c r="M32" i="26"/>
  <c r="L32" i="26"/>
  <c r="C16" i="26"/>
  <c r="J16" i="26"/>
  <c r="J32" i="26"/>
  <c r="H32" i="26"/>
  <c r="F32" i="26"/>
  <c r="E32" i="26"/>
  <c r="D32" i="26"/>
  <c r="B32" i="26"/>
  <c r="F15" i="26"/>
  <c r="F31" i="26"/>
  <c r="D15" i="26"/>
  <c r="G15" i="26"/>
  <c r="L31" i="26"/>
  <c r="C15" i="26"/>
  <c r="J15" i="26"/>
  <c r="J31" i="26"/>
  <c r="H31" i="26"/>
  <c r="E31" i="26"/>
  <c r="D31" i="26"/>
  <c r="B31" i="26"/>
  <c r="F14" i="26"/>
  <c r="F30" i="26"/>
  <c r="D14" i="26"/>
  <c r="L30" i="26"/>
  <c r="C14" i="26"/>
  <c r="J14" i="26"/>
  <c r="J30" i="26"/>
  <c r="H30" i="26"/>
  <c r="E30" i="26"/>
  <c r="B30" i="26"/>
  <c r="F13" i="26"/>
  <c r="F29" i="26"/>
  <c r="D13" i="26"/>
  <c r="G13" i="26"/>
  <c r="I13" i="26"/>
  <c r="I29" i="26"/>
  <c r="L29" i="26"/>
  <c r="C13" i="26"/>
  <c r="J13" i="26"/>
  <c r="J29" i="26"/>
  <c r="H29" i="26"/>
  <c r="E29" i="26"/>
  <c r="D29" i="26"/>
  <c r="B29" i="26"/>
  <c r="F12" i="26"/>
  <c r="D12" i="26"/>
  <c r="G12" i="26"/>
  <c r="L28" i="26"/>
  <c r="C12" i="26"/>
  <c r="J12" i="26"/>
  <c r="J28" i="26"/>
  <c r="H28" i="26"/>
  <c r="E28" i="26"/>
  <c r="D28" i="26"/>
  <c r="B28" i="26"/>
  <c r="F11" i="26"/>
  <c r="D11" i="26"/>
  <c r="L27" i="26"/>
  <c r="C11" i="26"/>
  <c r="J11" i="26"/>
  <c r="J27" i="26"/>
  <c r="H27" i="26"/>
  <c r="E27" i="26"/>
  <c r="B27" i="26"/>
  <c r="F10" i="26"/>
  <c r="D10" i="26"/>
  <c r="I10" i="26"/>
  <c r="M10" i="26"/>
  <c r="M26" i="26"/>
  <c r="G10" i="26"/>
  <c r="G26" i="26"/>
  <c r="L26" i="26"/>
  <c r="C10" i="26"/>
  <c r="J10" i="26"/>
  <c r="J26" i="26"/>
  <c r="H26" i="26"/>
  <c r="E26" i="26"/>
  <c r="D26" i="26"/>
  <c r="B26" i="26"/>
  <c r="F9" i="26"/>
  <c r="D9" i="26"/>
  <c r="D25" i="26"/>
  <c r="I9" i="26"/>
  <c r="I25" i="26"/>
  <c r="L25" i="26"/>
  <c r="C9" i="26"/>
  <c r="G9" i="26"/>
  <c r="G25" i="26"/>
  <c r="J9" i="26"/>
  <c r="J25" i="26"/>
  <c r="H25" i="26"/>
  <c r="F25" i="26"/>
  <c r="E25" i="26"/>
  <c r="B25" i="26"/>
  <c r="F8" i="26"/>
  <c r="D8" i="26"/>
  <c r="D24" i="26"/>
  <c r="L24" i="26"/>
  <c r="C8" i="26"/>
  <c r="G8" i="26"/>
  <c r="G24" i="26"/>
  <c r="J8" i="26"/>
  <c r="J24" i="26"/>
  <c r="H24" i="26"/>
  <c r="E24" i="26"/>
  <c r="B24" i="26"/>
  <c r="F7" i="26"/>
  <c r="F23" i="26"/>
  <c r="G7" i="26"/>
  <c r="G23" i="26"/>
  <c r="L23" i="26"/>
  <c r="C7" i="26"/>
  <c r="K7" i="26"/>
  <c r="K23" i="26"/>
  <c r="J7" i="26"/>
  <c r="J23" i="26"/>
  <c r="H23" i="26"/>
  <c r="E23" i="26"/>
  <c r="B23" i="26"/>
  <c r="A16" i="26"/>
  <c r="A32" i="26"/>
  <c r="A15" i="26"/>
  <c r="A31" i="26"/>
  <c r="A14" i="26"/>
  <c r="A30" i="26"/>
  <c r="A13" i="26"/>
  <c r="A29" i="26"/>
  <c r="A12" i="26"/>
  <c r="A28" i="26"/>
  <c r="A11" i="26"/>
  <c r="A27" i="26"/>
  <c r="A8" i="26"/>
  <c r="A24" i="26"/>
  <c r="A7" i="26"/>
  <c r="A23" i="26"/>
  <c r="AE7" i="17"/>
  <c r="AH7" i="17"/>
  <c r="AB8" i="17"/>
  <c r="AC8" i="17"/>
  <c r="AF8" i="17"/>
  <c r="AJ8" i="17"/>
  <c r="K36" i="17"/>
  <c r="AB9" i="17"/>
  <c r="AB11" i="17"/>
  <c r="AB12" i="17"/>
  <c r="AB13" i="17"/>
  <c r="AB14" i="17"/>
  <c r="AB15" i="17"/>
  <c r="AB16" i="17"/>
  <c r="AB17" i="17"/>
  <c r="AC17" i="17"/>
  <c r="AF17" i="17"/>
  <c r="AJ17" i="17"/>
  <c r="K45" i="17"/>
  <c r="C36" i="17"/>
  <c r="C37" i="17"/>
  <c r="C38" i="17"/>
  <c r="C39" i="17"/>
  <c r="C40" i="17"/>
  <c r="C41" i="17"/>
  <c r="C42" i="17"/>
  <c r="C43" i="17"/>
  <c r="C44" i="17"/>
  <c r="C45" i="17"/>
  <c r="C35" i="17"/>
  <c r="J59" i="7"/>
  <c r="I16" i="7"/>
  <c r="I17" i="7"/>
  <c r="I18" i="7"/>
  <c r="M18" i="7"/>
  <c r="I21" i="7"/>
  <c r="M21" i="7"/>
  <c r="O21" i="7"/>
  <c r="H29" i="4"/>
  <c r="H30" i="4"/>
  <c r="H31" i="4"/>
  <c r="L31" i="4"/>
  <c r="L35" i="4"/>
  <c r="L36" i="4"/>
  <c r="H37" i="4"/>
  <c r="H38" i="4"/>
  <c r="L39" i="4"/>
  <c r="B29" i="4"/>
  <c r="C29" i="4"/>
  <c r="E29" i="4"/>
  <c r="L29" i="4"/>
  <c r="B30" i="4"/>
  <c r="C30" i="4"/>
  <c r="E30" i="4"/>
  <c r="L30" i="4"/>
  <c r="B31" i="4"/>
  <c r="C31" i="4"/>
  <c r="E31" i="4"/>
  <c r="B32" i="4"/>
  <c r="C32" i="4"/>
  <c r="E32" i="4"/>
  <c r="H32" i="4"/>
  <c r="L32" i="4"/>
  <c r="B33" i="4"/>
  <c r="C33" i="4"/>
  <c r="E33" i="4"/>
  <c r="H33" i="4"/>
  <c r="L33" i="4"/>
  <c r="B34" i="4"/>
  <c r="C34" i="4"/>
  <c r="B35" i="4"/>
  <c r="C35" i="4"/>
  <c r="E35" i="4"/>
  <c r="H35" i="4"/>
  <c r="B36" i="4"/>
  <c r="C36" i="4"/>
  <c r="E36" i="4"/>
  <c r="H36" i="4"/>
  <c r="B37" i="4"/>
  <c r="C37" i="4"/>
  <c r="E37" i="4"/>
  <c r="L37" i="4"/>
  <c r="B38" i="4"/>
  <c r="C38" i="4"/>
  <c r="E38" i="4"/>
  <c r="L38" i="4"/>
  <c r="B39" i="4"/>
  <c r="C39" i="4"/>
  <c r="E39" i="4"/>
  <c r="H39" i="4"/>
  <c r="E18" i="2"/>
  <c r="G18" i="2"/>
  <c r="H19" i="2"/>
  <c r="E21" i="2"/>
  <c r="H21" i="2"/>
  <c r="H22" i="2"/>
  <c r="I22" i="2"/>
  <c r="L22" i="2"/>
  <c r="I20" i="2"/>
  <c r="M20" i="2"/>
  <c r="H20" i="2"/>
  <c r="E20" i="2"/>
  <c r="E19" i="2"/>
  <c r="E22" i="2"/>
  <c r="G22" i="2"/>
  <c r="M13" i="2"/>
  <c r="M22" i="2"/>
  <c r="H18" i="2"/>
  <c r="I18" i="2"/>
  <c r="L18" i="2"/>
  <c r="C22" i="2"/>
  <c r="C18" i="2"/>
  <c r="E23" i="6"/>
  <c r="H21" i="6"/>
  <c r="H19" i="6"/>
  <c r="E19" i="6"/>
  <c r="G36" i="17"/>
  <c r="D29" i="16"/>
  <c r="AC9" i="17"/>
  <c r="D37" i="17"/>
  <c r="AE10" i="17"/>
  <c r="F38" i="17"/>
  <c r="D37" i="16"/>
  <c r="J28" i="16"/>
  <c r="G7" i="17"/>
  <c r="AI17" i="17"/>
  <c r="AI16" i="17"/>
  <c r="AI15" i="17"/>
  <c r="AI14" i="17"/>
  <c r="J42" i="17"/>
  <c r="AI13" i="17"/>
  <c r="J41" i="17"/>
  <c r="AI12" i="17"/>
  <c r="AI11" i="17"/>
  <c r="AI10" i="17"/>
  <c r="J38" i="17"/>
  <c r="AI9" i="17"/>
  <c r="AI8" i="17"/>
  <c r="AI7" i="17"/>
  <c r="J35" i="17"/>
  <c r="AE11" i="17"/>
  <c r="AC11" i="17"/>
  <c r="AH11" i="17"/>
  <c r="I39" i="17"/>
  <c r="AF11" i="17"/>
  <c r="AE12" i="17"/>
  <c r="AC12" i="17"/>
  <c r="AE13" i="17"/>
  <c r="F41" i="17"/>
  <c r="AC13" i="17"/>
  <c r="D41" i="17"/>
  <c r="AF9" i="17"/>
  <c r="AF12" i="17"/>
  <c r="G40" i="17"/>
  <c r="AE17" i="17"/>
  <c r="AC16" i="17"/>
  <c r="AF16" i="17"/>
  <c r="AC15" i="17"/>
  <c r="AC14" i="17"/>
  <c r="AE8" i="17"/>
  <c r="AE9" i="17"/>
  <c r="AH10" i="17"/>
  <c r="AL10" i="17"/>
  <c r="M38" i="17"/>
  <c r="AE14" i="17"/>
  <c r="AE15" i="17"/>
  <c r="AE16" i="17"/>
  <c r="C7" i="17"/>
  <c r="K7" i="17"/>
  <c r="F7" i="17"/>
  <c r="J7" i="17"/>
  <c r="C9" i="17"/>
  <c r="G9" i="17"/>
  <c r="K9" i="17"/>
  <c r="C11" i="17"/>
  <c r="G11" i="17"/>
  <c r="K11" i="17"/>
  <c r="F9" i="17"/>
  <c r="F11" i="17"/>
  <c r="J9" i="17"/>
  <c r="J11" i="17"/>
  <c r="C15" i="17"/>
  <c r="G15" i="17"/>
  <c r="K15" i="17"/>
  <c r="F15" i="17"/>
  <c r="J15" i="17"/>
  <c r="C13" i="17"/>
  <c r="G13" i="17"/>
  <c r="K13" i="17"/>
  <c r="C18" i="17"/>
  <c r="G18" i="17"/>
  <c r="K18" i="17"/>
  <c r="F13" i="17"/>
  <c r="F18" i="17"/>
  <c r="J13" i="17"/>
  <c r="J18" i="17"/>
  <c r="C17" i="17"/>
  <c r="G17" i="17"/>
  <c r="K17" i="17"/>
  <c r="F17" i="17"/>
  <c r="J17" i="17"/>
  <c r="C8" i="17"/>
  <c r="F8" i="17"/>
  <c r="G8" i="17"/>
  <c r="K8" i="17"/>
  <c r="J8" i="17"/>
  <c r="C10" i="17"/>
  <c r="G10" i="17"/>
  <c r="K10" i="17"/>
  <c r="F10" i="17"/>
  <c r="J10" i="17"/>
  <c r="C14" i="17"/>
  <c r="G14" i="17"/>
  <c r="K14" i="17"/>
  <c r="F14" i="17"/>
  <c r="J14" i="17"/>
  <c r="C19" i="17"/>
  <c r="G19" i="17"/>
  <c r="K19" i="17"/>
  <c r="F19" i="17"/>
  <c r="J19" i="17"/>
  <c r="C12" i="17"/>
  <c r="G12" i="17"/>
  <c r="K12" i="17"/>
  <c r="F12" i="17"/>
  <c r="J12" i="17"/>
  <c r="C16" i="17"/>
  <c r="G16" i="17"/>
  <c r="K16" i="17"/>
  <c r="F16" i="17"/>
  <c r="J16" i="17"/>
  <c r="F35" i="17"/>
  <c r="E20" i="6"/>
  <c r="H20" i="6"/>
  <c r="L20" i="6"/>
  <c r="E21" i="6"/>
  <c r="L21" i="6"/>
  <c r="E22" i="6"/>
  <c r="H22" i="6"/>
  <c r="L22" i="6"/>
  <c r="H23" i="6"/>
  <c r="L23" i="6"/>
  <c r="E18" i="6"/>
  <c r="G18" i="6"/>
  <c r="H18" i="6"/>
  <c r="L18" i="6"/>
  <c r="D16" i="6"/>
  <c r="E16" i="6"/>
  <c r="F16" i="6"/>
  <c r="H16" i="6"/>
  <c r="J16" i="6"/>
  <c r="L16" i="6"/>
  <c r="C16" i="6"/>
  <c r="C18" i="6"/>
  <c r="C20" i="6"/>
  <c r="C21" i="6"/>
  <c r="C22" i="6"/>
  <c r="C23" i="6"/>
  <c r="C17" i="6"/>
  <c r="G4" i="4"/>
  <c r="K4" i="4"/>
  <c r="M10" i="11"/>
  <c r="M25" i="11"/>
  <c r="I26" i="11"/>
  <c r="M12" i="11"/>
  <c r="M27" i="11"/>
  <c r="I28" i="11"/>
  <c r="I30" i="11"/>
  <c r="I22" i="11"/>
  <c r="L22" i="11"/>
  <c r="E23" i="11"/>
  <c r="G23" i="11"/>
  <c r="G25" i="11"/>
  <c r="L25" i="11"/>
  <c r="E26" i="11"/>
  <c r="G26" i="11"/>
  <c r="L26" i="11"/>
  <c r="E27" i="11"/>
  <c r="E28" i="11"/>
  <c r="G28" i="11"/>
  <c r="G29" i="11"/>
  <c r="L29" i="11"/>
  <c r="L30" i="11"/>
  <c r="E31" i="11"/>
  <c r="G31" i="11"/>
  <c r="E32" i="11"/>
  <c r="G32" i="11"/>
  <c r="A22" i="11"/>
  <c r="B22" i="11"/>
  <c r="E22" i="11"/>
  <c r="G22" i="11"/>
  <c r="H22" i="11"/>
  <c r="A23" i="11"/>
  <c r="B23" i="11"/>
  <c r="H23" i="11"/>
  <c r="I23" i="11"/>
  <c r="L23" i="11"/>
  <c r="A24" i="11"/>
  <c r="B24" i="11"/>
  <c r="A25" i="11"/>
  <c r="B25" i="11"/>
  <c r="E25" i="11"/>
  <c r="H25" i="11"/>
  <c r="I25" i="11"/>
  <c r="A26" i="11"/>
  <c r="B26" i="11"/>
  <c r="H26" i="11"/>
  <c r="A27" i="11"/>
  <c r="B27" i="11"/>
  <c r="G27" i="11"/>
  <c r="H27" i="11"/>
  <c r="I27" i="11"/>
  <c r="L27" i="11"/>
  <c r="A28" i="11"/>
  <c r="B28" i="11"/>
  <c r="H28" i="11"/>
  <c r="L28" i="11"/>
  <c r="M13" i="11"/>
  <c r="M28" i="11"/>
  <c r="A29" i="11"/>
  <c r="B29" i="11"/>
  <c r="E29" i="11"/>
  <c r="H29" i="11"/>
  <c r="I29" i="11"/>
  <c r="A30" i="11"/>
  <c r="B30" i="11"/>
  <c r="E30" i="11"/>
  <c r="G30" i="11"/>
  <c r="H30" i="11"/>
  <c r="A31" i="11"/>
  <c r="B31" i="11"/>
  <c r="H31" i="11"/>
  <c r="I31" i="11"/>
  <c r="L31" i="11"/>
  <c r="A32" i="11"/>
  <c r="B32" i="11"/>
  <c r="H32" i="11"/>
  <c r="I32" i="11"/>
  <c r="L32" i="11"/>
  <c r="H23" i="21"/>
  <c r="L23" i="21"/>
  <c r="H25" i="21"/>
  <c r="L26" i="21"/>
  <c r="E27" i="21"/>
  <c r="H27" i="21"/>
  <c r="L27" i="21"/>
  <c r="H28" i="21"/>
  <c r="L28" i="21"/>
  <c r="E29" i="21"/>
  <c r="H29" i="21"/>
  <c r="H30" i="21"/>
  <c r="H31" i="21"/>
  <c r="L31" i="21"/>
  <c r="H32" i="21"/>
  <c r="L32" i="21"/>
  <c r="H33" i="21"/>
  <c r="B23" i="21"/>
  <c r="E23" i="21"/>
  <c r="I7" i="21"/>
  <c r="I23" i="21"/>
  <c r="B24" i="21"/>
  <c r="B25" i="21"/>
  <c r="E25" i="21"/>
  <c r="L25" i="21"/>
  <c r="B26" i="21"/>
  <c r="E26" i="21"/>
  <c r="H26" i="21"/>
  <c r="B27" i="21"/>
  <c r="B28" i="21"/>
  <c r="E28" i="21"/>
  <c r="B29" i="21"/>
  <c r="L29" i="21"/>
  <c r="B30" i="21"/>
  <c r="E30" i="21"/>
  <c r="L30" i="21"/>
  <c r="B31" i="21"/>
  <c r="E31" i="21"/>
  <c r="B32" i="21"/>
  <c r="E32" i="21"/>
  <c r="B33" i="21"/>
  <c r="E33" i="21"/>
  <c r="L33" i="21"/>
  <c r="J29" i="16"/>
  <c r="J36" i="17"/>
  <c r="J37" i="17"/>
  <c r="J39" i="17"/>
  <c r="J40" i="17"/>
  <c r="J43" i="17"/>
  <c r="J44" i="17"/>
  <c r="J45" i="17"/>
  <c r="F43" i="17"/>
  <c r="F42" i="17"/>
  <c r="F39" i="17"/>
  <c r="I38" i="17"/>
  <c r="G35" i="17"/>
  <c r="G45" i="17"/>
  <c r="D38" i="17"/>
  <c r="D36" i="17"/>
  <c r="D39" i="17"/>
  <c r="D40" i="17"/>
  <c r="D44" i="17"/>
  <c r="D45" i="17"/>
  <c r="E35" i="17"/>
  <c r="H35" i="17"/>
  <c r="L35" i="17"/>
  <c r="E36" i="17"/>
  <c r="H36" i="17"/>
  <c r="L36" i="17"/>
  <c r="E37" i="17"/>
  <c r="H37" i="17"/>
  <c r="L37" i="17"/>
  <c r="E38" i="17"/>
  <c r="H38" i="17"/>
  <c r="L38" i="17"/>
  <c r="E39" i="17"/>
  <c r="H39" i="17"/>
  <c r="L39" i="17"/>
  <c r="E40" i="17"/>
  <c r="H40" i="17"/>
  <c r="L40" i="17"/>
  <c r="E41" i="17"/>
  <c r="H41" i="17"/>
  <c r="L41" i="17"/>
  <c r="E42" i="17"/>
  <c r="H42" i="17"/>
  <c r="L42" i="17"/>
  <c r="E43" i="17"/>
  <c r="H43" i="17"/>
  <c r="L43" i="17"/>
  <c r="E44" i="17"/>
  <c r="H44" i="17"/>
  <c r="L44" i="17"/>
  <c r="E45" i="17"/>
  <c r="H45" i="17"/>
  <c r="L45" i="17"/>
  <c r="J34" i="17"/>
  <c r="K34" i="17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6" i="16"/>
  <c r="C23" i="16"/>
  <c r="D23" i="16"/>
  <c r="G23" i="16"/>
  <c r="K23" i="16"/>
  <c r="F23" i="16"/>
  <c r="I23" i="16"/>
  <c r="M23" i="16"/>
  <c r="J23" i="16"/>
  <c r="D7" i="16"/>
  <c r="G7" i="16"/>
  <c r="F7" i="16"/>
  <c r="I7" i="16"/>
  <c r="M7" i="16"/>
  <c r="J7" i="16"/>
  <c r="D8" i="16"/>
  <c r="G8" i="16"/>
  <c r="C8" i="16"/>
  <c r="K8" i="16"/>
  <c r="F8" i="16"/>
  <c r="J8" i="16"/>
  <c r="D9" i="16"/>
  <c r="F9" i="16"/>
  <c r="I9" i="16"/>
  <c r="M9" i="16"/>
  <c r="J9" i="16"/>
  <c r="D10" i="16"/>
  <c r="G10" i="16"/>
  <c r="F10" i="16"/>
  <c r="I10" i="16"/>
  <c r="M10" i="16"/>
  <c r="J10" i="16"/>
  <c r="D11" i="16"/>
  <c r="F11" i="16"/>
  <c r="G11" i="16"/>
  <c r="J11" i="16"/>
  <c r="D12" i="16"/>
  <c r="G12" i="16"/>
  <c r="F12" i="16"/>
  <c r="I12" i="16"/>
  <c r="M12" i="16"/>
  <c r="J12" i="16"/>
  <c r="D13" i="16"/>
  <c r="F13" i="16"/>
  <c r="I13" i="16"/>
  <c r="M13" i="16"/>
  <c r="G13" i="16"/>
  <c r="J13" i="16"/>
  <c r="D14" i="16"/>
  <c r="G14" i="16"/>
  <c r="C14" i="16"/>
  <c r="K14" i="16"/>
  <c r="F14" i="16"/>
  <c r="I14" i="16"/>
  <c r="M14" i="16"/>
  <c r="J14" i="16"/>
  <c r="D15" i="16"/>
  <c r="G15" i="16"/>
  <c r="F15" i="16"/>
  <c r="I15" i="16"/>
  <c r="M15" i="16"/>
  <c r="J15" i="16"/>
  <c r="D16" i="16"/>
  <c r="G16" i="16"/>
  <c r="C16" i="16"/>
  <c r="K16" i="16"/>
  <c r="F16" i="16"/>
  <c r="I16" i="16"/>
  <c r="M16" i="16"/>
  <c r="J16" i="16"/>
  <c r="D17" i="16"/>
  <c r="G17" i="16"/>
  <c r="C17" i="16"/>
  <c r="K17" i="16"/>
  <c r="F17" i="16"/>
  <c r="I17" i="16"/>
  <c r="J17" i="16"/>
  <c r="M17" i="16"/>
  <c r="D18" i="16"/>
  <c r="G18" i="16"/>
  <c r="F18" i="16"/>
  <c r="I18" i="16"/>
  <c r="M18" i="16"/>
  <c r="J18" i="16"/>
  <c r="D19" i="16"/>
  <c r="F19" i="16"/>
  <c r="I19" i="16"/>
  <c r="M19" i="16"/>
  <c r="G19" i="16"/>
  <c r="J19" i="16"/>
  <c r="D20" i="16"/>
  <c r="G20" i="16"/>
  <c r="C20" i="16"/>
  <c r="K20" i="16"/>
  <c r="F20" i="16"/>
  <c r="I20" i="16"/>
  <c r="M20" i="16"/>
  <c r="J20" i="16"/>
  <c r="D21" i="16"/>
  <c r="F21" i="16"/>
  <c r="I21" i="16"/>
  <c r="M21" i="16"/>
  <c r="G21" i="16"/>
  <c r="J21" i="16"/>
  <c r="D22" i="16"/>
  <c r="G22" i="16"/>
  <c r="C22" i="16"/>
  <c r="K22" i="16"/>
  <c r="F22" i="16"/>
  <c r="I22" i="16"/>
  <c r="M22" i="16"/>
  <c r="J22" i="16"/>
  <c r="P22" i="16"/>
  <c r="O22" i="16"/>
  <c r="P21" i="16"/>
  <c r="O21" i="16"/>
  <c r="P20" i="16"/>
  <c r="O20" i="16"/>
  <c r="P19" i="16"/>
  <c r="O19" i="16"/>
  <c r="P18" i="16"/>
  <c r="D35" i="16"/>
  <c r="O18" i="16"/>
  <c r="P17" i="16"/>
  <c r="O17" i="16"/>
  <c r="P16" i="16"/>
  <c r="D34" i="16"/>
  <c r="O16" i="16"/>
  <c r="P15" i="16"/>
  <c r="O15" i="16"/>
  <c r="P14" i="16"/>
  <c r="O14" i="16"/>
  <c r="P13" i="16"/>
  <c r="O13" i="16"/>
  <c r="P12" i="16"/>
  <c r="O12" i="16"/>
  <c r="O11" i="16"/>
  <c r="O10" i="16"/>
  <c r="O9" i="16"/>
  <c r="O8" i="16"/>
  <c r="O7" i="16"/>
  <c r="O5" i="16"/>
  <c r="I28" i="16"/>
  <c r="F29" i="16"/>
  <c r="G29" i="16"/>
  <c r="D32" i="16"/>
  <c r="F35" i="16"/>
  <c r="J35" i="16"/>
  <c r="D36" i="16"/>
  <c r="F36" i="16"/>
  <c r="I36" i="16"/>
  <c r="M36" i="16"/>
  <c r="J36" i="16"/>
  <c r="F37" i="16"/>
  <c r="G37" i="16"/>
  <c r="I37" i="16"/>
  <c r="J37" i="16"/>
  <c r="D38" i="16"/>
  <c r="F38" i="16"/>
  <c r="G38" i="16"/>
  <c r="K38" i="16"/>
  <c r="I38" i="16"/>
  <c r="J38" i="16"/>
  <c r="M38" i="16"/>
  <c r="C19" i="18"/>
  <c r="G19" i="18"/>
  <c r="K19" i="18"/>
  <c r="I19" i="18"/>
  <c r="M19" i="18"/>
  <c r="J19" i="18"/>
  <c r="C20" i="18"/>
  <c r="G20" i="18"/>
  <c r="I20" i="18"/>
  <c r="M20" i="18"/>
  <c r="J20" i="18"/>
  <c r="C21" i="18"/>
  <c r="G21" i="18"/>
  <c r="I21" i="18"/>
  <c r="J21" i="18"/>
  <c r="M21" i="18"/>
  <c r="C22" i="18"/>
  <c r="G22" i="18"/>
  <c r="I22" i="18"/>
  <c r="J22" i="18"/>
  <c r="M22" i="18"/>
  <c r="C23" i="18"/>
  <c r="G23" i="18"/>
  <c r="K23" i="18"/>
  <c r="I23" i="18"/>
  <c r="M23" i="18"/>
  <c r="J23" i="18"/>
  <c r="C24" i="18"/>
  <c r="J24" i="18"/>
  <c r="C25" i="18"/>
  <c r="J25" i="18"/>
  <c r="C26" i="18"/>
  <c r="I26" i="18"/>
  <c r="M26" i="18"/>
  <c r="J26" i="18"/>
  <c r="C27" i="18"/>
  <c r="G27" i="18"/>
  <c r="K27" i="18"/>
  <c r="I27" i="18"/>
  <c r="M27" i="18"/>
  <c r="J27" i="18"/>
  <c r="C18" i="18"/>
  <c r="G18" i="18"/>
  <c r="K18" i="18"/>
  <c r="I18" i="18"/>
  <c r="M18" i="18"/>
  <c r="J18" i="18"/>
  <c r="A20" i="18"/>
  <c r="A21" i="18"/>
  <c r="A22" i="18"/>
  <c r="A23" i="18"/>
  <c r="A24" i="18"/>
  <c r="A25" i="18"/>
  <c r="A26" i="18"/>
  <c r="A27" i="18"/>
  <c r="A18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4" i="18"/>
  <c r="I11" i="21"/>
  <c r="M11" i="21"/>
  <c r="M27" i="21"/>
  <c r="I13" i="21"/>
  <c r="M13" i="21"/>
  <c r="M29" i="21"/>
  <c r="I15" i="21"/>
  <c r="M15" i="21"/>
  <c r="M31" i="21"/>
  <c r="I17" i="21"/>
  <c r="M7" i="21"/>
  <c r="M23" i="21"/>
  <c r="A8" i="21"/>
  <c r="A9" i="21"/>
  <c r="A10" i="21"/>
  <c r="A11" i="21"/>
  <c r="A12" i="21"/>
  <c r="A13" i="21"/>
  <c r="A14" i="21"/>
  <c r="A15" i="21"/>
  <c r="A16" i="21"/>
  <c r="A17" i="21"/>
  <c r="A7" i="21"/>
  <c r="A38" i="16"/>
  <c r="A37" i="16"/>
  <c r="A36" i="16"/>
  <c r="A35" i="16"/>
  <c r="A34" i="16"/>
  <c r="A33" i="16"/>
  <c r="A32" i="16"/>
  <c r="A31" i="16"/>
  <c r="A30" i="16"/>
  <c r="A29" i="16"/>
  <c r="A28" i="16"/>
  <c r="O23" i="16"/>
  <c r="C21" i="16"/>
  <c r="C7" i="16"/>
  <c r="K7" i="16"/>
  <c r="C9" i="16"/>
  <c r="C10" i="16"/>
  <c r="C11" i="16"/>
  <c r="C12" i="16"/>
  <c r="C13" i="16"/>
  <c r="C15" i="16"/>
  <c r="K15" i="16"/>
  <c r="C18" i="16"/>
  <c r="C19" i="16"/>
  <c r="D4" i="7"/>
  <c r="G4" i="7"/>
  <c r="K4" i="7"/>
  <c r="D6" i="19"/>
  <c r="F6" i="19"/>
  <c r="J6" i="19"/>
  <c r="C6" i="19"/>
  <c r="F14" i="19"/>
  <c r="D14" i="19"/>
  <c r="I14" i="19"/>
  <c r="M14" i="19"/>
  <c r="C14" i="19"/>
  <c r="G14" i="19"/>
  <c r="K14" i="19"/>
  <c r="J14" i="19"/>
  <c r="A14" i="19"/>
  <c r="F13" i="19"/>
  <c r="D13" i="19"/>
  <c r="C13" i="19"/>
  <c r="J13" i="19"/>
  <c r="A13" i="19"/>
  <c r="F12" i="19"/>
  <c r="D12" i="19"/>
  <c r="I12" i="19"/>
  <c r="M12" i="19"/>
  <c r="C12" i="19"/>
  <c r="G12" i="19"/>
  <c r="K12" i="19"/>
  <c r="J12" i="19"/>
  <c r="A12" i="19"/>
  <c r="F11" i="19"/>
  <c r="D11" i="19"/>
  <c r="I11" i="19"/>
  <c r="M11" i="19"/>
  <c r="C11" i="19"/>
  <c r="G11" i="19"/>
  <c r="J11" i="19"/>
  <c r="A11" i="19"/>
  <c r="F10" i="19"/>
  <c r="D10" i="19"/>
  <c r="C10" i="19"/>
  <c r="J10" i="19"/>
  <c r="A10" i="19"/>
  <c r="F9" i="19"/>
  <c r="D9" i="19"/>
  <c r="I9" i="19"/>
  <c r="M9" i="19"/>
  <c r="C9" i="19"/>
  <c r="G9" i="19"/>
  <c r="K9" i="19"/>
  <c r="J9" i="19"/>
  <c r="A9" i="19"/>
  <c r="F8" i="19"/>
  <c r="D8" i="19"/>
  <c r="C8" i="19"/>
  <c r="J8" i="19"/>
  <c r="A8" i="19"/>
  <c r="F7" i="19"/>
  <c r="D7" i="19"/>
  <c r="C7" i="19"/>
  <c r="J7" i="19"/>
  <c r="A7" i="19"/>
  <c r="A6" i="19"/>
  <c r="F5" i="19"/>
  <c r="D5" i="19"/>
  <c r="G5" i="19"/>
  <c r="I5" i="19"/>
  <c r="M5" i="19"/>
  <c r="C5" i="19"/>
  <c r="J5" i="19"/>
  <c r="A5" i="19"/>
  <c r="F4" i="19"/>
  <c r="D4" i="19"/>
  <c r="G4" i="19"/>
  <c r="I4" i="19"/>
  <c r="M4" i="19"/>
  <c r="C4" i="19"/>
  <c r="K4" i="19"/>
  <c r="J4" i="19"/>
  <c r="A4" i="19"/>
  <c r="P23" i="16"/>
  <c r="J5" i="18"/>
  <c r="J7" i="18"/>
  <c r="J8" i="18"/>
  <c r="J9" i="18"/>
  <c r="J10" i="18"/>
  <c r="J11" i="18"/>
  <c r="J12" i="18"/>
  <c r="J13" i="18"/>
  <c r="J14" i="18"/>
  <c r="J15" i="18"/>
  <c r="J16" i="18"/>
  <c r="J17" i="18"/>
  <c r="J4" i="18"/>
  <c r="G16" i="18"/>
  <c r="C16" i="18"/>
  <c r="G5" i="18"/>
  <c r="G8" i="18"/>
  <c r="I10" i="18"/>
  <c r="M10" i="18"/>
  <c r="G11" i="18"/>
  <c r="C11" i="18"/>
  <c r="K11" i="18"/>
  <c r="G14" i="18"/>
  <c r="C14" i="18"/>
  <c r="K14" i="18"/>
  <c r="D17" i="18"/>
  <c r="G17" i="18"/>
  <c r="I11" i="18"/>
  <c r="M11" i="18"/>
  <c r="I13" i="18"/>
  <c r="M13" i="18"/>
  <c r="C5" i="18"/>
  <c r="K5" i="18"/>
  <c r="C6" i="18"/>
  <c r="C7" i="18"/>
  <c r="G7" i="18"/>
  <c r="K7" i="18"/>
  <c r="C8" i="18"/>
  <c r="K8" i="18"/>
  <c r="C9" i="18"/>
  <c r="C10" i="18"/>
  <c r="C12" i="18"/>
  <c r="G12" i="18"/>
  <c r="K12" i="18"/>
  <c r="C13" i="18"/>
  <c r="C15" i="18"/>
  <c r="G15" i="18"/>
  <c r="K15" i="18"/>
  <c r="C17" i="18"/>
  <c r="I15" i="18"/>
  <c r="M15" i="18"/>
  <c r="I14" i="18"/>
  <c r="M14" i="18"/>
  <c r="G13" i="18"/>
  <c r="I12" i="18"/>
  <c r="M12" i="18"/>
  <c r="G10" i="18"/>
  <c r="K10" i="18"/>
  <c r="I8" i="18"/>
  <c r="M8" i="18"/>
  <c r="I7" i="18"/>
  <c r="M7" i="18"/>
  <c r="I4" i="18"/>
  <c r="M4" i="18"/>
  <c r="C4" i="18"/>
  <c r="G4" i="18"/>
  <c r="K4" i="18"/>
  <c r="D6" i="15"/>
  <c r="F6" i="15"/>
  <c r="D7" i="15"/>
  <c r="F7" i="15"/>
  <c r="D8" i="15"/>
  <c r="F8" i="15"/>
  <c r="D9" i="15"/>
  <c r="F9" i="15"/>
  <c r="D10" i="15"/>
  <c r="F10" i="15"/>
  <c r="D11" i="15"/>
  <c r="F11" i="15"/>
  <c r="D12" i="15"/>
  <c r="F12" i="15"/>
  <c r="D13" i="15"/>
  <c r="F13" i="15"/>
  <c r="D14" i="15"/>
  <c r="F14" i="15"/>
  <c r="D15" i="15"/>
  <c r="F15" i="15"/>
  <c r="D16" i="15"/>
  <c r="F16" i="15"/>
  <c r="D17" i="15"/>
  <c r="F17" i="15"/>
  <c r="D18" i="15"/>
  <c r="F18" i="15"/>
  <c r="D19" i="15"/>
  <c r="F19" i="15"/>
  <c r="D20" i="15"/>
  <c r="F20" i="15"/>
  <c r="D21" i="15"/>
  <c r="F21" i="15"/>
  <c r="D22" i="15"/>
  <c r="F22" i="15"/>
  <c r="D23" i="15"/>
  <c r="F23" i="15"/>
  <c r="D24" i="15"/>
  <c r="F24" i="15"/>
  <c r="D25" i="15"/>
  <c r="F25" i="15"/>
  <c r="D26" i="15"/>
  <c r="F26" i="15"/>
  <c r="D27" i="15"/>
  <c r="F27" i="15"/>
  <c r="D28" i="15"/>
  <c r="F28" i="15"/>
  <c r="D29" i="15"/>
  <c r="F29" i="15"/>
  <c r="D30" i="15"/>
  <c r="F30" i="15"/>
  <c r="D31" i="15"/>
  <c r="F31" i="15"/>
  <c r="D32" i="15"/>
  <c r="F32" i="15"/>
  <c r="D33" i="15"/>
  <c r="F33" i="15"/>
  <c r="D34" i="15"/>
  <c r="F34" i="15"/>
  <c r="I15" i="14"/>
  <c r="M15" i="14"/>
  <c r="I16" i="14"/>
  <c r="M16" i="14"/>
  <c r="C15" i="14"/>
  <c r="G15" i="14"/>
  <c r="K15" i="14"/>
  <c r="C16" i="14"/>
  <c r="G16" i="14"/>
  <c r="K16" i="14"/>
  <c r="I15" i="13"/>
  <c r="M15" i="13"/>
  <c r="I16" i="13"/>
  <c r="M16" i="13"/>
  <c r="G17" i="13"/>
  <c r="C17" i="13"/>
  <c r="K17" i="13"/>
  <c r="C15" i="13"/>
  <c r="G15" i="13"/>
  <c r="K15" i="13"/>
  <c r="C16" i="13"/>
  <c r="G16" i="13"/>
  <c r="K16" i="13"/>
  <c r="AC40" i="12"/>
  <c r="AC39" i="12"/>
  <c r="AC32" i="12"/>
  <c r="AC23" i="12"/>
  <c r="AC22" i="12"/>
  <c r="AC38" i="12"/>
  <c r="AC37" i="12"/>
  <c r="AC36" i="12"/>
  <c r="AC35" i="12"/>
  <c r="AC34" i="12"/>
  <c r="AC33" i="12"/>
  <c r="AC31" i="12"/>
  <c r="M17" i="11"/>
  <c r="M32" i="11"/>
  <c r="M16" i="11"/>
  <c r="M31" i="11"/>
  <c r="M15" i="11"/>
  <c r="M30" i="11"/>
  <c r="M14" i="11"/>
  <c r="M29" i="11"/>
  <c r="M11" i="11"/>
  <c r="M26" i="11"/>
  <c r="M8" i="11"/>
  <c r="M23" i="11"/>
  <c r="M7" i="11"/>
  <c r="M22" i="11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20" i="10"/>
  <c r="M30" i="10"/>
  <c r="M31" i="10"/>
  <c r="M32" i="10"/>
  <c r="M33" i="10"/>
  <c r="M34" i="10"/>
  <c r="M35" i="10"/>
  <c r="M36" i="10"/>
  <c r="M37" i="10"/>
  <c r="M38" i="10"/>
  <c r="M39" i="10"/>
  <c r="M29" i="10"/>
  <c r="M12" i="2"/>
  <c r="M11" i="2"/>
  <c r="M10" i="2"/>
  <c r="M9" i="2"/>
  <c r="M8" i="2"/>
  <c r="M7" i="2"/>
  <c r="M6" i="2"/>
  <c r="M5" i="2"/>
  <c r="M4" i="2"/>
  <c r="M18" i="2"/>
  <c r="D5" i="7"/>
  <c r="G5" i="7"/>
  <c r="K5" i="7"/>
  <c r="F5" i="7"/>
  <c r="I5" i="7"/>
  <c r="M5" i="7"/>
  <c r="O5" i="7"/>
  <c r="D6" i="7"/>
  <c r="G6" i="7"/>
  <c r="K6" i="7"/>
  <c r="F6" i="7"/>
  <c r="I6" i="7"/>
  <c r="M6" i="7"/>
  <c r="P6" i="7"/>
  <c r="D7" i="7"/>
  <c r="G7" i="7"/>
  <c r="K7" i="7"/>
  <c r="F7" i="7"/>
  <c r="I7" i="7"/>
  <c r="M7" i="7"/>
  <c r="O7" i="7"/>
  <c r="D8" i="7"/>
  <c r="G8" i="7"/>
  <c r="K8" i="7"/>
  <c r="F8" i="7"/>
  <c r="I8" i="7"/>
  <c r="M8" i="7"/>
  <c r="O8" i="7"/>
  <c r="D9" i="7"/>
  <c r="G9" i="7"/>
  <c r="K9" i="7"/>
  <c r="F9" i="7"/>
  <c r="I9" i="7"/>
  <c r="M9" i="7"/>
  <c r="D10" i="7"/>
  <c r="G10" i="7"/>
  <c r="K10" i="7"/>
  <c r="F10" i="7"/>
  <c r="I10" i="7"/>
  <c r="M10" i="7"/>
  <c r="D11" i="7"/>
  <c r="F11" i="7"/>
  <c r="I11" i="7"/>
  <c r="G11" i="7"/>
  <c r="K11" i="7"/>
  <c r="D12" i="7"/>
  <c r="G12" i="7"/>
  <c r="K12" i="7"/>
  <c r="F12" i="7"/>
  <c r="D22" i="7"/>
  <c r="G22" i="7"/>
  <c r="K22" i="7"/>
  <c r="F22" i="7"/>
  <c r="I22" i="7"/>
  <c r="M22" i="7"/>
  <c r="O22" i="7"/>
  <c r="D23" i="7"/>
  <c r="G23" i="7"/>
  <c r="K23" i="7"/>
  <c r="F23" i="7"/>
  <c r="I23" i="7"/>
  <c r="M23" i="7"/>
  <c r="D24" i="7"/>
  <c r="F24" i="7"/>
  <c r="I24" i="7"/>
  <c r="M24" i="7"/>
  <c r="G24" i="7"/>
  <c r="K24" i="7"/>
  <c r="P24" i="7"/>
  <c r="D25" i="7"/>
  <c r="G25" i="7"/>
  <c r="K25" i="7"/>
  <c r="F25" i="7"/>
  <c r="I25" i="7"/>
  <c r="M25" i="7"/>
  <c r="D26" i="7"/>
  <c r="G26" i="7"/>
  <c r="K26" i="7"/>
  <c r="F26" i="7"/>
  <c r="I26" i="7"/>
  <c r="M26" i="7"/>
  <c r="O26" i="7"/>
  <c r="D27" i="7"/>
  <c r="F27" i="7"/>
  <c r="D28" i="7"/>
  <c r="G28" i="7"/>
  <c r="K28" i="7"/>
  <c r="F28" i="7"/>
  <c r="D29" i="7"/>
  <c r="G29" i="7"/>
  <c r="K29" i="7"/>
  <c r="F29" i="7"/>
  <c r="I29" i="7"/>
  <c r="M29" i="7"/>
  <c r="O29" i="7"/>
  <c r="D30" i="7"/>
  <c r="G30" i="7"/>
  <c r="K30" i="7"/>
  <c r="F30" i="7"/>
  <c r="I30" i="7"/>
  <c r="M30" i="7"/>
  <c r="P30" i="7"/>
  <c r="D31" i="7"/>
  <c r="G31" i="7"/>
  <c r="K31" i="7"/>
  <c r="F31" i="7"/>
  <c r="I31" i="7"/>
  <c r="M31" i="7"/>
  <c r="D32" i="7"/>
  <c r="G32" i="7"/>
  <c r="K32" i="7"/>
  <c r="F32" i="7"/>
  <c r="I32" i="7"/>
  <c r="M32" i="7"/>
  <c r="D33" i="7"/>
  <c r="G33" i="7"/>
  <c r="K33" i="7"/>
  <c r="F33" i="7"/>
  <c r="I33" i="7"/>
  <c r="M33" i="7"/>
  <c r="D34" i="7"/>
  <c r="G34" i="7"/>
  <c r="K34" i="7"/>
  <c r="F34" i="7"/>
  <c r="D35" i="7"/>
  <c r="G35" i="7"/>
  <c r="K35" i="7"/>
  <c r="F35" i="7"/>
  <c r="D36" i="7"/>
  <c r="G36" i="7"/>
  <c r="K36" i="7"/>
  <c r="F36" i="7"/>
  <c r="D37" i="7"/>
  <c r="G37" i="7"/>
  <c r="K37" i="7"/>
  <c r="F37" i="7"/>
  <c r="I37" i="7"/>
  <c r="M37" i="7"/>
  <c r="D38" i="7"/>
  <c r="G38" i="7"/>
  <c r="K38" i="7"/>
  <c r="F38" i="7"/>
  <c r="I38" i="7"/>
  <c r="M38" i="7"/>
  <c r="D39" i="7"/>
  <c r="G39" i="7"/>
  <c r="K39" i="7"/>
  <c r="F39" i="7"/>
  <c r="I39" i="7"/>
  <c r="M39" i="7"/>
  <c r="D40" i="7"/>
  <c r="G40" i="7"/>
  <c r="F40" i="7"/>
  <c r="I40" i="7"/>
  <c r="M40" i="7"/>
  <c r="K40" i="7"/>
  <c r="O40" i="7"/>
  <c r="D41" i="7"/>
  <c r="G41" i="7"/>
  <c r="K41" i="7"/>
  <c r="F41" i="7"/>
  <c r="I41" i="7"/>
  <c r="M41" i="7"/>
  <c r="O41" i="7"/>
  <c r="F4" i="7"/>
  <c r="I4" i="7"/>
  <c r="M4" i="7"/>
  <c r="P4" i="7"/>
  <c r="G21" i="6"/>
  <c r="I10" i="6"/>
  <c r="I22" i="6"/>
  <c r="I5" i="6"/>
  <c r="M5" i="6"/>
  <c r="I18" i="6"/>
  <c r="M18" i="6"/>
  <c r="G6" i="6"/>
  <c r="I6" i="6"/>
  <c r="M6" i="6"/>
  <c r="C6" i="6"/>
  <c r="K6" i="6"/>
  <c r="G7" i="6"/>
  <c r="C7" i="6"/>
  <c r="K7" i="6"/>
  <c r="I7" i="6"/>
  <c r="M7" i="6"/>
  <c r="G20" i="6"/>
  <c r="I8" i="6"/>
  <c r="I20" i="6"/>
  <c r="G23" i="6"/>
  <c r="I11" i="6"/>
  <c r="I23" i="6"/>
  <c r="I4" i="6"/>
  <c r="M4" i="6"/>
  <c r="M16" i="6"/>
  <c r="I16" i="6"/>
  <c r="G4" i="6"/>
  <c r="G16" i="6"/>
  <c r="C4" i="6"/>
  <c r="G30" i="4"/>
  <c r="I14" i="4"/>
  <c r="M14" i="4"/>
  <c r="M30" i="4"/>
  <c r="G31" i="4"/>
  <c r="I15" i="4"/>
  <c r="M15" i="4"/>
  <c r="I31" i="4"/>
  <c r="M31" i="4"/>
  <c r="G32" i="4"/>
  <c r="I16" i="4"/>
  <c r="I32" i="4"/>
  <c r="M16" i="4"/>
  <c r="M32" i="4"/>
  <c r="G33" i="4"/>
  <c r="I17" i="4"/>
  <c r="I33" i="4"/>
  <c r="M17" i="4"/>
  <c r="M33" i="4"/>
  <c r="G35" i="4"/>
  <c r="I19" i="4"/>
  <c r="M19" i="4"/>
  <c r="M35" i="4"/>
  <c r="I35" i="4"/>
  <c r="G36" i="4"/>
  <c r="I20" i="4"/>
  <c r="I36" i="4"/>
  <c r="M20" i="4"/>
  <c r="M36" i="4"/>
  <c r="G37" i="4"/>
  <c r="I21" i="4"/>
  <c r="I37" i="4"/>
  <c r="M21" i="4"/>
  <c r="M37" i="4"/>
  <c r="G38" i="4"/>
  <c r="I22" i="4"/>
  <c r="M22" i="4"/>
  <c r="M38" i="4"/>
  <c r="I38" i="4"/>
  <c r="G39" i="4"/>
  <c r="I23" i="4"/>
  <c r="M23" i="4"/>
  <c r="M39" i="4"/>
  <c r="I5" i="4"/>
  <c r="M5" i="4"/>
  <c r="I6" i="4"/>
  <c r="M6" i="4"/>
  <c r="I7" i="4"/>
  <c r="M7" i="4"/>
  <c r="I8" i="4"/>
  <c r="M8" i="4"/>
  <c r="I9" i="4"/>
  <c r="M9" i="4"/>
  <c r="I10" i="4"/>
  <c r="M10" i="4"/>
  <c r="I11" i="4"/>
  <c r="M11" i="4"/>
  <c r="I12" i="4"/>
  <c r="M12" i="4"/>
  <c r="I13" i="4"/>
  <c r="I29" i="4"/>
  <c r="M13" i="4"/>
  <c r="M29" i="4"/>
  <c r="I4" i="4"/>
  <c r="M4" i="4"/>
  <c r="G5" i="4"/>
  <c r="K5" i="4"/>
  <c r="G6" i="4"/>
  <c r="K6" i="4"/>
  <c r="G7" i="4"/>
  <c r="K7" i="4"/>
  <c r="G8" i="4"/>
  <c r="K8" i="4"/>
  <c r="G9" i="4"/>
  <c r="K9" i="4"/>
  <c r="G10" i="4"/>
  <c r="K10" i="4"/>
  <c r="G11" i="4"/>
  <c r="K11" i="4"/>
  <c r="G12" i="4"/>
  <c r="K12" i="4"/>
  <c r="G29" i="4"/>
  <c r="C5" i="2"/>
  <c r="K5" i="2"/>
  <c r="C6" i="2"/>
  <c r="K6" i="2"/>
  <c r="C7" i="2"/>
  <c r="K7" i="2"/>
  <c r="C8" i="2"/>
  <c r="K8" i="2"/>
  <c r="C9" i="2"/>
  <c r="K9" i="2"/>
  <c r="C10" i="2"/>
  <c r="K10" i="2"/>
  <c r="C11" i="2"/>
  <c r="K11" i="2"/>
  <c r="C12" i="2"/>
  <c r="K12" i="2"/>
  <c r="I12" i="7"/>
  <c r="M12" i="7"/>
  <c r="O12" i="7"/>
  <c r="I35" i="7"/>
  <c r="M35" i="7"/>
  <c r="O35" i="7"/>
  <c r="M11" i="7"/>
  <c r="O13" i="7"/>
  <c r="P13" i="7"/>
  <c r="P5" i="7"/>
  <c r="K4" i="6"/>
  <c r="K16" i="6"/>
  <c r="O38" i="7"/>
  <c r="P38" i="7"/>
  <c r="O24" i="7"/>
  <c r="P35" i="7"/>
  <c r="O39" i="7"/>
  <c r="P31" i="7"/>
  <c r="O31" i="7"/>
  <c r="P12" i="7"/>
  <c r="G10" i="19"/>
  <c r="K10" i="19"/>
  <c r="O11" i="7"/>
  <c r="O9" i="7"/>
  <c r="M17" i="21"/>
  <c r="M33" i="21"/>
  <c r="I33" i="21"/>
  <c r="AH15" i="17"/>
  <c r="D43" i="17"/>
  <c r="I29" i="21"/>
  <c r="F27" i="26"/>
  <c r="I11" i="26"/>
  <c r="K16" i="18"/>
  <c r="K11" i="19"/>
  <c r="G6" i="19"/>
  <c r="I6" i="19"/>
  <c r="M6" i="19"/>
  <c r="I31" i="21"/>
  <c r="AJ9" i="17"/>
  <c r="K37" i="17"/>
  <c r="G37" i="17"/>
  <c r="I16" i="18"/>
  <c r="M16" i="18"/>
  <c r="I27" i="21"/>
  <c r="M28" i="16"/>
  <c r="P29" i="7"/>
  <c r="G22" i="6"/>
  <c r="I25" i="18"/>
  <c r="M25" i="18"/>
  <c r="G25" i="18"/>
  <c r="K25" i="18"/>
  <c r="AF15" i="17"/>
  <c r="G43" i="17"/>
  <c r="AH8" i="17"/>
  <c r="F36" i="17"/>
  <c r="G34" i="16"/>
  <c r="K13" i="18"/>
  <c r="P7" i="7"/>
  <c r="P18" i="7"/>
  <c r="O18" i="7"/>
  <c r="P25" i="7"/>
  <c r="I34" i="7"/>
  <c r="M34" i="7"/>
  <c r="I17" i="18"/>
  <c r="M17" i="18"/>
  <c r="K5" i="19"/>
  <c r="I10" i="19"/>
  <c r="M10" i="19"/>
  <c r="I14" i="21"/>
  <c r="I12" i="21"/>
  <c r="I10" i="21"/>
  <c r="I26" i="21"/>
  <c r="G26" i="18"/>
  <c r="M37" i="16"/>
  <c r="AL11" i="17"/>
  <c r="M39" i="17"/>
  <c r="AH16" i="17"/>
  <c r="AL16" i="17"/>
  <c r="M44" i="17"/>
  <c r="F44" i="17"/>
  <c r="I36" i="7"/>
  <c r="M36" i="7"/>
  <c r="O36" i="7"/>
  <c r="G24" i="18"/>
  <c r="K24" i="18"/>
  <c r="I24" i="18"/>
  <c r="M24" i="18"/>
  <c r="I29" i="16"/>
  <c r="M29" i="16"/>
  <c r="I28" i="7"/>
  <c r="M28" i="7"/>
  <c r="I9" i="6"/>
  <c r="I17" i="13"/>
  <c r="M17" i="13"/>
  <c r="K17" i="18"/>
  <c r="I5" i="18"/>
  <c r="M5" i="18"/>
  <c r="G9" i="18"/>
  <c r="K9" i="18"/>
  <c r="I9" i="18"/>
  <c r="M9" i="18"/>
  <c r="G36" i="16"/>
  <c r="G32" i="16"/>
  <c r="K30" i="16"/>
  <c r="G9" i="16"/>
  <c r="K9" i="16"/>
  <c r="I16" i="21"/>
  <c r="K22" i="18"/>
  <c r="J31" i="16"/>
  <c r="F33" i="16"/>
  <c r="J33" i="16"/>
  <c r="K13" i="16"/>
  <c r="K21" i="16"/>
  <c r="K26" i="18"/>
  <c r="F32" i="16"/>
  <c r="I32" i="16"/>
  <c r="M32" i="16"/>
  <c r="J32" i="16"/>
  <c r="F34" i="16"/>
  <c r="I34" i="16"/>
  <c r="M34" i="16"/>
  <c r="J34" i="16"/>
  <c r="AH9" i="17"/>
  <c r="F37" i="17"/>
  <c r="AF14" i="17"/>
  <c r="AJ14" i="17"/>
  <c r="K42" i="17"/>
  <c r="D42" i="17"/>
  <c r="I19" i="2"/>
  <c r="K19" i="16"/>
  <c r="K11" i="16"/>
  <c r="K20" i="18"/>
  <c r="K36" i="16"/>
  <c r="D33" i="16"/>
  <c r="I11" i="16"/>
  <c r="M11" i="16"/>
  <c r="K18" i="16"/>
  <c r="K10" i="16"/>
  <c r="I9" i="21"/>
  <c r="K21" i="18"/>
  <c r="K37" i="16"/>
  <c r="K29" i="16"/>
  <c r="AH14" i="17"/>
  <c r="I42" i="17"/>
  <c r="I21" i="2"/>
  <c r="M21" i="2"/>
  <c r="M16" i="7"/>
  <c r="P16" i="7"/>
  <c r="M17" i="7"/>
  <c r="P17" i="7"/>
  <c r="I19" i="6"/>
  <c r="M19" i="6"/>
  <c r="I19" i="7"/>
  <c r="M19" i="7"/>
  <c r="K8" i="26"/>
  <c r="K24" i="26"/>
  <c r="G14" i="26"/>
  <c r="G30" i="26"/>
  <c r="D30" i="26"/>
  <c r="I7" i="26"/>
  <c r="M7" i="26"/>
  <c r="M23" i="26"/>
  <c r="I12" i="26"/>
  <c r="F28" i="26"/>
  <c r="I8" i="26"/>
  <c r="M8" i="26"/>
  <c r="M24" i="26"/>
  <c r="F24" i="26"/>
  <c r="K9" i="26"/>
  <c r="K25" i="26"/>
  <c r="G11" i="26"/>
  <c r="G27" i="26"/>
  <c r="D27" i="26"/>
  <c r="M17" i="26"/>
  <c r="M33" i="26"/>
  <c r="I33" i="26"/>
  <c r="K10" i="26"/>
  <c r="K26" i="26"/>
  <c r="K15" i="26"/>
  <c r="K31" i="26"/>
  <c r="G31" i="26"/>
  <c r="I14" i="26"/>
  <c r="I15" i="26"/>
  <c r="M9" i="21"/>
  <c r="M25" i="21"/>
  <c r="I25" i="21"/>
  <c r="I30" i="26"/>
  <c r="M14" i="26"/>
  <c r="M30" i="26"/>
  <c r="O28" i="7"/>
  <c r="O16" i="7"/>
  <c r="I32" i="21"/>
  <c r="M16" i="21"/>
  <c r="M32" i="21"/>
  <c r="AL8" i="17"/>
  <c r="M36" i="17"/>
  <c r="I36" i="17"/>
  <c r="M11" i="26"/>
  <c r="M27" i="26"/>
  <c r="I27" i="26"/>
  <c r="AL15" i="17"/>
  <c r="M43" i="17"/>
  <c r="I43" i="17"/>
  <c r="I24" i="26"/>
  <c r="I21" i="6"/>
  <c r="M9" i="6"/>
  <c r="M21" i="6"/>
  <c r="K11" i="26"/>
  <c r="K27" i="26"/>
  <c r="AL9" i="17"/>
  <c r="M37" i="17"/>
  <c r="I37" i="17"/>
  <c r="AJ15" i="17"/>
  <c r="K43" i="17"/>
  <c r="AL14" i="17"/>
  <c r="M42" i="17"/>
  <c r="O17" i="7"/>
  <c r="M14" i="21"/>
  <c r="M30" i="21"/>
  <c r="I30" i="21"/>
  <c r="M19" i="2"/>
  <c r="G33" i="16"/>
  <c r="K33" i="16"/>
  <c r="M15" i="26"/>
  <c r="M31" i="26"/>
  <c r="I31" i="26"/>
  <c r="K34" i="16"/>
  <c r="P20" i="7"/>
  <c r="O20" i="7"/>
  <c r="G42" i="17"/>
  <c r="I28" i="21"/>
  <c r="M12" i="21"/>
  <c r="M28" i="21"/>
  <c r="K14" i="26"/>
  <c r="K30" i="26"/>
  <c r="M12" i="26"/>
  <c r="M28" i="26"/>
  <c r="I28" i="26"/>
  <c r="K32" i="16"/>
  <c r="I33" i="16"/>
  <c r="M30" i="16"/>
  <c r="M33" i="16"/>
  <c r="O15" i="7"/>
  <c r="P14" i="7"/>
  <c r="O14" i="7"/>
  <c r="P15" i="7"/>
  <c r="P34" i="7"/>
  <c r="O34" i="7"/>
  <c r="O19" i="7"/>
  <c r="P19" i="7"/>
  <c r="P32" i="7"/>
  <c r="O32" i="7"/>
  <c r="P22" i="7"/>
  <c r="AJ11" i="17"/>
  <c r="K39" i="17"/>
  <c r="G39" i="17"/>
  <c r="P21" i="7"/>
  <c r="I44" i="17"/>
  <c r="I39" i="4"/>
  <c r="O37" i="7"/>
  <c r="G7" i="19"/>
  <c r="K7" i="19"/>
  <c r="I7" i="19"/>
  <c r="M7" i="19"/>
  <c r="O4" i="7"/>
  <c r="F45" i="17"/>
  <c r="AH17" i="17"/>
  <c r="AH12" i="17"/>
  <c r="F40" i="17"/>
  <c r="R15" i="32"/>
  <c r="M26" i="31"/>
  <c r="K26" i="31"/>
  <c r="P26" i="31"/>
  <c r="T26" i="31"/>
  <c r="N26" i="31"/>
  <c r="R26" i="31"/>
  <c r="M61" i="32"/>
  <c r="K61" i="32"/>
  <c r="N61" i="32"/>
  <c r="R61" i="32"/>
  <c r="Q10" i="30"/>
  <c r="U10" i="30"/>
  <c r="O10" i="30"/>
  <c r="I23" i="26"/>
  <c r="M10" i="21"/>
  <c r="M26" i="21"/>
  <c r="O6" i="7"/>
  <c r="I26" i="26"/>
  <c r="I30" i="4"/>
  <c r="O10" i="7"/>
  <c r="P10" i="7"/>
  <c r="P8" i="7"/>
  <c r="N17" i="31"/>
  <c r="R17" i="31"/>
  <c r="P17" i="31"/>
  <c r="T17" i="31"/>
  <c r="AJ10" i="17"/>
  <c r="K38" i="17"/>
  <c r="N12" i="46"/>
  <c r="R12" i="46"/>
  <c r="P12" i="46"/>
  <c r="T12" i="46"/>
  <c r="Q12" i="30"/>
  <c r="U12" i="30"/>
  <c r="O12" i="30"/>
  <c r="P36" i="7"/>
  <c r="P28" i="7"/>
  <c r="O23" i="7"/>
  <c r="G13" i="19"/>
  <c r="K13" i="19"/>
  <c r="I13" i="19"/>
  <c r="M13" i="19"/>
  <c r="I35" i="17"/>
  <c r="AL7" i="17"/>
  <c r="M35" i="17"/>
  <c r="O17" i="30"/>
  <c r="S17" i="30"/>
  <c r="O19" i="30"/>
  <c r="S19" i="30"/>
  <c r="Q19" i="30"/>
  <c r="U19" i="30"/>
  <c r="Q6" i="30"/>
  <c r="U6" i="30"/>
  <c r="O6" i="30"/>
  <c r="Q16" i="30"/>
  <c r="U16" i="30"/>
  <c r="O16" i="30"/>
  <c r="O36" i="41"/>
  <c r="M36" i="41"/>
  <c r="R36" i="41"/>
  <c r="V36" i="41"/>
  <c r="P36" i="41"/>
  <c r="P23" i="7"/>
  <c r="P37" i="7"/>
  <c r="O30" i="7"/>
  <c r="O25" i="7"/>
  <c r="K6" i="19"/>
  <c r="K12" i="16"/>
  <c r="G35" i="16"/>
  <c r="K35" i="16"/>
  <c r="I35" i="16"/>
  <c r="M35" i="16"/>
  <c r="K13" i="26"/>
  <c r="K29" i="26"/>
  <c r="G29" i="26"/>
  <c r="K17" i="26"/>
  <c r="K33" i="26"/>
  <c r="O22" i="30"/>
  <c r="S22" i="30"/>
  <c r="P40" i="7"/>
  <c r="P11" i="7"/>
  <c r="G8" i="19"/>
  <c r="K8" i="19"/>
  <c r="I8" i="19"/>
  <c r="M8" i="19"/>
  <c r="I8" i="16"/>
  <c r="M8" i="16"/>
  <c r="Q5" i="30"/>
  <c r="U5" i="30"/>
  <c r="O5" i="30"/>
  <c r="S5" i="30"/>
  <c r="Q7" i="30"/>
  <c r="U7" i="30"/>
  <c r="O7" i="30"/>
  <c r="S7" i="30"/>
  <c r="Q9" i="30"/>
  <c r="U9" i="30"/>
  <c r="O9" i="30"/>
  <c r="S9" i="30"/>
  <c r="Q11" i="30"/>
  <c r="U11" i="30"/>
  <c r="O11" i="30"/>
  <c r="S11" i="30"/>
  <c r="Q13" i="30"/>
  <c r="U13" i="30"/>
  <c r="O13" i="30"/>
  <c r="S13" i="30"/>
  <c r="Q15" i="30"/>
  <c r="U15" i="30"/>
  <c r="O15" i="30"/>
  <c r="S15" i="30"/>
  <c r="Q17" i="30"/>
  <c r="U17" i="30"/>
  <c r="P14" i="32"/>
  <c r="T14" i="32"/>
  <c r="N14" i="32"/>
  <c r="R14" i="32"/>
  <c r="R10" i="41"/>
  <c r="V10" i="41"/>
  <c r="W10" i="41"/>
  <c r="Q8" i="30"/>
  <c r="U8" i="30"/>
  <c r="O8" i="30"/>
  <c r="Q18" i="30"/>
  <c r="U18" i="30"/>
  <c r="O18" i="30"/>
  <c r="P39" i="7"/>
  <c r="P26" i="7"/>
  <c r="G28" i="26"/>
  <c r="K12" i="26"/>
  <c r="K28" i="26"/>
  <c r="Q14" i="30"/>
  <c r="U14" i="30"/>
  <c r="O14" i="30"/>
  <c r="P41" i="7"/>
  <c r="O33" i="7"/>
  <c r="P33" i="7"/>
  <c r="I27" i="7"/>
  <c r="M27" i="7"/>
  <c r="G27" i="7"/>
  <c r="K27" i="7"/>
  <c r="P9" i="7"/>
  <c r="G44" i="17"/>
  <c r="AJ16" i="17"/>
  <c r="K44" i="17"/>
  <c r="AJ12" i="17"/>
  <c r="K40" i="17"/>
  <c r="K16" i="26"/>
  <c r="K32" i="26"/>
  <c r="S6" i="30"/>
  <c r="S8" i="30"/>
  <c r="S10" i="30"/>
  <c r="S12" i="30"/>
  <c r="S14" i="30"/>
  <c r="S16" i="30"/>
  <c r="S18" i="30"/>
  <c r="S28" i="30"/>
  <c r="S24" i="30"/>
  <c r="N18" i="31"/>
  <c r="R18" i="31"/>
  <c r="N7" i="31"/>
  <c r="R7" i="31"/>
  <c r="P7" i="31"/>
  <c r="T7" i="31"/>
  <c r="R6" i="33"/>
  <c r="P11" i="37"/>
  <c r="T11" i="37"/>
  <c r="N11" i="37"/>
  <c r="N13" i="37"/>
  <c r="P13" i="37"/>
  <c r="T13" i="37"/>
  <c r="M11" i="6"/>
  <c r="M23" i="6"/>
  <c r="M8" i="6"/>
  <c r="M20" i="6"/>
  <c r="M10" i="6"/>
  <c r="M22" i="6"/>
  <c r="P6" i="32"/>
  <c r="T6" i="32"/>
  <c r="R13" i="36"/>
  <c r="R13" i="37"/>
  <c r="M9" i="26"/>
  <c r="M25" i="26"/>
  <c r="M13" i="26"/>
  <c r="M29" i="26"/>
  <c r="N6" i="31"/>
  <c r="R6" i="31"/>
  <c r="P6" i="37"/>
  <c r="T6" i="37"/>
  <c r="N6" i="37"/>
  <c r="R6" i="37"/>
  <c r="R8" i="37"/>
  <c r="N15" i="37"/>
  <c r="R15" i="37"/>
  <c r="S6" i="39"/>
  <c r="S10" i="39"/>
  <c r="S14" i="39"/>
  <c r="R11" i="41"/>
  <c r="V11" i="41"/>
  <c r="O34" i="41"/>
  <c r="R34" i="41"/>
  <c r="V34" i="41"/>
  <c r="S34" i="41"/>
  <c r="M28" i="31"/>
  <c r="P28" i="31"/>
  <c r="T28" i="31"/>
  <c r="Q26" i="31"/>
  <c r="Q61" i="32"/>
  <c r="Q58" i="32"/>
  <c r="M58" i="32"/>
  <c r="K58" i="32"/>
  <c r="P58" i="32"/>
  <c r="T58" i="32"/>
  <c r="N58" i="32"/>
  <c r="R58" i="32"/>
  <c r="AH13" i="17"/>
  <c r="F26" i="26"/>
  <c r="O25" i="30"/>
  <c r="S25" i="30"/>
  <c r="P16" i="31"/>
  <c r="T16" i="31"/>
  <c r="P10" i="37"/>
  <c r="T10" i="37"/>
  <c r="P7" i="36"/>
  <c r="T7" i="36"/>
  <c r="T36" i="41"/>
  <c r="P60" i="32"/>
  <c r="T60" i="32"/>
  <c r="K56" i="32"/>
  <c r="N56" i="32"/>
  <c r="R56" i="32"/>
  <c r="M56" i="32"/>
  <c r="P41" i="35"/>
  <c r="T41" i="35"/>
  <c r="R13" i="42"/>
  <c r="Y7" i="35"/>
  <c r="P7" i="35"/>
  <c r="T7" i="35"/>
  <c r="U20" i="32"/>
  <c r="K57" i="32"/>
  <c r="N57" i="32"/>
  <c r="R57" i="32"/>
  <c r="P20" i="32"/>
  <c r="T20" i="32"/>
  <c r="Q56" i="32"/>
  <c r="R21" i="32"/>
  <c r="R7" i="37"/>
  <c r="W14" i="41"/>
  <c r="R14" i="41"/>
  <c r="V14" i="41"/>
  <c r="R18" i="35"/>
  <c r="U5" i="35"/>
  <c r="W5" i="35"/>
  <c r="Q45" i="35"/>
  <c r="AF13" i="17"/>
  <c r="R8" i="36"/>
  <c r="S8" i="39"/>
  <c r="S12" i="39"/>
  <c r="R13" i="41"/>
  <c r="V13" i="41"/>
  <c r="W13" i="41"/>
  <c r="Q27" i="31"/>
  <c r="Y17" i="41"/>
  <c r="Y18" i="41"/>
  <c r="P6" i="36"/>
  <c r="T6" i="36"/>
  <c r="R11" i="37"/>
  <c r="R6" i="41"/>
  <c r="V6" i="41"/>
  <c r="W6" i="41"/>
  <c r="S35" i="41"/>
  <c r="O35" i="41"/>
  <c r="R35" i="41"/>
  <c r="V35" i="41"/>
  <c r="N12" i="31"/>
  <c r="R12" i="31"/>
  <c r="Q28" i="31"/>
  <c r="P13" i="42"/>
  <c r="T13" i="42"/>
  <c r="R9" i="43"/>
  <c r="R13" i="43"/>
  <c r="V15" i="35"/>
  <c r="W15" i="35"/>
  <c r="P21" i="35"/>
  <c r="T21" i="35"/>
  <c r="K49" i="35"/>
  <c r="N49" i="35"/>
  <c r="R49" i="35"/>
  <c r="P12" i="35"/>
  <c r="T12" i="35"/>
  <c r="V12" i="35"/>
  <c r="Y12" i="35"/>
  <c r="Q44" i="35"/>
  <c r="O31" i="41"/>
  <c r="R31" i="41"/>
  <c r="V31" i="41"/>
  <c r="T14" i="41"/>
  <c r="Y14" i="41"/>
  <c r="T11" i="41"/>
  <c r="Y6" i="41"/>
  <c r="W7" i="38"/>
  <c r="V7" i="38"/>
  <c r="V8" i="35"/>
  <c r="Y32" i="35"/>
  <c r="M43" i="35"/>
  <c r="P32" i="35"/>
  <c r="T32" i="35"/>
  <c r="W14" i="38"/>
  <c r="V14" i="38"/>
  <c r="P7" i="42"/>
  <c r="T7" i="42"/>
  <c r="P15" i="42"/>
  <c r="T15" i="42"/>
  <c r="R8" i="43"/>
  <c r="R12" i="43"/>
  <c r="R5" i="43"/>
  <c r="R24" i="35"/>
  <c r="U11" i="35"/>
  <c r="R11" i="45"/>
  <c r="W5" i="38"/>
  <c r="V5" i="38"/>
  <c r="P23" i="35"/>
  <c r="T23" i="35"/>
  <c r="V10" i="35"/>
  <c r="N23" i="35"/>
  <c r="R23" i="35"/>
  <c r="Y24" i="35"/>
  <c r="P24" i="35"/>
  <c r="T24" i="35"/>
  <c r="Y31" i="35"/>
  <c r="P31" i="35"/>
  <c r="T31" i="35"/>
  <c r="R11" i="46"/>
  <c r="Y7" i="41"/>
  <c r="W6" i="38"/>
  <c r="V6" i="38"/>
  <c r="K27" i="31"/>
  <c r="N27" i="31"/>
  <c r="R27" i="31"/>
  <c r="P9" i="42"/>
  <c r="T9" i="42"/>
  <c r="R7" i="43"/>
  <c r="R11" i="43"/>
  <c r="R15" i="43"/>
  <c r="R27" i="35"/>
  <c r="U14" i="35"/>
  <c r="W14" i="35"/>
  <c r="R26" i="35"/>
  <c r="U13" i="35"/>
  <c r="W13" i="35"/>
  <c r="U10" i="35"/>
  <c r="U8" i="35"/>
  <c r="W8" i="35"/>
  <c r="R19" i="35"/>
  <c r="U6" i="35"/>
  <c r="W6" i="35"/>
  <c r="R33" i="35"/>
  <c r="R31" i="35"/>
  <c r="P22" i="35"/>
  <c r="T22" i="35"/>
  <c r="V9" i="35"/>
  <c r="W9" i="35"/>
  <c r="R9" i="45"/>
  <c r="R7" i="46"/>
  <c r="R17" i="41"/>
  <c r="V17" i="41"/>
  <c r="P6" i="42"/>
  <c r="T6" i="42"/>
  <c r="P14" i="42"/>
  <c r="T14" i="42"/>
  <c r="R12" i="35"/>
  <c r="U12" i="35"/>
  <c r="W12" i="35"/>
  <c r="Y11" i="35"/>
  <c r="P11" i="35"/>
  <c r="T11" i="35"/>
  <c r="M45" i="35"/>
  <c r="P45" i="35"/>
  <c r="T45" i="35"/>
  <c r="Q43" i="35"/>
  <c r="Y20" i="35"/>
  <c r="P20" i="35"/>
  <c r="T20" i="35"/>
  <c r="P8" i="45"/>
  <c r="T8" i="45"/>
  <c r="R10" i="46"/>
  <c r="Y8" i="41"/>
  <c r="V13" i="38"/>
  <c r="R6" i="43"/>
  <c r="R10" i="43"/>
  <c r="R14" i="43"/>
  <c r="K44" i="35"/>
  <c r="N44" i="35"/>
  <c r="R44" i="35"/>
  <c r="P6" i="46"/>
  <c r="T6" i="46"/>
  <c r="N6" i="46"/>
  <c r="R6" i="46"/>
  <c r="Y15" i="41"/>
  <c r="Y12" i="41"/>
  <c r="W15" i="38"/>
  <c r="V15" i="38"/>
  <c r="G11" i="10"/>
  <c r="K11" i="10"/>
  <c r="I11" i="10"/>
  <c r="M11" i="10"/>
  <c r="G12" i="12"/>
  <c r="K12" i="12"/>
  <c r="I12" i="12"/>
  <c r="M12" i="12"/>
  <c r="T10" i="41"/>
  <c r="V11" i="38"/>
  <c r="W11" i="38"/>
  <c r="K5" i="10"/>
  <c r="F23" i="13"/>
  <c r="D23" i="13"/>
  <c r="I23" i="13"/>
  <c r="M23" i="13"/>
  <c r="G23" i="13"/>
  <c r="D34" i="18"/>
  <c r="G34" i="18"/>
  <c r="K34" i="18"/>
  <c r="F32" i="18"/>
  <c r="D32" i="18"/>
  <c r="G32" i="18"/>
  <c r="K32" i="18"/>
  <c r="G8" i="12"/>
  <c r="K8" i="12"/>
  <c r="G4" i="12"/>
  <c r="I4" i="12"/>
  <c r="M4" i="12"/>
  <c r="D28" i="21"/>
  <c r="G12" i="21"/>
  <c r="G28" i="21"/>
  <c r="W9" i="38"/>
  <c r="I35" i="18"/>
  <c r="M35" i="18"/>
  <c r="D6" i="12"/>
  <c r="G6" i="12"/>
  <c r="K6" i="12"/>
  <c r="J6" i="12"/>
  <c r="D24" i="13"/>
  <c r="G24" i="13"/>
  <c r="K24" i="13"/>
  <c r="D38" i="18"/>
  <c r="I38" i="18"/>
  <c r="M38" i="18"/>
  <c r="K12" i="10"/>
  <c r="I6" i="12"/>
  <c r="M6" i="12"/>
  <c r="K23" i="13"/>
  <c r="K25" i="13"/>
  <c r="T22" i="41"/>
  <c r="I25" i="13"/>
  <c r="M25" i="13"/>
  <c r="D31" i="18"/>
  <c r="I31" i="18"/>
  <c r="M31" i="18"/>
  <c r="K4" i="12"/>
  <c r="F24" i="14"/>
  <c r="D24" i="14"/>
  <c r="I24" i="14"/>
  <c r="M24" i="14"/>
  <c r="G24" i="14"/>
  <c r="K24" i="14"/>
  <c r="F24" i="13"/>
  <c r="K8" i="54"/>
  <c r="M55" i="32"/>
  <c r="P55" i="32"/>
  <c r="T55" i="32"/>
  <c r="D22" i="14"/>
  <c r="G22" i="14"/>
  <c r="K22" i="14"/>
  <c r="F39" i="18"/>
  <c r="I39" i="18"/>
  <c r="M39" i="18"/>
  <c r="I37" i="18"/>
  <c r="M37" i="18"/>
  <c r="G8" i="21"/>
  <c r="K8" i="21"/>
  <c r="K24" i="21"/>
  <c r="W9" i="63"/>
  <c r="V9" i="63"/>
  <c r="D33" i="18"/>
  <c r="G33" i="18"/>
  <c r="D36" i="18"/>
  <c r="G36" i="18"/>
  <c r="K36" i="18"/>
  <c r="D26" i="21"/>
  <c r="G10" i="21"/>
  <c r="G26" i="21"/>
  <c r="N13" i="58"/>
  <c r="P13" i="58"/>
  <c r="T13" i="58"/>
  <c r="G31" i="18"/>
  <c r="K31" i="18"/>
  <c r="F34" i="18"/>
  <c r="I34" i="18"/>
  <c r="M34" i="18"/>
  <c r="G38" i="18"/>
  <c r="K38" i="18"/>
  <c r="D32" i="21"/>
  <c r="G16" i="21"/>
  <c r="G32" i="21"/>
  <c r="D24" i="21"/>
  <c r="G24" i="21"/>
  <c r="D30" i="18"/>
  <c r="G30" i="18"/>
  <c r="K30" i="18"/>
  <c r="K12" i="21"/>
  <c r="K28" i="21"/>
  <c r="W11" i="63"/>
  <c r="V11" i="63"/>
  <c r="K33" i="18"/>
  <c r="D30" i="21"/>
  <c r="G14" i="21"/>
  <c r="G30" i="21"/>
  <c r="G17" i="21"/>
  <c r="G33" i="21"/>
  <c r="D33" i="21"/>
  <c r="R15" i="53"/>
  <c r="N9" i="62"/>
  <c r="R9" i="62"/>
  <c r="P9" i="62"/>
  <c r="T9" i="62"/>
  <c r="K11" i="56"/>
  <c r="K4" i="56"/>
  <c r="R15" i="63"/>
  <c r="K9" i="57"/>
  <c r="R6" i="59"/>
  <c r="W6" i="63"/>
  <c r="V6" i="63"/>
  <c r="R22" i="36"/>
  <c r="G15" i="21"/>
  <c r="G31" i="21"/>
  <c r="G13" i="21"/>
  <c r="G29" i="21"/>
  <c r="G11" i="21"/>
  <c r="G27" i="21"/>
  <c r="G9" i="21"/>
  <c r="G25" i="21"/>
  <c r="G7" i="21"/>
  <c r="G23" i="21"/>
  <c r="P11" i="58"/>
  <c r="T11" i="58"/>
  <c r="P7" i="60"/>
  <c r="T7" i="60"/>
  <c r="P13" i="62"/>
  <c r="T13" i="62"/>
  <c r="R14" i="63"/>
  <c r="H28" i="36"/>
  <c r="L28" i="36"/>
  <c r="W13" i="63"/>
  <c r="R23" i="36"/>
  <c r="K8" i="56"/>
  <c r="R11" i="58"/>
  <c r="R13" i="58"/>
  <c r="R15" i="58"/>
  <c r="P5" i="58"/>
  <c r="T5" i="58"/>
  <c r="P7" i="62"/>
  <c r="T7" i="62"/>
  <c r="P15" i="62"/>
  <c r="T15" i="62"/>
  <c r="V12" i="63"/>
  <c r="W8" i="63"/>
  <c r="F29" i="36"/>
  <c r="J29" i="36"/>
  <c r="H29" i="36"/>
  <c r="L29" i="36"/>
  <c r="I67" i="7"/>
  <c r="M67" i="7"/>
  <c r="G67" i="7"/>
  <c r="P36" i="33"/>
  <c r="T36" i="33"/>
  <c r="R31" i="33"/>
  <c r="K53" i="33"/>
  <c r="N53" i="33"/>
  <c r="R53" i="33"/>
  <c r="M53" i="33"/>
  <c r="P53" i="33"/>
  <c r="T53" i="33"/>
  <c r="K65" i="7"/>
  <c r="F61" i="7"/>
  <c r="I61" i="7"/>
  <c r="M61" i="7"/>
  <c r="I59" i="7"/>
  <c r="M59" i="7"/>
  <c r="K51" i="33"/>
  <c r="N51" i="33"/>
  <c r="R51" i="33"/>
  <c r="M51" i="33"/>
  <c r="P30" i="33"/>
  <c r="T30" i="33"/>
  <c r="U30" i="33"/>
  <c r="M48" i="33"/>
  <c r="K46" i="33"/>
  <c r="K61" i="7"/>
  <c r="F66" i="7"/>
  <c r="D66" i="7"/>
  <c r="G66" i="7"/>
  <c r="K66" i="7"/>
  <c r="R34" i="33"/>
  <c r="M55" i="33"/>
  <c r="P55" i="33"/>
  <c r="T55" i="33"/>
  <c r="M52" i="33"/>
  <c r="P52" i="33"/>
  <c r="T52" i="33"/>
  <c r="M50" i="33"/>
  <c r="P50" i="33"/>
  <c r="T50" i="33"/>
  <c r="M49" i="33"/>
  <c r="K49" i="33"/>
  <c r="P49" i="33"/>
  <c r="T49" i="33"/>
  <c r="W38" i="15"/>
  <c r="K69" i="7"/>
  <c r="D63" i="7"/>
  <c r="G63" i="7"/>
  <c r="F63" i="7"/>
  <c r="R30" i="33"/>
  <c r="W45" i="15"/>
  <c r="F64" i="7"/>
  <c r="D64" i="7"/>
  <c r="G64" i="7"/>
  <c r="K47" i="33"/>
  <c r="N47" i="33"/>
  <c r="R47" i="33"/>
  <c r="M47" i="33"/>
  <c r="P47" i="33"/>
  <c r="T47" i="33"/>
  <c r="N49" i="33"/>
  <c r="R49" i="33"/>
  <c r="K48" i="33"/>
  <c r="N48" i="33"/>
  <c r="R48" i="33"/>
  <c r="W43" i="15"/>
  <c r="K63" i="7"/>
  <c r="H37" i="36"/>
  <c r="L37" i="36"/>
  <c r="W39" i="15"/>
  <c r="K45" i="33"/>
  <c r="N45" i="33"/>
  <c r="R45" i="33"/>
  <c r="K67" i="7"/>
  <c r="K64" i="7"/>
  <c r="D68" i="7"/>
  <c r="G68" i="7"/>
  <c r="K68" i="7"/>
  <c r="P10" i="70"/>
  <c r="T10" i="70"/>
  <c r="R6" i="71"/>
  <c r="N12" i="71"/>
  <c r="R12" i="71"/>
  <c r="P14" i="71"/>
  <c r="T14" i="71"/>
  <c r="P8" i="70"/>
  <c r="T8" i="70"/>
  <c r="P6" i="70"/>
  <c r="T6" i="70"/>
  <c r="R11" i="71"/>
  <c r="R13" i="71"/>
  <c r="I63" i="7"/>
  <c r="M63" i="7"/>
  <c r="K11" i="21"/>
  <c r="K27" i="21"/>
  <c r="K13" i="21"/>
  <c r="K29" i="21"/>
  <c r="M57" i="32"/>
  <c r="P57" i="32"/>
  <c r="T57" i="32"/>
  <c r="P49" i="35"/>
  <c r="T49" i="35"/>
  <c r="P44" i="35"/>
  <c r="T44" i="35"/>
  <c r="I66" i="7"/>
  <c r="M66" i="7"/>
  <c r="W14" i="63"/>
  <c r="V14" i="63"/>
  <c r="W15" i="63"/>
  <c r="V15" i="63"/>
  <c r="K14" i="21"/>
  <c r="K30" i="21"/>
  <c r="K16" i="21"/>
  <c r="K32" i="21"/>
  <c r="I30" i="18"/>
  <c r="M30" i="18"/>
  <c r="V11" i="35"/>
  <c r="W11" i="35"/>
  <c r="V7" i="35"/>
  <c r="W7" i="35"/>
  <c r="W10" i="35"/>
  <c r="W17" i="35"/>
  <c r="I22" i="14"/>
  <c r="M22" i="14"/>
  <c r="S33" i="41"/>
  <c r="O33" i="41"/>
  <c r="M33" i="41"/>
  <c r="R33" i="41"/>
  <c r="V33" i="41"/>
  <c r="P33" i="41"/>
  <c r="T33" i="41"/>
  <c r="I41" i="17"/>
  <c r="AL13" i="17"/>
  <c r="M41" i="17"/>
  <c r="I33" i="18"/>
  <c r="M33" i="18"/>
  <c r="I36" i="18"/>
  <c r="M36" i="18"/>
  <c r="K46" i="35"/>
  <c r="N46" i="35"/>
  <c r="R46" i="35"/>
  <c r="M46" i="35"/>
  <c r="Q46" i="35"/>
  <c r="Q42" i="35"/>
  <c r="K42" i="35"/>
  <c r="N42" i="35"/>
  <c r="R42" i="35"/>
  <c r="M42" i="35"/>
  <c r="P42" i="35"/>
  <c r="T42" i="35"/>
  <c r="P61" i="32"/>
  <c r="T61" i="32"/>
  <c r="N46" i="33"/>
  <c r="R46" i="33"/>
  <c r="P46" i="33"/>
  <c r="T46" i="33"/>
  <c r="P45" i="33"/>
  <c r="T45" i="33"/>
  <c r="K10" i="21"/>
  <c r="K26" i="21"/>
  <c r="I32" i="18"/>
  <c r="M32" i="18"/>
  <c r="K47" i="35"/>
  <c r="N47" i="35"/>
  <c r="R47" i="35"/>
  <c r="Q47" i="35"/>
  <c r="M47" i="35"/>
  <c r="O27" i="7"/>
  <c r="P27" i="7"/>
  <c r="I40" i="17"/>
  <c r="AL12" i="17"/>
  <c r="M40" i="17"/>
  <c r="P27" i="31"/>
  <c r="T27" i="31"/>
  <c r="P48" i="33"/>
  <c r="T48" i="33"/>
  <c r="I68" i="7"/>
  <c r="M68" i="7"/>
  <c r="K7" i="21"/>
  <c r="K23" i="21"/>
  <c r="AL17" i="17"/>
  <c r="M45" i="17"/>
  <c r="I45" i="17"/>
  <c r="I64" i="7"/>
  <c r="M64" i="7"/>
  <c r="K15" i="21"/>
  <c r="K31" i="21"/>
  <c r="K9" i="21"/>
  <c r="K25" i="21"/>
  <c r="K43" i="35"/>
  <c r="N43" i="35"/>
  <c r="R43" i="35"/>
  <c r="Y10" i="41"/>
  <c r="S32" i="41"/>
  <c r="Q57" i="32"/>
  <c r="P51" i="33"/>
  <c r="T51" i="33"/>
  <c r="I24" i="13"/>
  <c r="M24" i="13"/>
  <c r="Y22" i="41"/>
  <c r="S36" i="41"/>
  <c r="K17" i="21"/>
  <c r="K33" i="21"/>
  <c r="Y23" i="41"/>
  <c r="Y11" i="41"/>
  <c r="AJ13" i="17"/>
  <c r="K41" i="17"/>
  <c r="G41" i="17"/>
  <c r="P56" i="32"/>
  <c r="T56" i="32"/>
  <c r="M32" i="41"/>
  <c r="P32" i="41"/>
  <c r="T32" i="41"/>
  <c r="O32" i="41"/>
  <c r="R32" i="41"/>
  <c r="V32" i="41"/>
  <c r="P43" i="35"/>
  <c r="T43" i="35"/>
  <c r="P47" i="35"/>
  <c r="T47" i="35"/>
  <c r="P46" i="35"/>
  <c r="T46" i="35"/>
</calcChain>
</file>

<file path=xl/sharedStrings.xml><?xml version="1.0" encoding="utf-8"?>
<sst xmlns="http://schemas.openxmlformats.org/spreadsheetml/2006/main" count="4940" uniqueCount="838">
  <si>
    <t>Austrain pine EBA-101</t>
  </si>
  <si>
    <t>F¹⁴C</t>
  </si>
  <si>
    <t>radiocarbon age (BC)</t>
  </si>
  <si>
    <t>δ¹³C*</t>
  </si>
  <si>
    <t>ETH-51226</t>
  </si>
  <si>
    <t>±</t>
  </si>
  <si>
    <t>ETH-51227</t>
  </si>
  <si>
    <t>ETH-51228</t>
  </si>
  <si>
    <t>ETH-51229</t>
  </si>
  <si>
    <t>ETH-51230</t>
  </si>
  <si>
    <t>ETH-51231</t>
  </si>
  <si>
    <t>ETH-51232</t>
  </si>
  <si>
    <t>ETH-51233</t>
  </si>
  <si>
    <t>ETH-51234</t>
  </si>
  <si>
    <t>ETH-51235</t>
  </si>
  <si>
    <t>BP (years)</t>
  </si>
  <si>
    <t>∆¹⁴C</t>
  </si>
  <si>
    <t>AC (years)</t>
  </si>
  <si>
    <t>MAMS-15517</t>
  </si>
  <si>
    <t>MAMS-15518</t>
  </si>
  <si>
    <t>MAMS-15519</t>
  </si>
  <si>
    <t>MAMS-15521</t>
  </si>
  <si>
    <t>MAMS-15522</t>
  </si>
  <si>
    <t>MAMS-15523</t>
  </si>
  <si>
    <t>MAMS-15524</t>
  </si>
  <si>
    <t>MAMS-15525</t>
  </si>
  <si>
    <t>MAMS-15526</t>
  </si>
  <si>
    <t>MAMS-15527 / ETH-46828</t>
  </si>
  <si>
    <t>MAMS-15528 / ETH-46829</t>
  </si>
  <si>
    <t>MAMS-15529 / ETH-46830</t>
  </si>
  <si>
    <t>MAMS-15530 / ETH-46831</t>
  </si>
  <si>
    <t>MAMS-15531 / ETH-46832</t>
  </si>
  <si>
    <t>MAMS-15532 / ETH-46833</t>
  </si>
  <si>
    <t>MAMS-15533 / ETH-46834</t>
  </si>
  <si>
    <t>MAMS-15534 / ETH-46835</t>
  </si>
  <si>
    <t>MAMS-15535 / ETH-46836</t>
  </si>
  <si>
    <t>MAMS-15536 / ETH-46837</t>
  </si>
  <si>
    <t>MAMS-15537 / ETH-46838</t>
  </si>
  <si>
    <t>MAMS-15527</t>
  </si>
  <si>
    <t>ETH-46828</t>
  </si>
  <si>
    <t>MAMS-15528</t>
  </si>
  <si>
    <t>ETH-46829</t>
  </si>
  <si>
    <t>MAMS-15529</t>
  </si>
  <si>
    <t>ETH-46830</t>
  </si>
  <si>
    <t>MAMS-15530</t>
  </si>
  <si>
    <t>ETH-46831</t>
  </si>
  <si>
    <t>MAMS-15531</t>
  </si>
  <si>
    <t>ETH-46832</t>
  </si>
  <si>
    <t>MAMS-15532</t>
  </si>
  <si>
    <t>ETH-46833</t>
  </si>
  <si>
    <t>MAMS-15533</t>
  </si>
  <si>
    <t>ETH-46834</t>
  </si>
  <si>
    <t>MAMS-15534</t>
  </si>
  <si>
    <t>ETH-46835</t>
  </si>
  <si>
    <t>MAMS-15535</t>
  </si>
  <si>
    <t>ETH-46836</t>
  </si>
  <si>
    <t>MAMS-15536</t>
  </si>
  <si>
    <t>ETH-46837</t>
  </si>
  <si>
    <t>MAMS-15537</t>
  </si>
  <si>
    <t>ETH-46838</t>
  </si>
  <si>
    <t>Germany Steinbach 91</t>
  </si>
  <si>
    <t>ETH-50131</t>
  </si>
  <si>
    <t>ETH-50133</t>
  </si>
  <si>
    <t>ETH-50134</t>
  </si>
  <si>
    <t>ETH-50135</t>
  </si>
  <si>
    <t>ETH-50136</t>
  </si>
  <si>
    <t>ETH-50137</t>
  </si>
  <si>
    <t>ETH-50138</t>
  </si>
  <si>
    <t>Switzerland Müstair</t>
  </si>
  <si>
    <t>Japan</t>
  </si>
  <si>
    <t>cal AD</t>
  </si>
  <si>
    <t>cal BP</t>
  </si>
  <si>
    <t>--</t>
  </si>
  <si>
    <t>radiocarbon age</t>
  </si>
  <si>
    <t>57608.1.2</t>
  </si>
  <si>
    <t>Tornetraesk B</t>
  </si>
  <si>
    <t>Tornetraesk (pool B)</t>
  </si>
  <si>
    <t>57607.1.2</t>
  </si>
  <si>
    <t>57606.1.2</t>
  </si>
  <si>
    <t>57605.1.2</t>
  </si>
  <si>
    <t>57604.1.2</t>
  </si>
  <si>
    <t>57603.1.2</t>
  </si>
  <si>
    <t>57602.1.2</t>
  </si>
  <si>
    <t>57599.1.2</t>
  </si>
  <si>
    <t>ETH-57609</t>
  </si>
  <si>
    <t>ETH-57599</t>
  </si>
  <si>
    <t>ETH-57600</t>
  </si>
  <si>
    <t>ETH-57601</t>
  </si>
  <si>
    <t>ETH-57602</t>
  </si>
  <si>
    <t>ETH-57603</t>
  </si>
  <si>
    <t>ETH-57604</t>
  </si>
  <si>
    <t>ETH-57605</t>
  </si>
  <si>
    <t>ETH-57606</t>
  </si>
  <si>
    <t>ETH-57607</t>
  </si>
  <si>
    <t>ETH-57608</t>
  </si>
  <si>
    <t>57599.1.1</t>
  </si>
  <si>
    <t>1000</t>
  </si>
  <si>
    <t>57600.1.1</t>
  </si>
  <si>
    <t>999</t>
  </si>
  <si>
    <t>57601.1.1</t>
  </si>
  <si>
    <t>998</t>
  </si>
  <si>
    <t>57602.1.1</t>
  </si>
  <si>
    <t>997</t>
  </si>
  <si>
    <t>57603.1.1</t>
  </si>
  <si>
    <t>996</t>
  </si>
  <si>
    <t>57604.1.1</t>
  </si>
  <si>
    <t>995</t>
  </si>
  <si>
    <t>57605.1.1</t>
  </si>
  <si>
    <t>994</t>
  </si>
  <si>
    <t>57606.1.1</t>
  </si>
  <si>
    <t>993</t>
  </si>
  <si>
    <t>57607.1.1</t>
  </si>
  <si>
    <t>992</t>
  </si>
  <si>
    <t>57608.1.1</t>
  </si>
  <si>
    <t>991</t>
  </si>
  <si>
    <t>57609.1.1</t>
  </si>
  <si>
    <t>990</t>
  </si>
  <si>
    <t>Tornetraesk</t>
  </si>
  <si>
    <t>ETH-57508</t>
  </si>
  <si>
    <t>ETH-57509</t>
  </si>
  <si>
    <t>ETH-57510</t>
  </si>
  <si>
    <t>ETH-57511</t>
  </si>
  <si>
    <t>ETH-57512</t>
  </si>
  <si>
    <t>ETH-57513</t>
  </si>
  <si>
    <t>ETH-57514</t>
  </si>
  <si>
    <t>ETH-57515</t>
  </si>
  <si>
    <t>ETH-57516</t>
  </si>
  <si>
    <t>ETH-57517</t>
  </si>
  <si>
    <t>ETH-57518</t>
  </si>
  <si>
    <t>Hakervalen (pool) (via Hans L) – middle Sweden</t>
  </si>
  <si>
    <t>Hakervalen</t>
  </si>
  <si>
    <t>60008.1.1</t>
  </si>
  <si>
    <t>60009.1.1</t>
  </si>
  <si>
    <t>60009.1.2</t>
  </si>
  <si>
    <t>60010.1.1</t>
  </si>
  <si>
    <t>60010.1.2</t>
  </si>
  <si>
    <t>60011.1.1</t>
  </si>
  <si>
    <t>60012.1.1</t>
  </si>
  <si>
    <t>60013.1.1</t>
  </si>
  <si>
    <t>60014.1.1</t>
  </si>
  <si>
    <t>60015.1.1</t>
  </si>
  <si>
    <t>60016.1.1</t>
  </si>
  <si>
    <t>60017.1.1</t>
  </si>
  <si>
    <t>ETH-60008</t>
  </si>
  <si>
    <t>ETH-60009</t>
  </si>
  <si>
    <t>ETH-60010</t>
  </si>
  <si>
    <t>ETH-60011</t>
  </si>
  <si>
    <t>ETH-60012</t>
  </si>
  <si>
    <t>ETH-60013</t>
  </si>
  <si>
    <t>ETH-60014</t>
  </si>
  <si>
    <t>ETH-60015</t>
  </si>
  <si>
    <t>ETH-60016</t>
  </si>
  <si>
    <t>ETH-60017</t>
  </si>
  <si>
    <r>
      <t>F</t>
    </r>
    <r>
      <rPr>
        <b/>
        <vertAlign val="superscript"/>
        <sz val="10"/>
        <rFont val="Verdana"/>
        <family val="2"/>
      </rPr>
      <t>14</t>
    </r>
    <r>
      <rPr>
        <b/>
        <sz val="10"/>
        <rFont val="Verdana"/>
        <family val="2"/>
      </rPr>
      <t xml:space="preserve">C </t>
    </r>
  </si>
  <si>
    <t>Fjorforddalen</t>
  </si>
  <si>
    <t>0990EL</t>
  </si>
  <si>
    <t>0991EL</t>
  </si>
  <si>
    <t>0992EL</t>
  </si>
  <si>
    <t>0993EL</t>
  </si>
  <si>
    <t>0994EL</t>
  </si>
  <si>
    <t>0995EL</t>
  </si>
  <si>
    <t>0996EL</t>
  </si>
  <si>
    <t>0997EL</t>
  </si>
  <si>
    <t>0998EL</t>
  </si>
  <si>
    <t>0999EL</t>
  </si>
  <si>
    <t>1000EL</t>
  </si>
  <si>
    <t>ETH nr.</t>
  </si>
  <si>
    <t>sample label</t>
  </si>
  <si>
    <t>sample label #</t>
  </si>
  <si>
    <t>sample comment</t>
  </si>
  <si>
    <t>sample comment 2</t>
  </si>
  <si>
    <r>
      <t>14</t>
    </r>
    <r>
      <rPr>
        <b/>
        <sz val="10"/>
        <rFont val="Verdana"/>
        <family val="2"/>
      </rPr>
      <t>C  counts</t>
    </r>
  </si>
  <si>
    <r>
      <t>12</t>
    </r>
    <r>
      <rPr>
        <b/>
        <sz val="10"/>
        <rFont val="Verdana"/>
        <family val="2"/>
      </rPr>
      <t>C LE (µA)</t>
    </r>
  </si>
  <si>
    <r>
      <t>12</t>
    </r>
    <r>
      <rPr>
        <b/>
        <sz val="10"/>
        <rFont val="Verdana"/>
        <family val="2"/>
      </rPr>
      <t>C He (µA)</t>
    </r>
  </si>
  <si>
    <r>
      <t>14</t>
    </r>
    <r>
      <rPr>
        <b/>
        <sz val="10"/>
        <rFont val="Verdana"/>
        <family val="2"/>
      </rPr>
      <t>C/</t>
    </r>
    <r>
      <rPr>
        <b/>
        <vertAlign val="superscript"/>
        <sz val="10"/>
        <rFont val="Verdana"/>
        <family val="2"/>
      </rPr>
      <t>12</t>
    </r>
    <r>
      <rPr>
        <b/>
        <sz val="10"/>
        <rFont val="Verdana"/>
        <family val="2"/>
      </rPr>
      <t>C (10</t>
    </r>
    <r>
      <rPr>
        <b/>
        <vertAlign val="superscript"/>
        <sz val="10"/>
        <rFont val="Verdana"/>
        <family val="2"/>
      </rPr>
      <t>-12</t>
    </r>
    <r>
      <rPr>
        <b/>
        <sz val="10"/>
        <rFont val="Verdana"/>
        <family val="2"/>
      </rPr>
      <t>)</t>
    </r>
  </si>
  <si>
    <t>+- (%)</t>
  </si>
  <si>
    <r>
      <t>13</t>
    </r>
    <r>
      <rPr>
        <b/>
        <sz val="10"/>
        <rFont val="Verdana"/>
        <family val="2"/>
      </rPr>
      <t>C/</t>
    </r>
    <r>
      <rPr>
        <b/>
        <vertAlign val="superscript"/>
        <sz val="10"/>
        <rFont val="Verdana"/>
        <family val="2"/>
      </rPr>
      <t>12</t>
    </r>
    <r>
      <rPr>
        <b/>
        <sz val="10"/>
        <rFont val="Verdana"/>
        <family val="2"/>
      </rPr>
      <t>C (%)</t>
    </r>
  </si>
  <si>
    <t>sigma(%)</t>
  </si>
  <si>
    <t xml:space="preserve">+- </t>
  </si>
  <si>
    <t>age (y)</t>
  </si>
  <si>
    <t>+-(y)</t>
  </si>
  <si>
    <r>
      <t>δ</t>
    </r>
    <r>
      <rPr>
        <b/>
        <vertAlign val="superscript"/>
        <sz val="10"/>
        <rFont val="Verdana"/>
        <family val="2"/>
      </rPr>
      <t>13</t>
    </r>
    <r>
      <rPr>
        <b/>
        <sz val="10"/>
        <rFont val="Verdana"/>
        <family val="2"/>
      </rPr>
      <t>C (‰)</t>
    </r>
  </si>
  <si>
    <r>
      <t>13</t>
    </r>
    <r>
      <rPr>
        <b/>
        <sz val="10"/>
        <rFont val="Verdana"/>
        <family val="2"/>
      </rPr>
      <t>C(H) (nA)</t>
    </r>
  </si>
  <si>
    <t>Tornetraesk pool D</t>
  </si>
  <si>
    <t>ETH-49421</t>
  </si>
  <si>
    <t>ETH-49423</t>
  </si>
  <si>
    <t>ETH-49425</t>
  </si>
  <si>
    <t>ETH-49426</t>
  </si>
  <si>
    <t>ETH-49427</t>
  </si>
  <si>
    <t>ETH-49428</t>
  </si>
  <si>
    <t>ETH-49429</t>
  </si>
  <si>
    <t>ETH-49430</t>
  </si>
  <si>
    <t>ETH-49431</t>
  </si>
  <si>
    <t>ETH-49432</t>
  </si>
  <si>
    <t>ETH-49433</t>
  </si>
  <si>
    <t>ETH-49434</t>
  </si>
  <si>
    <t>ETH-49435</t>
  </si>
  <si>
    <t>ETH-49436</t>
  </si>
  <si>
    <t>ETH-49437</t>
  </si>
  <si>
    <t>ETH-49439</t>
  </si>
  <si>
    <t>ETH-49440</t>
  </si>
  <si>
    <t>ETH-49441</t>
  </si>
  <si>
    <t>ETH-49442</t>
  </si>
  <si>
    <t>ETH-49443</t>
  </si>
  <si>
    <t>ETH-49444</t>
  </si>
  <si>
    <t>ETH-49445</t>
  </si>
  <si>
    <t>ETH-49446</t>
  </si>
  <si>
    <t>ETH-49447</t>
  </si>
  <si>
    <t>ETH-49448</t>
  </si>
  <si>
    <t>ETH-49449</t>
  </si>
  <si>
    <t>ETH-49450</t>
  </si>
  <si>
    <t>ETH-49451</t>
  </si>
  <si>
    <t>ETH-49452</t>
  </si>
  <si>
    <t>ETH-49453</t>
  </si>
  <si>
    <t>Dargaville</t>
  </si>
  <si>
    <t>Agathis australis</t>
  </si>
  <si>
    <t>770EL</t>
  </si>
  <si>
    <t>771EL</t>
  </si>
  <si>
    <t>772EL</t>
  </si>
  <si>
    <t>773EL</t>
  </si>
  <si>
    <t>776EL</t>
  </si>
  <si>
    <t>777EL</t>
  </si>
  <si>
    <t>778EL</t>
  </si>
  <si>
    <t>779EL</t>
  </si>
  <si>
    <t>780EL</t>
  </si>
  <si>
    <t>59794.2.1</t>
  </si>
  <si>
    <t>PAT03</t>
  </si>
  <si>
    <t>0770EL</t>
  </si>
  <si>
    <t>59795.2.1</t>
  </si>
  <si>
    <t>0771EL</t>
  </si>
  <si>
    <t>59796.2.1</t>
  </si>
  <si>
    <t>0772EL</t>
  </si>
  <si>
    <t>59797.2.1</t>
  </si>
  <si>
    <t>0773EL</t>
  </si>
  <si>
    <t>59798.2.1</t>
  </si>
  <si>
    <t>0774EL</t>
  </si>
  <si>
    <t>59799.2.1</t>
  </si>
  <si>
    <t>0775EL</t>
  </si>
  <si>
    <t>59801.2.1</t>
  </si>
  <si>
    <t>0776EL</t>
  </si>
  <si>
    <t>59802.2.1</t>
  </si>
  <si>
    <t>0777EL</t>
  </si>
  <si>
    <t>59803.2.1</t>
  </si>
  <si>
    <t>0778EL</t>
  </si>
  <si>
    <t>59804.2.1</t>
  </si>
  <si>
    <t>0779EL</t>
  </si>
  <si>
    <t>59805.2.1</t>
  </si>
  <si>
    <t>0780EL</t>
  </si>
  <si>
    <t>Patagonia</t>
  </si>
  <si>
    <t>60338.1.1</t>
  </si>
  <si>
    <t>DAR01</t>
  </si>
  <si>
    <t>990EL</t>
  </si>
  <si>
    <t>60339.1.1</t>
  </si>
  <si>
    <t>991EL</t>
  </si>
  <si>
    <t>60340.1.1</t>
  </si>
  <si>
    <t>992E1</t>
  </si>
  <si>
    <t>60341.1.1</t>
  </si>
  <si>
    <t>992E2L</t>
  </si>
  <si>
    <t>60342.1.1</t>
  </si>
  <si>
    <t>993E1</t>
  </si>
  <si>
    <t>60343.1.1</t>
  </si>
  <si>
    <t>993E2L</t>
  </si>
  <si>
    <t>60344.1.1</t>
  </si>
  <si>
    <t>994E1</t>
  </si>
  <si>
    <t>60345.1.1</t>
  </si>
  <si>
    <t>994E2L</t>
  </si>
  <si>
    <t>60346.1.1</t>
  </si>
  <si>
    <t>995EL</t>
  </si>
  <si>
    <t>60347.1.1</t>
  </si>
  <si>
    <t>996EL</t>
  </si>
  <si>
    <t>60348.1.1</t>
  </si>
  <si>
    <t>997EL</t>
  </si>
  <si>
    <t>60349.1.1</t>
  </si>
  <si>
    <t>998EL</t>
  </si>
  <si>
    <t>60350.1.1</t>
  </si>
  <si>
    <t>999EL</t>
  </si>
  <si>
    <t>60351.1.1</t>
  </si>
  <si>
    <t>59794.2.2</t>
  </si>
  <si>
    <t/>
  </si>
  <si>
    <t>59796.2.2</t>
  </si>
  <si>
    <t>59797.2.2</t>
  </si>
  <si>
    <t>59798.2.2</t>
  </si>
  <si>
    <t>59799.2.2</t>
  </si>
  <si>
    <t>59801.2.2</t>
  </si>
  <si>
    <t>59802.2.2</t>
  </si>
  <si>
    <t>59810.2.1</t>
  </si>
  <si>
    <t>59811.2.1</t>
  </si>
  <si>
    <t>59812.2.1</t>
  </si>
  <si>
    <t>59813.2.1</t>
  </si>
  <si>
    <t>59814.2.1</t>
  </si>
  <si>
    <t>59815.2.1</t>
  </si>
  <si>
    <t>59816.2.1</t>
  </si>
  <si>
    <t>59817.2.1</t>
  </si>
  <si>
    <t>59818.2.1</t>
  </si>
  <si>
    <t>59819.2.1</t>
  </si>
  <si>
    <t>59820.2.1</t>
  </si>
  <si>
    <t>age range begin</t>
  </si>
  <si>
    <t>age range end</t>
  </si>
  <si>
    <t>774EL</t>
  </si>
  <si>
    <t>775EL</t>
  </si>
  <si>
    <t>Mongolia</t>
  </si>
  <si>
    <t>C150525DG1</t>
  </si>
  <si>
    <t>Bats version 4.06 (04.06.2015) written by L. Wacker</t>
  </si>
  <si>
    <t>Sample nr</t>
  </si>
  <si>
    <t>61154.1.1</t>
  </si>
  <si>
    <t>MON03</t>
  </si>
  <si>
    <t>Larix sibirica</t>
  </si>
  <si>
    <t>61155.1.1</t>
  </si>
  <si>
    <t>61156.1.1</t>
  </si>
  <si>
    <t>61157.1.1</t>
  </si>
  <si>
    <t>61158.1.1</t>
  </si>
  <si>
    <t>61159.1.1</t>
  </si>
  <si>
    <t>61160.1.1</t>
  </si>
  <si>
    <t>61161.1.1</t>
  </si>
  <si>
    <t>61162.1.1</t>
  </si>
  <si>
    <t>61163.1.1</t>
  </si>
  <si>
    <t>61164.1.1</t>
  </si>
  <si>
    <t>60338.2.1</t>
  </si>
  <si>
    <t>60339.2.1</t>
  </si>
  <si>
    <t>61488.1.1</t>
  </si>
  <si>
    <t>992EL</t>
  </si>
  <si>
    <t>61489.1.1</t>
  </si>
  <si>
    <t>993EL</t>
  </si>
  <si>
    <t>61490.1.1</t>
  </si>
  <si>
    <t>994EL</t>
  </si>
  <si>
    <t>60346.2.1</t>
  </si>
  <si>
    <t>60347.2.1</t>
  </si>
  <si>
    <t>60348.2.1</t>
  </si>
  <si>
    <t>60349.2.1</t>
  </si>
  <si>
    <t>60350.2.1</t>
  </si>
  <si>
    <t>Mean values</t>
  </si>
  <si>
    <t>calculated mean values</t>
  </si>
  <si>
    <t>sorted values (AC years)</t>
  </si>
  <si>
    <t>ETH-61154.1.1</t>
  </si>
  <si>
    <t>ETH-61155.1.1</t>
  </si>
  <si>
    <t>ETH-61156.1.1</t>
  </si>
  <si>
    <t>ETH-61157.1.1</t>
  </si>
  <si>
    <t>ETH-61158.1.1</t>
  </si>
  <si>
    <t>ETH-61159.1.1</t>
  </si>
  <si>
    <t>ETH-61160.1.1</t>
  </si>
  <si>
    <t>ETH-61161.1.1</t>
  </si>
  <si>
    <t>ETH-61162.1.1</t>
  </si>
  <si>
    <t>ETH-61163.1.1</t>
  </si>
  <si>
    <t>ETH-61164.1.1</t>
  </si>
  <si>
    <t>Altai</t>
  </si>
  <si>
    <t>61412.1.1</t>
  </si>
  <si>
    <t>ALT01</t>
  </si>
  <si>
    <t>Mongun+Sayan Mountains</t>
  </si>
  <si>
    <t>61413.1.1</t>
  </si>
  <si>
    <t>61414.1.1</t>
  </si>
  <si>
    <t>61415.1.1</t>
  </si>
  <si>
    <t>61416.1.1</t>
  </si>
  <si>
    <t>61417.1.1</t>
  </si>
  <si>
    <t>61418.1.1</t>
  </si>
  <si>
    <t>61419.1.1</t>
  </si>
  <si>
    <t>61420.1.1</t>
  </si>
  <si>
    <t>61421.1.1</t>
  </si>
  <si>
    <t>61422.1.1</t>
  </si>
  <si>
    <t>38779.45.1</t>
  </si>
  <si>
    <t>40759.76.1</t>
  </si>
  <si>
    <t>1515AD</t>
  </si>
  <si>
    <t>44660.49.1</t>
  </si>
  <si>
    <t>50201.2.116</t>
  </si>
  <si>
    <t>50201.2.117</t>
  </si>
  <si>
    <t>50201.2.118</t>
  </si>
  <si>
    <t>50202.2.268</t>
  </si>
  <si>
    <t>50202.2.269</t>
  </si>
  <si>
    <t>50202.2.270</t>
  </si>
  <si>
    <t>50202.2.271</t>
  </si>
  <si>
    <t>53376.1.169</t>
  </si>
  <si>
    <t>blank</t>
  </si>
  <si>
    <t>53376.1.170</t>
  </si>
  <si>
    <t>53376.1.171</t>
  </si>
  <si>
    <t>53376.1.172</t>
  </si>
  <si>
    <t>62351.1.1</t>
  </si>
  <si>
    <t>62352.1.1</t>
  </si>
  <si>
    <t>62353.1.1</t>
  </si>
  <si>
    <t>62354.1.1</t>
  </si>
  <si>
    <t>62355.1.1</t>
  </si>
  <si>
    <t>62356.1.1</t>
  </si>
  <si>
    <t>62357.1.1</t>
  </si>
  <si>
    <t>62358.1.1</t>
  </si>
  <si>
    <t>62359.1.1</t>
  </si>
  <si>
    <t>62360.1.1</t>
  </si>
  <si>
    <t>62361.1.1</t>
  </si>
  <si>
    <t>null</t>
  </si>
  <si>
    <t>38779.44.1</t>
  </si>
  <si>
    <t>40759.75.1</t>
  </si>
  <si>
    <t>44660.48.1</t>
  </si>
  <si>
    <t>50201.2.110</t>
  </si>
  <si>
    <t>50201.2.111</t>
  </si>
  <si>
    <t>50201.2.112</t>
  </si>
  <si>
    <t>50202.2.261</t>
  </si>
  <si>
    <t>50202.2.262</t>
  </si>
  <si>
    <t>50202.2.263</t>
  </si>
  <si>
    <t>50202.2.264</t>
  </si>
  <si>
    <t>53376.1.165</t>
  </si>
  <si>
    <t>53376.1.166</t>
  </si>
  <si>
    <t>53376.1.167</t>
  </si>
  <si>
    <t>53376.1.168</t>
  </si>
  <si>
    <t>62294.1.1</t>
  </si>
  <si>
    <t>62295.1.1</t>
  </si>
  <si>
    <t>62296.1.1</t>
  </si>
  <si>
    <t>773E1</t>
  </si>
  <si>
    <t>62297.1.1</t>
  </si>
  <si>
    <t>773E2L</t>
  </si>
  <si>
    <t>62298.1.1</t>
  </si>
  <si>
    <t>62299.1.1</t>
  </si>
  <si>
    <t>62300.1.1</t>
  </si>
  <si>
    <t>62301.1.1</t>
  </si>
  <si>
    <t>62302.1.1</t>
  </si>
  <si>
    <t>62303.1.1</t>
  </si>
  <si>
    <t>62304.1.1</t>
  </si>
  <si>
    <t>62305.1.1</t>
  </si>
  <si>
    <t>62306.1.1</t>
  </si>
  <si>
    <t>62307.1.1</t>
  </si>
  <si>
    <t>62308.1.1</t>
  </si>
  <si>
    <t>62309.1.1</t>
  </si>
  <si>
    <t>62310.1.1</t>
  </si>
  <si>
    <t>774E1</t>
  </si>
  <si>
    <t>62311.1.1</t>
  </si>
  <si>
    <t>774E2L</t>
  </si>
  <si>
    <t>62312.1.1</t>
  </si>
  <si>
    <t>775E1</t>
  </si>
  <si>
    <t>62313.1.1</t>
  </si>
  <si>
    <t>775E2L</t>
  </si>
  <si>
    <t>62314.1.1</t>
  </si>
  <si>
    <t>62315.1.1</t>
  </si>
  <si>
    <t>62316.1.1</t>
  </si>
  <si>
    <t>62317.1.1</t>
  </si>
  <si>
    <t>62318.1.1</t>
  </si>
  <si>
    <t>61901.1.1</t>
  </si>
  <si>
    <t>61902.1.1</t>
  </si>
  <si>
    <t>61903.1.1</t>
  </si>
  <si>
    <t>61904.1.1</t>
  </si>
  <si>
    <t>61905.1.1</t>
  </si>
  <si>
    <t>61906.1.1</t>
  </si>
  <si>
    <t>61907.1.1</t>
  </si>
  <si>
    <t>61908.1.1</t>
  </si>
  <si>
    <t>61909.1.1</t>
  </si>
  <si>
    <t>61910.1.1</t>
  </si>
  <si>
    <t>61911.1.1</t>
  </si>
  <si>
    <t>62086.1.1</t>
  </si>
  <si>
    <t>62087.1.1</t>
  </si>
  <si>
    <t>62088.1.1</t>
  </si>
  <si>
    <t>62089.1.1</t>
  </si>
  <si>
    <t>62090.1.1</t>
  </si>
  <si>
    <t>62091.1.1</t>
  </si>
  <si>
    <t>62092.1.1</t>
  </si>
  <si>
    <t>62093.1.1</t>
  </si>
  <si>
    <t>62094.1.1</t>
  </si>
  <si>
    <t>62095.1.1</t>
  </si>
  <si>
    <t>62096.1.1</t>
  </si>
  <si>
    <t>HAR010a</t>
  </si>
  <si>
    <t>776E1</t>
  </si>
  <si>
    <t>777E1</t>
  </si>
  <si>
    <t>62885.1.1</t>
  </si>
  <si>
    <t>62886.1.1</t>
  </si>
  <si>
    <t>62887.1.1</t>
  </si>
  <si>
    <t>62888.1.1</t>
  </si>
  <si>
    <t>62889.1.1</t>
  </si>
  <si>
    <t>62890.1.1</t>
  </si>
  <si>
    <t>62891.1.1</t>
  </si>
  <si>
    <t>62892.1.1</t>
  </si>
  <si>
    <t>62893.1.1</t>
  </si>
  <si>
    <t>62894.1.1</t>
  </si>
  <si>
    <t>62895.1.1</t>
  </si>
  <si>
    <t>62088.1.2</t>
  </si>
  <si>
    <t>62089.1.2</t>
  </si>
  <si>
    <t>62090.1.2</t>
  </si>
  <si>
    <t>62091.1.2</t>
  </si>
  <si>
    <t>62092.1.2</t>
  </si>
  <si>
    <t>62093.1.2</t>
  </si>
  <si>
    <t>62094.1.2</t>
  </si>
  <si>
    <t>61903.1.2</t>
  </si>
  <si>
    <t>61904.1.2</t>
  </si>
  <si>
    <t>61905.1.2</t>
  </si>
  <si>
    <t>61906.1.2</t>
  </si>
  <si>
    <t>61907.1.2</t>
  </si>
  <si>
    <t>61908.1.2</t>
  </si>
  <si>
    <t>61909.1.2</t>
  </si>
  <si>
    <t>62885.1.2</t>
  </si>
  <si>
    <t>62886.1.2</t>
  </si>
  <si>
    <t>62887.1.2</t>
  </si>
  <si>
    <t>62888.1.2</t>
  </si>
  <si>
    <t>62889.1.2</t>
  </si>
  <si>
    <t>62890.1.2</t>
  </si>
  <si>
    <t>62891.1.2</t>
  </si>
  <si>
    <t>62892.1.2</t>
  </si>
  <si>
    <t>62893.1.2</t>
  </si>
  <si>
    <t>62894.1.2</t>
  </si>
  <si>
    <t>62895.1.2</t>
  </si>
  <si>
    <t>63052.1.1</t>
  </si>
  <si>
    <t>63053.1.1</t>
  </si>
  <si>
    <t>63054.1.1</t>
  </si>
  <si>
    <t>63056.1.1</t>
  </si>
  <si>
    <t>63057.1.1</t>
  </si>
  <si>
    <t>63058.1.1</t>
  </si>
  <si>
    <t>63059.1.1</t>
  </si>
  <si>
    <t>63060.1.1</t>
  </si>
  <si>
    <t>63061.1.1</t>
  </si>
  <si>
    <t>63062.1.1</t>
  </si>
  <si>
    <t>63105.1.1</t>
  </si>
  <si>
    <t>63106.1.1</t>
  </si>
  <si>
    <t>63107.1.1</t>
  </si>
  <si>
    <t>63108.1.1</t>
  </si>
  <si>
    <t>63109.1.1</t>
  </si>
  <si>
    <t>63110.1.1</t>
  </si>
  <si>
    <t>63111.1.1</t>
  </si>
  <si>
    <t>63112.1.1</t>
  </si>
  <si>
    <t>63113.1.1</t>
  </si>
  <si>
    <t>63114.1.1</t>
  </si>
  <si>
    <t>63115.1.1</t>
  </si>
  <si>
    <t>63568.1.1</t>
  </si>
  <si>
    <t>63569.1.1</t>
  </si>
  <si>
    <t>63570.1.1</t>
  </si>
  <si>
    <t>63571.1.1</t>
  </si>
  <si>
    <t>63572.1.1</t>
  </si>
  <si>
    <t>63573.1.1</t>
  </si>
  <si>
    <t>63574.1.1</t>
  </si>
  <si>
    <t>63575.1.1</t>
  </si>
  <si>
    <t>63576.1.1</t>
  </si>
  <si>
    <t>63577.1.1</t>
  </si>
  <si>
    <t>63578.1.1</t>
  </si>
  <si>
    <r>
      <t>F</t>
    </r>
    <r>
      <rPr>
        <b/>
        <vertAlign val="superscript"/>
        <sz val="10"/>
        <rFont val="Verdana"/>
        <family val="2"/>
      </rPr>
      <t>14</t>
    </r>
    <r>
      <rPr>
        <b/>
        <sz val="10"/>
        <rFont val="Verdana"/>
        <family val="2"/>
      </rPr>
      <t xml:space="preserve">C </t>
    </r>
  </si>
  <si>
    <r>
      <t>δ</t>
    </r>
    <r>
      <rPr>
        <b/>
        <vertAlign val="superscript"/>
        <sz val="10"/>
        <rFont val="Verdana"/>
        <family val="2"/>
      </rPr>
      <t>13</t>
    </r>
    <r>
      <rPr>
        <b/>
        <sz val="10"/>
        <rFont val="Verdana"/>
        <family val="2"/>
      </rPr>
      <t>C (‰)</t>
    </r>
  </si>
  <si>
    <t>AUS02</t>
  </si>
  <si>
    <t>JAP01</t>
  </si>
  <si>
    <t>64020.1.1</t>
  </si>
  <si>
    <t>64021.1.1</t>
  </si>
  <si>
    <t>64022.1.1</t>
  </si>
  <si>
    <t>772E1</t>
  </si>
  <si>
    <t>64023.1.1</t>
  </si>
  <si>
    <t>772E2</t>
  </si>
  <si>
    <t>64024.1.1</t>
  </si>
  <si>
    <t>772L</t>
  </si>
  <si>
    <t>64025.1.2</t>
  </si>
  <si>
    <t>64026.1.1</t>
  </si>
  <si>
    <t>773E2</t>
  </si>
  <si>
    <t>64027.1.1</t>
  </si>
  <si>
    <t>773L</t>
  </si>
  <si>
    <t>64028.1.1</t>
  </si>
  <si>
    <t>64029.1.1</t>
  </si>
  <si>
    <t>774E2</t>
  </si>
  <si>
    <t>64030.1.1</t>
  </si>
  <si>
    <t>774L</t>
  </si>
  <si>
    <t>64031.1.1</t>
  </si>
  <si>
    <t>64032.1.1</t>
  </si>
  <si>
    <t>775E2</t>
  </si>
  <si>
    <t>64033.1.1</t>
  </si>
  <si>
    <t>775L</t>
  </si>
  <si>
    <t>64034.1.1</t>
  </si>
  <si>
    <t>64035.1.1</t>
  </si>
  <si>
    <t>776E2</t>
  </si>
  <si>
    <t>64036.1.1</t>
  </si>
  <si>
    <t>776L</t>
  </si>
  <si>
    <t>64037.1.1</t>
  </si>
  <si>
    <t>64038.1.1</t>
  </si>
  <si>
    <t>777E2</t>
  </si>
  <si>
    <t>weight</t>
  </si>
  <si>
    <t>64263.1.1</t>
  </si>
  <si>
    <t>64264.1.1</t>
  </si>
  <si>
    <t>64265.1.1</t>
  </si>
  <si>
    <t>64266.1.1</t>
  </si>
  <si>
    <t>64267.1.1</t>
  </si>
  <si>
    <t>64268.1.1</t>
  </si>
  <si>
    <t>64269.1.1</t>
  </si>
  <si>
    <t>64270.1.1</t>
  </si>
  <si>
    <t>64271.1.1</t>
  </si>
  <si>
    <t>64272.1.1</t>
  </si>
  <si>
    <t>64273.1.1</t>
  </si>
  <si>
    <t>64274.1.1</t>
  </si>
  <si>
    <t>64275.1.1</t>
  </si>
  <si>
    <t>64276.1.1</t>
  </si>
  <si>
    <t>64277.1.1</t>
  </si>
  <si>
    <t>64278.1.1</t>
  </si>
  <si>
    <t>64279.1.1</t>
  </si>
  <si>
    <t>64280.1.1</t>
  </si>
  <si>
    <t>64281.1.1</t>
  </si>
  <si>
    <t>64282.1.1</t>
  </si>
  <si>
    <t>64283.1.1</t>
  </si>
  <si>
    <t>64284.1.1</t>
  </si>
  <si>
    <t>62887.1.3</t>
  </si>
  <si>
    <t>62888.1.3</t>
  </si>
  <si>
    <t>62889.1.3</t>
  </si>
  <si>
    <t>62890.1.3</t>
  </si>
  <si>
    <t>62891.1.3</t>
  </si>
  <si>
    <t>63210.1.1</t>
  </si>
  <si>
    <t>63211.1.1</t>
  </si>
  <si>
    <t>63212.1.1</t>
  </si>
  <si>
    <t>63213.1.1</t>
  </si>
  <si>
    <t>63214.1.1</t>
  </si>
  <si>
    <t>63215.1.1</t>
  </si>
  <si>
    <t>63216.1.1</t>
  </si>
  <si>
    <t>63217.1.1</t>
  </si>
  <si>
    <t>63218.1.1</t>
  </si>
  <si>
    <t>63219.1.1</t>
  </si>
  <si>
    <t>63220.1.1</t>
  </si>
  <si>
    <t>63221.1.1</t>
  </si>
  <si>
    <t>63222.1.1</t>
  </si>
  <si>
    <t>63223.1.1</t>
  </si>
  <si>
    <t>63224.1.1</t>
  </si>
  <si>
    <t>63225.1.1</t>
  </si>
  <si>
    <t>63226.1.1</t>
  </si>
  <si>
    <t>63227.1.1</t>
  </si>
  <si>
    <t>63228.1.1</t>
  </si>
  <si>
    <t>63229.1.1</t>
  </si>
  <si>
    <t>63230.1.1</t>
  </si>
  <si>
    <t>DENDRODATING WAS SHIFTED</t>
  </si>
  <si>
    <t>Differencing values</t>
  </si>
  <si>
    <t>F14C</t>
  </si>
  <si>
    <t>64875.1.1</t>
  </si>
  <si>
    <t>64876.1.1</t>
  </si>
  <si>
    <t>64877.1.1</t>
  </si>
  <si>
    <t>64878.1.1</t>
  </si>
  <si>
    <t>64879.1.1</t>
  </si>
  <si>
    <t>64880.1.1</t>
  </si>
  <si>
    <t>64881.1.1</t>
  </si>
  <si>
    <t>64882.1.1</t>
  </si>
  <si>
    <t>64883.1.1</t>
  </si>
  <si>
    <t>64884.1.1</t>
  </si>
  <si>
    <t>64885.1.1</t>
  </si>
  <si>
    <t>64886.1.1</t>
  </si>
  <si>
    <t>64887.1.1</t>
  </si>
  <si>
    <t>64888.1.1</t>
  </si>
  <si>
    <t>64889.1.1</t>
  </si>
  <si>
    <t>64890.1.1</t>
  </si>
  <si>
    <t>64891.1.1</t>
  </si>
  <si>
    <t>64892.1.1</t>
  </si>
  <si>
    <t>64893.1.1</t>
  </si>
  <si>
    <t>64894.1.1</t>
  </si>
  <si>
    <t>64895.1.1</t>
  </si>
  <si>
    <t>64896.1.1</t>
  </si>
  <si>
    <t>DENDRODATING WAS SHIFTED (2 years backwards)</t>
  </si>
  <si>
    <t>61165.1.1</t>
  </si>
  <si>
    <t>61166.1.1</t>
  </si>
  <si>
    <t>61167.1.1</t>
  </si>
  <si>
    <t>61168.1.1</t>
  </si>
  <si>
    <t>61169.1.1</t>
  </si>
  <si>
    <t>61170.1.1</t>
  </si>
  <si>
    <t>61171.1.1</t>
  </si>
  <si>
    <t>61172.1.1</t>
  </si>
  <si>
    <t>61173.1.1</t>
  </si>
  <si>
    <t>61174.1.1</t>
  </si>
  <si>
    <t>61175.1.1</t>
  </si>
  <si>
    <t>61423.1.1</t>
  </si>
  <si>
    <t>61424.1.1</t>
  </si>
  <si>
    <t>61425.1.1</t>
  </si>
  <si>
    <t>61426.1.1</t>
  </si>
  <si>
    <t>61427.1.1</t>
  </si>
  <si>
    <t>61428.1.1</t>
  </si>
  <si>
    <t>61429.1.1</t>
  </si>
  <si>
    <t>61430.1.1</t>
  </si>
  <si>
    <t>61431.1.1</t>
  </si>
  <si>
    <t>61432.1.1</t>
  </si>
  <si>
    <t>61433.1.1</t>
  </si>
  <si>
    <t>61912.1.1</t>
  </si>
  <si>
    <t>61913.1.1</t>
  </si>
  <si>
    <t>61914.1.1</t>
  </si>
  <si>
    <t>61915.1.1</t>
  </si>
  <si>
    <t>61916.1.1</t>
  </si>
  <si>
    <t>61917.1.1</t>
  </si>
  <si>
    <t>61918.1.1</t>
  </si>
  <si>
    <t>61919.1.1</t>
  </si>
  <si>
    <t>61920.1.1</t>
  </si>
  <si>
    <t>61921.1.1</t>
  </si>
  <si>
    <t>61922.1.1</t>
  </si>
  <si>
    <t>62097.1.1</t>
  </si>
  <si>
    <t>62098.1.1</t>
  </si>
  <si>
    <t>62099.1.1</t>
  </si>
  <si>
    <t>62100.1.1</t>
  </si>
  <si>
    <t>62101.1.1</t>
  </si>
  <si>
    <t>62102.1.1</t>
  </si>
  <si>
    <t>62103.1.1</t>
  </si>
  <si>
    <t>62104.1.1</t>
  </si>
  <si>
    <t>62105.1.1</t>
  </si>
  <si>
    <t>62106.1.1</t>
  </si>
  <si>
    <t>62107.1.1</t>
  </si>
  <si>
    <t>65237.1.1</t>
  </si>
  <si>
    <t>65238.1.1</t>
  </si>
  <si>
    <t>65239.1.1</t>
  </si>
  <si>
    <t>65240.1.1</t>
  </si>
  <si>
    <t>65241.1.1</t>
  </si>
  <si>
    <t>65242.1.1</t>
  </si>
  <si>
    <t>65243.1.1</t>
  </si>
  <si>
    <t>65244.1.1</t>
  </si>
  <si>
    <t>65245.1.1</t>
  </si>
  <si>
    <t>65246.1.1</t>
  </si>
  <si>
    <t>65247.1.1</t>
  </si>
  <si>
    <t>65215.1.1</t>
  </si>
  <si>
    <t>65216.1.1</t>
  </si>
  <si>
    <t>65217.1.1</t>
  </si>
  <si>
    <t>65218.1.1</t>
  </si>
  <si>
    <t>65219.1.1</t>
  </si>
  <si>
    <t>65220.1.1</t>
  </si>
  <si>
    <t>65221.1.1</t>
  </si>
  <si>
    <t>65222.1.1</t>
  </si>
  <si>
    <t>65223.1.1</t>
  </si>
  <si>
    <t>65224.1.1</t>
  </si>
  <si>
    <t>65225.1.1</t>
  </si>
  <si>
    <t>65226.1.1</t>
  </si>
  <si>
    <t>65227.1.1</t>
  </si>
  <si>
    <t>65228.1.1</t>
  </si>
  <si>
    <t>65229.1.1</t>
  </si>
  <si>
    <t>65230.1.1</t>
  </si>
  <si>
    <t>65231.1.1</t>
  </si>
  <si>
    <t>65232.1.1</t>
  </si>
  <si>
    <t>65233.1.1</t>
  </si>
  <si>
    <t>65234.1.1</t>
  </si>
  <si>
    <t>65235.1.1</t>
  </si>
  <si>
    <t>65236.1.1</t>
  </si>
  <si>
    <t>65547.1.1</t>
  </si>
  <si>
    <t>65548.1.1</t>
  </si>
  <si>
    <t>65549.1.1</t>
  </si>
  <si>
    <t>65550.1.1</t>
  </si>
  <si>
    <t>65551.1.1</t>
  </si>
  <si>
    <t>65552.1.1</t>
  </si>
  <si>
    <t>65553.1.1</t>
  </si>
  <si>
    <t>65554.1.1</t>
  </si>
  <si>
    <t>65555.1.1</t>
  </si>
  <si>
    <t>65556.1.1</t>
  </si>
  <si>
    <t>65557.1.1</t>
  </si>
  <si>
    <t>65779.1.1</t>
  </si>
  <si>
    <t>65780.1.1</t>
  </si>
  <si>
    <t>65781.1.1</t>
  </si>
  <si>
    <t>65782.1.1</t>
  </si>
  <si>
    <t>65783.1.1</t>
  </si>
  <si>
    <t>65784.1.1</t>
  </si>
  <si>
    <t>65785.1.1</t>
  </si>
  <si>
    <t>65786.1.1</t>
  </si>
  <si>
    <t>65787.1.1</t>
  </si>
  <si>
    <t>65788.1.1</t>
  </si>
  <si>
    <t>65789.1.1</t>
  </si>
  <si>
    <t>65818.1.1</t>
  </si>
  <si>
    <t>65819.1.1</t>
  </si>
  <si>
    <t>65820.1.1</t>
  </si>
  <si>
    <t>65821.1.1</t>
  </si>
  <si>
    <t>65822.1.1</t>
  </si>
  <si>
    <t>65823.1.1</t>
  </si>
  <si>
    <t>65824.1.1</t>
  </si>
  <si>
    <t>65825.1.1</t>
  </si>
  <si>
    <t>65826.1.1</t>
  </si>
  <si>
    <t>65827.1.1</t>
  </si>
  <si>
    <t>65828.1.1</t>
  </si>
  <si>
    <t>65829.1.1</t>
  </si>
  <si>
    <t>65830.1.1</t>
  </si>
  <si>
    <t>65831.1.1</t>
  </si>
  <si>
    <t>65832.1.1</t>
  </si>
  <si>
    <t>65833.1.1</t>
  </si>
  <si>
    <t>65834.1.1</t>
  </si>
  <si>
    <t>65835.1.1</t>
  </si>
  <si>
    <t>65836.1.1</t>
  </si>
  <si>
    <t>65837.1.1</t>
  </si>
  <si>
    <t>65838.1.1</t>
  </si>
  <si>
    <t>65839.1.1</t>
  </si>
  <si>
    <t>63052.1.2</t>
  </si>
  <si>
    <t>63053.1.2</t>
  </si>
  <si>
    <t>63054.1.2</t>
  </si>
  <si>
    <t>63056.1.2</t>
  </si>
  <si>
    <t>63057.1.2</t>
  </si>
  <si>
    <t>63058.1.2</t>
  </si>
  <si>
    <t>63060.1.2</t>
  </si>
  <si>
    <t>63061.1.2</t>
  </si>
  <si>
    <t>63062.1.2</t>
  </si>
  <si>
    <t>62086.1.2</t>
  </si>
  <si>
    <t>62087.1.2</t>
  </si>
  <si>
    <t>62088.1.3</t>
  </si>
  <si>
    <t>62089.1.3</t>
  </si>
  <si>
    <t>62090.1.3</t>
  </si>
  <si>
    <t>62091.1.3</t>
  </si>
  <si>
    <t>62092.1.3</t>
  </si>
  <si>
    <t>62093.1.3</t>
  </si>
  <si>
    <t>62095.1.2</t>
  </si>
  <si>
    <t>62096.1.2</t>
  </si>
  <si>
    <t>Last measurements January 2016</t>
  </si>
  <si>
    <t>60954.1.2</t>
  </si>
  <si>
    <t>60955.1.2</t>
  </si>
  <si>
    <t>60956.1.2</t>
  </si>
  <si>
    <t>ETH-60434.2.1</t>
  </si>
  <si>
    <t>ETH-60435.2.1</t>
  </si>
  <si>
    <t>ETH-60436.2.1</t>
  </si>
  <si>
    <t>ETH-60437.2.1</t>
  </si>
  <si>
    <t>ETH-61491.1.1</t>
  </si>
  <si>
    <t>ETH-61492.1.1</t>
  </si>
  <si>
    <t>ETH-60442.2.1</t>
  </si>
  <si>
    <t>ETH-60443.2.1</t>
  </si>
  <si>
    <t>ETH-60444.2.1</t>
  </si>
  <si>
    <t>ETH-60445.2.1</t>
  </si>
  <si>
    <t>ETH-60446.2.1</t>
  </si>
  <si>
    <t>ETH-60434.1.1</t>
  </si>
  <si>
    <t>ETH-60435.1.1</t>
  </si>
  <si>
    <t>ETH-60436.1.1</t>
  </si>
  <si>
    <t>ETH-60437.1.1</t>
  </si>
  <si>
    <t>ETH-60438.1.1</t>
  </si>
  <si>
    <t>ETH-60439.1.1</t>
  </si>
  <si>
    <t>ETH-60440.1.1</t>
  </si>
  <si>
    <t>ETH-60441.1.1</t>
  </si>
  <si>
    <t>ETH-60442.1.1</t>
  </si>
  <si>
    <t>ETH-60443.1.1</t>
  </si>
  <si>
    <t>ETH-60444.1.1</t>
  </si>
  <si>
    <t>ETH-60445.1.1</t>
  </si>
  <si>
    <t>ETH-60446.1.1</t>
  </si>
  <si>
    <t>ETH-60951.1.1</t>
  </si>
  <si>
    <t>ETH-60952.1.1</t>
  </si>
  <si>
    <t>ETH-60953.1.1</t>
  </si>
  <si>
    <t>ETH-60954.1.1</t>
  </si>
  <si>
    <t>ETH-60955.1.1</t>
  </si>
  <si>
    <t>ETH-60956.1.1</t>
  </si>
  <si>
    <t>ETH-60957.1.1</t>
  </si>
  <si>
    <t>ETH-60958.1.1</t>
  </si>
  <si>
    <t>ETH-60959.1.1</t>
  </si>
  <si>
    <t>ETH-60960.1.1</t>
  </si>
  <si>
    <t>ETH-60961.1.1</t>
  </si>
  <si>
    <t>ALB01</t>
  </si>
  <si>
    <t>V21810</t>
  </si>
  <si>
    <t>V21811</t>
  </si>
  <si>
    <t>V21812</t>
  </si>
  <si>
    <t>V21813</t>
  </si>
  <si>
    <t>V21814</t>
  </si>
  <si>
    <t>V21815</t>
  </si>
  <si>
    <t>V21816</t>
  </si>
  <si>
    <t>V21817</t>
  </si>
  <si>
    <t>V21818</t>
  </si>
  <si>
    <t>V21819</t>
  </si>
  <si>
    <t>V21820</t>
  </si>
  <si>
    <t>nr.</t>
  </si>
  <si>
    <t>V21769</t>
  </si>
  <si>
    <t>V21770</t>
  </si>
  <si>
    <t>V21771</t>
  </si>
  <si>
    <t>V21772</t>
  </si>
  <si>
    <t>V21773</t>
  </si>
  <si>
    <t>V21774</t>
  </si>
  <si>
    <t>V21775</t>
  </si>
  <si>
    <t>V21776</t>
  </si>
  <si>
    <t>V21777</t>
  </si>
  <si>
    <t>V21778</t>
  </si>
  <si>
    <t>V21779</t>
  </si>
  <si>
    <t>Shifted by one year!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</si>
</sst>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0.0"/>
    <numFmt numFmtId="165" formatCode="0.0000"/>
    <numFmt numFmtId="166" formatCode="_ * #,##0.0_ ;_ * \-#,##0.0_ ;_ * &quot;-&quot;??_ ;_ @_ "/>
    <numFmt numFmtId="167" formatCode="_ * #,##0.0000_ ;_ * \-#,##0.0000_ ;_ * &quot;-&quot;??_ ;_ @_ "/>
    <numFmt numFmtId="168" formatCode=";;"/>
    <numFmt numFmtId="169" formatCode="##0.0"/>
    <numFmt numFmtId="170" formatCode="#,##0.0"/>
    <numFmt numFmtId="171" formatCode="_ * #,##0_ ;_ * \-#,##0_ ;_ * &quot;-&quot;??_ ;_ @_ "/>
    <numFmt numFmtId="172" formatCode="#,##0.0000"/>
    <numFmt numFmtId="173" formatCode="00000"/>
    <numFmt numFmtId="174" formatCode="0.000000000000"/>
  </numFmts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2"/>
      <color rgb="FFC00000"/>
      <name val="Calibri"/>
      <family val="2"/>
      <scheme val="minor"/>
    </font>
    <font>
      <sz val="10"/>
      <name val="Verdana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sz val="12"/>
      <name val="Calibri"/>
      <family val="2"/>
      <scheme val="minor"/>
    </font>
    <font>
      <b/>
      <sz val="12"/>
      <name val="Verdana"/>
      <family val="2"/>
    </font>
    <font>
      <sz val="10"/>
      <color indexed="12"/>
      <name val="Verdana"/>
      <family val="2"/>
    </font>
    <font>
      <sz val="10"/>
      <color indexed="16"/>
      <name val="Verdana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color rgb="FF00B05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47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36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6" fontId="0" fillId="0" borderId="0" xfId="1" applyNumberFormat="1" applyFont="1"/>
    <xf numFmtId="167" fontId="0" fillId="0" borderId="0" xfId="1" applyNumberFormat="1" applyFont="1"/>
    <xf numFmtId="167" fontId="0" fillId="0" borderId="0" xfId="1" applyNumberFormat="1" applyFont="1" applyAlignment="1">
      <alignment horizontal="left"/>
    </xf>
    <xf numFmtId="0" fontId="3" fillId="0" borderId="0" xfId="0" applyFont="1"/>
    <xf numFmtId="164" fontId="0" fillId="0" borderId="0" xfId="0" quotePrefix="1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8" fontId="8" fillId="0" borderId="0" xfId="0" applyNumberFormat="1" applyFont="1"/>
    <xf numFmtId="3" fontId="8" fillId="0" borderId="0" xfId="0" applyNumberFormat="1" applyFont="1"/>
    <xf numFmtId="169" fontId="8" fillId="0" borderId="0" xfId="0" applyNumberFormat="1" applyFont="1"/>
    <xf numFmtId="165" fontId="8" fillId="0" borderId="0" xfId="0" applyNumberFormat="1" applyFont="1"/>
    <xf numFmtId="2" fontId="8" fillId="0" borderId="0" xfId="0" applyNumberFormat="1" applyFont="1"/>
    <xf numFmtId="170" fontId="8" fillId="0" borderId="0" xfId="0" applyNumberFormat="1" applyFont="1"/>
    <xf numFmtId="171" fontId="8" fillId="0" borderId="0" xfId="1" applyNumberFormat="1" applyFont="1"/>
    <xf numFmtId="1" fontId="8" fillId="0" borderId="0" xfId="0" applyNumberFormat="1" applyFont="1"/>
    <xf numFmtId="168" fontId="8" fillId="0" borderId="0" xfId="0" applyNumberFormat="1" applyFont="1" applyAlignment="1"/>
    <xf numFmtId="3" fontId="8" fillId="0" borderId="0" xfId="0" applyNumberFormat="1" applyFont="1" applyAlignment="1"/>
    <xf numFmtId="169" fontId="8" fillId="0" borderId="0" xfId="0" applyNumberFormat="1" applyFont="1" applyAlignment="1"/>
    <xf numFmtId="165" fontId="8" fillId="0" borderId="0" xfId="0" applyNumberFormat="1" applyFont="1" applyAlignment="1"/>
    <xf numFmtId="2" fontId="8" fillId="0" borderId="0" xfId="0" applyNumberFormat="1" applyFont="1" applyAlignment="1"/>
    <xf numFmtId="170" fontId="8" fillId="0" borderId="0" xfId="0" applyNumberFormat="1" applyFont="1" applyAlignment="1"/>
    <xf numFmtId="165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8" fontId="8" fillId="0" borderId="0" xfId="0" applyNumberFormat="1" applyFont="1" applyFill="1" applyBorder="1" applyAlignment="1" applyProtection="1"/>
    <xf numFmtId="165" fontId="8" fillId="0" borderId="0" xfId="0" applyNumberFormat="1" applyFont="1" applyFill="1" applyBorder="1" applyAlignment="1" applyProtection="1"/>
    <xf numFmtId="3" fontId="8" fillId="0" borderId="0" xfId="0" applyNumberFormat="1" applyFont="1" applyFill="1" applyBorder="1" applyAlignment="1" applyProtection="1"/>
    <xf numFmtId="169" fontId="8" fillId="0" borderId="0" xfId="0" applyNumberFormat="1" applyFont="1" applyFill="1" applyBorder="1" applyAlignment="1" applyProtection="1"/>
    <xf numFmtId="17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/>
    <xf numFmtId="2" fontId="12" fillId="0" borderId="0" xfId="0" applyNumberFormat="1" applyFont="1" applyFill="1" applyBorder="1" applyAlignment="1" applyProtection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2" fontId="8" fillId="0" borderId="0" xfId="0" applyNumberFormat="1" applyFont="1" applyAlignment="1"/>
    <xf numFmtId="4" fontId="8" fillId="0" borderId="0" xfId="0" applyNumberFormat="1" applyFont="1" applyAlignment="1"/>
    <xf numFmtId="165" fontId="9" fillId="0" borderId="0" xfId="0" applyNumberFormat="1" applyFont="1" applyAlignment="1"/>
    <xf numFmtId="2" fontId="9" fillId="0" borderId="0" xfId="0" applyNumberFormat="1" applyFont="1" applyAlignment="1"/>
    <xf numFmtId="3" fontId="9" fillId="0" borderId="0" xfId="0" applyNumberFormat="1" applyFont="1" applyAlignment="1"/>
    <xf numFmtId="170" fontId="9" fillId="0" borderId="0" xfId="0" applyNumberFormat="1" applyFont="1" applyAlignment="1"/>
    <xf numFmtId="0" fontId="9" fillId="0" borderId="0" xfId="0" applyFont="1" applyAlignment="1">
      <alignment wrapText="1"/>
    </xf>
    <xf numFmtId="0" fontId="10" fillId="0" borderId="0" xfId="0" applyNumberFormat="1" applyFont="1" applyFill="1" applyBorder="1" applyAlignment="1" applyProtection="1">
      <alignment wrapText="1"/>
    </xf>
    <xf numFmtId="1" fontId="8" fillId="0" borderId="0" xfId="0" applyNumberFormat="1" applyFont="1" applyAlignment="1"/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8" fillId="0" borderId="0" xfId="0" applyNumberFormat="1" applyFont="1" applyAlignment="1"/>
    <xf numFmtId="168" fontId="9" fillId="0" borderId="0" xfId="0" applyNumberFormat="1" applyFont="1" applyAlignment="1"/>
    <xf numFmtId="172" fontId="0" fillId="0" borderId="0" xfId="0" applyNumberFormat="1"/>
    <xf numFmtId="168" fontId="13" fillId="0" borderId="0" xfId="0" applyNumberFormat="1" applyFont="1" applyAlignment="1"/>
    <xf numFmtId="3" fontId="13" fillId="0" borderId="0" xfId="0" applyNumberFormat="1" applyFont="1" applyAlignment="1"/>
    <xf numFmtId="169" fontId="13" fillId="0" borderId="0" xfId="0" applyNumberFormat="1" applyFont="1" applyAlignment="1"/>
    <xf numFmtId="172" fontId="13" fillId="0" borderId="0" xfId="0" applyNumberFormat="1" applyFont="1" applyAlignment="1"/>
    <xf numFmtId="4" fontId="13" fillId="0" borderId="0" xfId="0" applyNumberFormat="1" applyFont="1" applyAlignment="1"/>
    <xf numFmtId="165" fontId="14" fillId="0" borderId="0" xfId="0" applyNumberFormat="1" applyFont="1" applyAlignment="1"/>
    <xf numFmtId="3" fontId="14" fillId="0" borderId="0" xfId="0" applyNumberFormat="1" applyFont="1" applyAlignment="1"/>
    <xf numFmtId="170" fontId="14" fillId="0" borderId="0" xfId="0" applyNumberFormat="1" applyFont="1" applyAlignment="1"/>
    <xf numFmtId="165" fontId="13" fillId="0" borderId="0" xfId="0" applyNumberFormat="1" applyFont="1" applyAlignment="1"/>
    <xf numFmtId="1" fontId="8" fillId="2" borderId="0" xfId="0" applyNumberFormat="1" applyFont="1" applyFill="1" applyAlignment="1"/>
    <xf numFmtId="164" fontId="8" fillId="2" borderId="0" xfId="0" applyNumberFormat="1" applyFont="1" applyFill="1" applyAlignment="1"/>
    <xf numFmtId="1" fontId="8" fillId="2" borderId="0" xfId="0" applyNumberFormat="1" applyFont="1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168" fontId="8" fillId="2" borderId="0" xfId="0" applyNumberFormat="1" applyFont="1" applyFill="1" applyAlignment="1"/>
    <xf numFmtId="3" fontId="8" fillId="2" borderId="0" xfId="0" applyNumberFormat="1" applyFont="1" applyFill="1" applyAlignment="1"/>
    <xf numFmtId="169" fontId="8" fillId="2" borderId="0" xfId="0" applyNumberFormat="1" applyFont="1" applyFill="1" applyAlignment="1"/>
    <xf numFmtId="172" fontId="8" fillId="2" borderId="0" xfId="0" applyNumberFormat="1" applyFont="1" applyFill="1" applyAlignment="1"/>
    <xf numFmtId="2" fontId="8" fillId="2" borderId="0" xfId="0" applyNumberFormat="1" applyFont="1" applyFill="1" applyAlignment="1"/>
    <xf numFmtId="4" fontId="8" fillId="2" borderId="0" xfId="0" applyNumberFormat="1" applyFont="1" applyFill="1" applyAlignment="1"/>
    <xf numFmtId="165" fontId="8" fillId="2" borderId="0" xfId="0" applyNumberFormat="1" applyFont="1" applyFill="1" applyAlignment="1"/>
    <xf numFmtId="170" fontId="8" fillId="2" borderId="0" xfId="0" applyNumberFormat="1" applyFont="1" applyFill="1" applyAlignment="1"/>
    <xf numFmtId="164" fontId="13" fillId="2" borderId="0" xfId="0" applyNumberFormat="1" applyFont="1" applyFill="1" applyAlignment="1"/>
    <xf numFmtId="1" fontId="13" fillId="2" borderId="0" xfId="0" applyNumberFormat="1" applyFont="1" applyFill="1"/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2" borderId="0" xfId="0" applyFont="1" applyFill="1"/>
    <xf numFmtId="168" fontId="13" fillId="2" borderId="0" xfId="0" applyNumberFormat="1" applyFont="1" applyFill="1" applyAlignment="1"/>
    <xf numFmtId="3" fontId="13" fillId="2" borderId="0" xfId="0" applyNumberFormat="1" applyFont="1" applyFill="1" applyAlignment="1"/>
    <xf numFmtId="169" fontId="13" fillId="2" borderId="0" xfId="0" applyNumberFormat="1" applyFont="1" applyFill="1" applyAlignment="1"/>
    <xf numFmtId="172" fontId="13" fillId="2" borderId="0" xfId="0" applyNumberFormat="1" applyFont="1" applyFill="1" applyAlignment="1"/>
    <xf numFmtId="2" fontId="13" fillId="2" borderId="0" xfId="0" applyNumberFormat="1" applyFont="1" applyFill="1" applyAlignment="1"/>
    <xf numFmtId="4" fontId="13" fillId="2" borderId="0" xfId="0" applyNumberFormat="1" applyFont="1" applyFill="1" applyAlignment="1"/>
    <xf numFmtId="165" fontId="13" fillId="2" borderId="0" xfId="0" applyNumberFormat="1" applyFont="1" applyFill="1" applyAlignment="1"/>
    <xf numFmtId="170" fontId="13" fillId="2" borderId="0" xfId="0" applyNumberFormat="1" applyFont="1" applyFill="1" applyAlignment="1"/>
    <xf numFmtId="168" fontId="8" fillId="0" borderId="0" xfId="0" applyNumberFormat="1" applyFont="1" applyBorder="1" applyAlignment="1"/>
    <xf numFmtId="168" fontId="8" fillId="2" borderId="2" xfId="0" applyNumberFormat="1" applyFont="1" applyFill="1" applyBorder="1" applyAlignment="1"/>
    <xf numFmtId="3" fontId="8" fillId="0" borderId="0" xfId="0" applyNumberFormat="1" applyFont="1" applyBorder="1" applyAlignment="1"/>
    <xf numFmtId="3" fontId="8" fillId="2" borderId="2" xfId="0" applyNumberFormat="1" applyFont="1" applyFill="1" applyBorder="1" applyAlignment="1"/>
    <xf numFmtId="169" fontId="8" fillId="0" borderId="0" xfId="0" applyNumberFormat="1" applyFont="1" applyBorder="1" applyAlignment="1"/>
    <xf numFmtId="169" fontId="8" fillId="2" borderId="2" xfId="0" applyNumberFormat="1" applyFont="1" applyFill="1" applyBorder="1" applyAlignment="1"/>
    <xf numFmtId="172" fontId="8" fillId="0" borderId="0" xfId="0" applyNumberFormat="1" applyFont="1" applyBorder="1" applyAlignment="1"/>
    <xf numFmtId="172" fontId="8" fillId="2" borderId="2" xfId="0" applyNumberFormat="1" applyFont="1" applyFill="1" applyBorder="1" applyAlignment="1"/>
    <xf numFmtId="165" fontId="8" fillId="0" borderId="0" xfId="0" applyNumberFormat="1" applyFont="1" applyBorder="1" applyAlignment="1"/>
    <xf numFmtId="2" fontId="8" fillId="2" borderId="2" xfId="0" applyNumberFormat="1" applyFont="1" applyFill="1" applyBorder="1" applyAlignment="1"/>
    <xf numFmtId="4" fontId="8" fillId="0" borderId="0" xfId="0" applyNumberFormat="1" applyFont="1" applyBorder="1" applyAlignment="1"/>
    <xf numFmtId="4" fontId="8" fillId="2" borderId="2" xfId="0" applyNumberFormat="1" applyFont="1" applyFill="1" applyBorder="1" applyAlignment="1"/>
    <xf numFmtId="165" fontId="9" fillId="0" borderId="0" xfId="0" applyNumberFormat="1" applyFont="1" applyBorder="1" applyAlignment="1"/>
    <xf numFmtId="165" fontId="8" fillId="2" borderId="2" xfId="0" applyNumberFormat="1" applyFont="1" applyFill="1" applyBorder="1" applyAlignment="1"/>
    <xf numFmtId="3" fontId="9" fillId="0" borderId="0" xfId="0" applyNumberFormat="1" applyFont="1" applyBorder="1" applyAlignment="1"/>
    <xf numFmtId="170" fontId="9" fillId="0" borderId="0" xfId="0" applyNumberFormat="1" applyFont="1" applyBorder="1" applyAlignment="1"/>
    <xf numFmtId="170" fontId="8" fillId="2" borderId="2" xfId="0" applyNumberFormat="1" applyFont="1" applyFill="1" applyBorder="1" applyAlignment="1"/>
    <xf numFmtId="170" fontId="0" fillId="0" borderId="0" xfId="0" applyNumberFormat="1"/>
    <xf numFmtId="168" fontId="8" fillId="0" borderId="0" xfId="0" applyNumberFormat="1" applyFont="1" applyFill="1" applyAlignment="1"/>
    <xf numFmtId="3" fontId="8" fillId="0" borderId="0" xfId="0" applyNumberFormat="1" applyFont="1" applyFill="1" applyAlignment="1"/>
    <xf numFmtId="169" fontId="8" fillId="0" borderId="0" xfId="0" applyNumberFormat="1" applyFont="1" applyFill="1" applyAlignment="1"/>
    <xf numFmtId="172" fontId="8" fillId="0" borderId="0" xfId="0" applyNumberFormat="1" applyFont="1" applyFill="1" applyAlignment="1"/>
    <xf numFmtId="2" fontId="8" fillId="0" borderId="0" xfId="0" applyNumberFormat="1" applyFont="1" applyFill="1" applyAlignment="1"/>
    <xf numFmtId="4" fontId="8" fillId="0" borderId="0" xfId="0" applyNumberFormat="1" applyFont="1" applyFill="1" applyAlignment="1"/>
    <xf numFmtId="165" fontId="8" fillId="0" borderId="0" xfId="0" applyNumberFormat="1" applyFont="1" applyFill="1" applyAlignment="1"/>
    <xf numFmtId="170" fontId="8" fillId="0" borderId="0" xfId="0" applyNumberFormat="1" applyFont="1" applyFill="1" applyAlignment="1"/>
    <xf numFmtId="1" fontId="8" fillId="0" borderId="0" xfId="0" applyNumberFormat="1" applyFont="1" applyFill="1" applyAlignment="1"/>
    <xf numFmtId="1" fontId="8" fillId="0" borderId="0" xfId="0" applyNumberFormat="1" applyFont="1" applyFill="1"/>
    <xf numFmtId="165" fontId="9" fillId="0" borderId="0" xfId="0" applyNumberFormat="1" applyFont="1" applyFill="1" applyAlignment="1"/>
    <xf numFmtId="0" fontId="15" fillId="0" borderId="0" xfId="0" applyFont="1" applyFill="1" applyAlignment="1">
      <alignment horizontal="center"/>
    </xf>
    <xf numFmtId="165" fontId="15" fillId="0" borderId="0" xfId="0" applyNumberFormat="1" applyFont="1" applyFill="1"/>
    <xf numFmtId="1" fontId="15" fillId="0" borderId="0" xfId="0" applyNumberFormat="1" applyFont="1" applyFill="1"/>
    <xf numFmtId="1" fontId="15" fillId="0" borderId="0" xfId="0" applyNumberFormat="1" applyFont="1" applyFill="1" applyAlignment="1">
      <alignment horizontal="left"/>
    </xf>
    <xf numFmtId="164" fontId="15" fillId="0" borderId="0" xfId="0" applyNumberFormat="1" applyFont="1" applyFill="1" applyAlignment="1">
      <alignment horizontal="right"/>
    </xf>
    <xf numFmtId="164" fontId="15" fillId="0" borderId="0" xfId="0" applyNumberFormat="1" applyFont="1" applyFill="1"/>
    <xf numFmtId="0" fontId="15" fillId="0" borderId="0" xfId="0" applyFon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1" applyNumberFormat="1" applyFont="1"/>
    <xf numFmtId="168" fontId="0" fillId="0" borderId="0" xfId="0" applyNumberFormat="1"/>
    <xf numFmtId="0" fontId="0" fillId="0" borderId="0" xfId="0" applyNumberFormat="1"/>
    <xf numFmtId="0" fontId="16" fillId="0" borderId="0" xfId="0" applyFont="1" applyAlignment="1"/>
    <xf numFmtId="0" fontId="8" fillId="0" borderId="0" xfId="0" applyFont="1" applyAlignment="1"/>
    <xf numFmtId="0" fontId="10" fillId="0" borderId="0" xfId="0" applyNumberFormat="1" applyFont="1" applyFill="1" applyBorder="1" applyProtection="1"/>
    <xf numFmtId="168" fontId="8" fillId="0" borderId="0" xfId="0" applyNumberFormat="1" applyFont="1" applyAlignment="1"/>
    <xf numFmtId="173" fontId="8" fillId="0" borderId="0" xfId="0" applyNumberFormat="1" applyFont="1" applyAlignment="1"/>
    <xf numFmtId="0" fontId="0" fillId="0" borderId="0" xfId="0" applyFont="1"/>
    <xf numFmtId="0" fontId="8" fillId="0" borderId="0" xfId="0" applyNumberFormat="1" applyFont="1" applyAlignment="1"/>
    <xf numFmtId="0" fontId="0" fillId="4" borderId="1" xfId="0" applyFill="1" applyBorder="1" applyAlignment="1">
      <alignment horizontal="center"/>
    </xf>
    <xf numFmtId="0" fontId="0" fillId="4" borderId="0" xfId="0" applyFill="1"/>
    <xf numFmtId="172" fontId="0" fillId="4" borderId="0" xfId="0" applyNumberFormat="1" applyFill="1"/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left"/>
    </xf>
    <xf numFmtId="1" fontId="0" fillId="4" borderId="0" xfId="0" applyNumberFormat="1" applyFill="1"/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left" indent="1"/>
    </xf>
    <xf numFmtId="164" fontId="0" fillId="4" borderId="0" xfId="0" applyNumberFormat="1" applyFill="1"/>
    <xf numFmtId="164" fontId="0" fillId="4" borderId="0" xfId="0" applyNumberFormat="1" applyFill="1" applyAlignment="1">
      <alignment horizontal="left"/>
    </xf>
    <xf numFmtId="170" fontId="0" fillId="4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165" fontId="15" fillId="5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8" fontId="17" fillId="0" borderId="0" xfId="0" applyNumberFormat="1" applyFont="1" applyAlignment="1"/>
    <xf numFmtId="165" fontId="17" fillId="0" borderId="0" xfId="0" applyNumberFormat="1" applyFont="1" applyAlignment="1"/>
    <xf numFmtId="3" fontId="17" fillId="0" borderId="0" xfId="0" applyNumberFormat="1" applyFont="1" applyAlignment="1"/>
    <xf numFmtId="170" fontId="17" fillId="0" borderId="0" xfId="0" applyNumberFormat="1" applyFont="1" applyAlignment="1"/>
    <xf numFmtId="168" fontId="18" fillId="0" borderId="0" xfId="0" applyNumberFormat="1" applyFont="1" applyAlignment="1"/>
    <xf numFmtId="165" fontId="18" fillId="0" borderId="0" xfId="0" applyNumberFormat="1" applyFont="1" applyAlignment="1"/>
    <xf numFmtId="3" fontId="18" fillId="0" borderId="0" xfId="0" applyNumberFormat="1" applyFont="1" applyAlignment="1"/>
    <xf numFmtId="170" fontId="18" fillId="0" borderId="0" xfId="0" applyNumberFormat="1" applyFont="1" applyAlignment="1"/>
    <xf numFmtId="164" fontId="8" fillId="0" borderId="0" xfId="0" applyNumberFormat="1" applyFont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shrinkToFit="1"/>
    </xf>
    <xf numFmtId="0" fontId="20" fillId="0" borderId="0" xfId="0" applyFont="1" applyAlignment="1">
      <alignment horizontal="center" shrinkToFit="1"/>
    </xf>
    <xf numFmtId="0" fontId="20" fillId="0" borderId="0" xfId="0" applyFont="1" applyAlignment="1">
      <alignment shrinkToFit="1"/>
    </xf>
    <xf numFmtId="0" fontId="21" fillId="0" borderId="0" xfId="0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3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/>
    <xf numFmtId="0" fontId="27" fillId="0" borderId="0" xfId="222" applyFont="1" applyFill="1" applyBorder="1"/>
    <xf numFmtId="174" fontId="8" fillId="0" borderId="0" xfId="0" applyNumberFormat="1" applyFont="1" applyAlignment="1"/>
    <xf numFmtId="168" fontId="8" fillId="4" borderId="0" xfId="0" applyNumberFormat="1" applyFont="1" applyFill="1" applyAlignment="1"/>
    <xf numFmtId="165" fontId="8" fillId="4" borderId="0" xfId="0" applyNumberFormat="1" applyFont="1" applyFill="1" applyAlignment="1"/>
    <xf numFmtId="3" fontId="8" fillId="4" borderId="0" xfId="0" applyNumberFormat="1" applyFont="1" applyFill="1" applyAlignment="1"/>
    <xf numFmtId="170" fontId="8" fillId="4" borderId="0" xfId="0" applyNumberFormat="1" applyFont="1" applyFill="1" applyAlignment="1"/>
    <xf numFmtId="0" fontId="8" fillId="4" borderId="0" xfId="0" applyFont="1" applyFill="1" applyAlignment="1"/>
    <xf numFmtId="164" fontId="8" fillId="4" borderId="0" xfId="0" applyNumberFormat="1" applyFont="1" applyFill="1" applyAlignment="1"/>
    <xf numFmtId="174" fontId="8" fillId="4" borderId="0" xfId="0" applyNumberFormat="1" applyFont="1" applyFill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shrinkToFit="1"/>
    </xf>
    <xf numFmtId="49" fontId="28" fillId="0" borderId="0" xfId="0" applyNumberFormat="1" applyFont="1" applyFill="1" applyBorder="1" applyAlignment="1">
      <alignment horizontal="center" vertical="center" shrinkToFit="1"/>
    </xf>
    <xf numFmtId="49" fontId="22" fillId="0" borderId="0" xfId="0" applyNumberFormat="1" applyFont="1" applyFill="1" applyBorder="1" applyAlignment="1">
      <alignment horizontal="center" shrinkToFit="1"/>
    </xf>
    <xf numFmtId="49" fontId="23" fillId="0" borderId="0" xfId="0" applyNumberFormat="1" applyFont="1" applyFill="1" applyBorder="1" applyAlignment="1">
      <alignment horizontal="center" shrinkToFi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9" fillId="0" borderId="0" xfId="0" applyFont="1" applyAlignment="1">
      <alignment wrapText="1"/>
    </xf>
    <xf numFmtId="168" fontId="30" fillId="0" borderId="0" xfId="0" applyNumberFormat="1" applyFont="1" applyAlignment="1"/>
    <xf numFmtId="173" fontId="30" fillId="0" borderId="0" xfId="0" applyNumberFormat="1" applyFont="1" applyAlignment="1"/>
    <xf numFmtId="165" fontId="30" fillId="0" borderId="0" xfId="0" applyNumberFormat="1" applyFont="1" applyAlignment="1"/>
    <xf numFmtId="3" fontId="30" fillId="0" borderId="0" xfId="0" applyNumberFormat="1" applyFont="1" applyAlignment="1"/>
    <xf numFmtId="170" fontId="30" fillId="0" borderId="0" xfId="0" applyNumberFormat="1" applyFont="1" applyAlignment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/>
    <xf numFmtId="0" fontId="31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" fontId="30" fillId="0" borderId="0" xfId="0" applyNumberFormat="1" applyFont="1" applyAlignment="1"/>
    <xf numFmtId="164" fontId="8" fillId="0" borderId="0" xfId="0" applyNumberFormat="1" applyFont="1" applyFill="1" applyAlignment="1"/>
    <xf numFmtId="164" fontId="0" fillId="0" borderId="0" xfId="0" applyNumberFormat="1" applyFill="1"/>
    <xf numFmtId="172" fontId="0" fillId="0" borderId="0" xfId="0" applyNumberFormat="1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left"/>
    </xf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left" indent="1"/>
    </xf>
    <xf numFmtId="164" fontId="0" fillId="0" borderId="0" xfId="0" applyNumberFormat="1" applyFill="1" applyAlignment="1">
      <alignment horizontal="left"/>
    </xf>
    <xf numFmtId="0" fontId="0" fillId="0" borderId="0" xfId="0" applyBorder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164" fontId="0" fillId="0" borderId="0" xfId="0" applyNumberFormat="1" applyFill="1" applyAlignment="1">
      <alignment horizontal="center"/>
    </xf>
    <xf numFmtId="0" fontId="4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72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8" fillId="0" borderId="0" xfId="0" applyFont="1" applyFill="1" applyAlignment="1"/>
    <xf numFmtId="0" fontId="22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8" fillId="7" borderId="0" xfId="0" applyNumberFormat="1" applyFont="1" applyFill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8" fillId="8" borderId="0" xfId="0" applyNumberFormat="1" applyFont="1" applyFill="1" applyAlignment="1"/>
    <xf numFmtId="1" fontId="0" fillId="8" borderId="0" xfId="0" applyNumberFormat="1" applyFill="1"/>
    <xf numFmtId="165" fontId="0" fillId="8" borderId="0" xfId="0" applyNumberFormat="1" applyFill="1"/>
    <xf numFmtId="165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left"/>
    </xf>
    <xf numFmtId="164" fontId="0" fillId="8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164" fontId="0" fillId="0" borderId="0" xfId="0" applyNumberFormat="1" applyAlignment="1">
      <alignment horizontal="center"/>
    </xf>
    <xf numFmtId="1" fontId="8" fillId="8" borderId="0" xfId="0" applyNumberFormat="1" applyFont="1" applyFill="1"/>
    <xf numFmtId="165" fontId="8" fillId="8" borderId="0" xfId="0" applyNumberFormat="1" applyFont="1" applyFill="1" applyAlignment="1"/>
    <xf numFmtId="164" fontId="0" fillId="8" borderId="0" xfId="0" applyNumberFormat="1" applyFill="1" applyAlignment="1">
      <alignment horizontal="right"/>
    </xf>
    <xf numFmtId="1" fontId="9" fillId="0" borderId="0" xfId="0" applyNumberFormat="1" applyFont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/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0" fontId="0" fillId="0" borderId="0" xfId="0" applyFont="1" applyBorder="1"/>
    <xf numFmtId="168" fontId="15" fillId="0" borderId="0" xfId="0" applyNumberFormat="1" applyFont="1" applyAlignment="1"/>
    <xf numFmtId="0" fontId="4" fillId="5" borderId="0" xfId="0" applyFont="1" applyFill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32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247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/>
    <cellStyle name="Normal" xfId="0" builtinId="0"/>
    <cellStyle name="Normal 2" xfId="2"/>
    <cellStyle name="Normal 3" xfId="246"/>
    <cellStyle name="Standard 2" xfId="3"/>
  </cellStyles>
  <dxfs count="0"/>
  <tableStyles count="0" defaultTableStyle="TableStyleMedium9" defaultPivotStyle="PivotStyleMedium4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worksheet" Target="worksheets/sheet46.xml"/><Relationship Id="rId47" Type="http://schemas.openxmlformats.org/officeDocument/2006/relationships/theme" Target="theme/theme1.xml"/><Relationship Id="rId48" Type="http://schemas.openxmlformats.org/officeDocument/2006/relationships/styles" Target="styles.xml"/><Relationship Id="rId4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5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33014113857"/>
          <c:y val="0.0344327180036372"/>
          <c:w val="0.839757534014698"/>
          <c:h val="0.8124696969696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'Pakistan PAK04 775'!$T$5:$T$15</c:f>
                <c:numCache>
                  <c:formatCode>General</c:formatCode>
                  <c:ptCount val="11"/>
                  <c:pt idx="0">
                    <c:v>3.151855611590427</c:v>
                  </c:pt>
                  <c:pt idx="1">
                    <c:v>3.065904657223038</c:v>
                  </c:pt>
                  <c:pt idx="2">
                    <c:v>3.071341631114144</c:v>
                  </c:pt>
                  <c:pt idx="3">
                    <c:v>3.036253308681291</c:v>
                  </c:pt>
                  <c:pt idx="4">
                    <c:v>3.135419738001058</c:v>
                  </c:pt>
                  <c:pt idx="5">
                    <c:v>3.065363951385672</c:v>
                  </c:pt>
                  <c:pt idx="6">
                    <c:v>2.965635465435084</c:v>
                  </c:pt>
                  <c:pt idx="7">
                    <c:v>3.559263352102385</c:v>
                  </c:pt>
                  <c:pt idx="8">
                    <c:v>3.050420710799196</c:v>
                  </c:pt>
                  <c:pt idx="9">
                    <c:v>3.096691131686363</c:v>
                  </c:pt>
                  <c:pt idx="10">
                    <c:v>3.125703014649432</c:v>
                  </c:pt>
                </c:numCache>
              </c:numRef>
            </c:plus>
            <c:minus>
              <c:numRef>
                <c:f>'Pakistan PAK04 775'!$T$5:$T$15</c:f>
                <c:numCache>
                  <c:formatCode>General</c:formatCode>
                  <c:ptCount val="11"/>
                  <c:pt idx="0">
                    <c:v>3.151855611590427</c:v>
                  </c:pt>
                  <c:pt idx="1">
                    <c:v>3.065904657223038</c:v>
                  </c:pt>
                  <c:pt idx="2">
                    <c:v>3.071341631114144</c:v>
                  </c:pt>
                  <c:pt idx="3">
                    <c:v>3.036253308681291</c:v>
                  </c:pt>
                  <c:pt idx="4">
                    <c:v>3.135419738001058</c:v>
                  </c:pt>
                  <c:pt idx="5">
                    <c:v>3.065363951385672</c:v>
                  </c:pt>
                  <c:pt idx="6">
                    <c:v>2.965635465435084</c:v>
                  </c:pt>
                  <c:pt idx="7">
                    <c:v>3.559263352102385</c:v>
                  </c:pt>
                  <c:pt idx="8">
                    <c:v>3.050420710799196</c:v>
                  </c:pt>
                  <c:pt idx="9">
                    <c:v>3.096691131686363</c:v>
                  </c:pt>
                  <c:pt idx="10">
                    <c:v>3.125703014649432</c:v>
                  </c:pt>
                </c:numCache>
              </c:numRef>
            </c:minus>
          </c:errBars>
          <c:xVal>
            <c:numRef>
              <c:f>'Pakistan PAK04 775'!$I$5:$I$15</c:f>
              <c:numCache>
                <c:formatCode>0.0</c:formatCode>
                <c:ptCount val="11"/>
                <c:pt idx="0">
                  <c:v>770.0</c:v>
                </c:pt>
                <c:pt idx="1">
                  <c:v>771.0</c:v>
                </c:pt>
                <c:pt idx="2">
                  <c:v>772.0</c:v>
                </c:pt>
                <c:pt idx="3">
                  <c:v>773.0</c:v>
                </c:pt>
                <c:pt idx="4">
                  <c:v>774.0</c:v>
                </c:pt>
                <c:pt idx="5">
                  <c:v>775.0</c:v>
                </c:pt>
                <c:pt idx="6">
                  <c:v>776.0</c:v>
                </c:pt>
                <c:pt idx="7">
                  <c:v>777.0</c:v>
                </c:pt>
                <c:pt idx="8">
                  <c:v>778.0</c:v>
                </c:pt>
                <c:pt idx="9">
                  <c:v>779.0</c:v>
                </c:pt>
                <c:pt idx="10">
                  <c:v>780.0</c:v>
                </c:pt>
              </c:numCache>
            </c:numRef>
          </c:xVal>
          <c:yVal>
            <c:numRef>
              <c:f>'Pakistan PAK04 775'!$R$5:$R$15</c:f>
              <c:numCache>
                <c:formatCode>0.0</c:formatCode>
                <c:ptCount val="11"/>
                <c:pt idx="0">
                  <c:v>-22.70697874960981</c:v>
                </c:pt>
                <c:pt idx="1">
                  <c:v>-17.52960476920851</c:v>
                </c:pt>
                <c:pt idx="2">
                  <c:v>-22.34178522475239</c:v>
                </c:pt>
                <c:pt idx="3">
                  <c:v>-22.8148776930931</c:v>
                </c:pt>
                <c:pt idx="4">
                  <c:v>-15.49569056501277</c:v>
                </c:pt>
                <c:pt idx="5">
                  <c:v>-6.489814059492005</c:v>
                </c:pt>
                <c:pt idx="6">
                  <c:v>-6.648053365299833</c:v>
                </c:pt>
                <c:pt idx="7">
                  <c:v>-8.4921161363839</c:v>
                </c:pt>
                <c:pt idx="8">
                  <c:v>-6.722891596500302</c:v>
                </c:pt>
                <c:pt idx="9">
                  <c:v>-5.908029761635292</c:v>
                </c:pt>
                <c:pt idx="10">
                  <c:v>-7.43904304108467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plus"/>
            <c:size val="9"/>
            <c:spPr>
              <a:noFill/>
              <a:ln w="31750">
                <a:solidFill>
                  <a:schemeClr val="tx1">
                    <a:alpha val="25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449760"/>
        <c:axId val="-1992447568"/>
      </c:scatterChart>
      <c:valAx>
        <c:axId val="-1992449760"/>
        <c:scaling>
          <c:orientation val="minMax"/>
          <c:max val="785.0"/>
          <c:min val="76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Calendar</a:t>
                </a:r>
                <a:r>
                  <a:rPr lang="en-US" sz="1800" b="0" baseline="0"/>
                  <a:t> age (BC)</a:t>
                </a:r>
                <a:endParaRPr lang="en-US" sz="1800" b="0"/>
              </a:p>
            </c:rich>
          </c:tx>
          <c:layout>
            <c:manualLayout>
              <c:xMode val="edge"/>
              <c:yMode val="edge"/>
              <c:x val="0.377137570553866"/>
              <c:y val="0.94635874972043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1992447568"/>
        <c:crossesAt val="-25.0"/>
        <c:crossBetween val="midCat"/>
      </c:valAx>
      <c:valAx>
        <c:axId val="-1992447568"/>
        <c:scaling>
          <c:orientation val="minMax"/>
          <c:max val="0.0"/>
          <c:min val="-3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∆¹⁴C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-1992449760"/>
        <c:crosses val="autoZero"/>
        <c:crossBetween val="midCat"/>
        <c:majorUnit val="5.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0272000841"/>
          <c:y val="0.0262676641729011"/>
          <c:w val="0.839757534014698"/>
          <c:h val="0.7886888888888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'Russia ALT01 775'!$M$7:$M$17</c:f>
                <c:numCache>
                  <c:formatCode>General</c:formatCode>
                  <c:ptCount val="11"/>
                  <c:pt idx="0">
                    <c:v>1.839418217679064</c:v>
                  </c:pt>
                  <c:pt idx="1">
                    <c:v>1.805237611611579</c:v>
                  </c:pt>
                  <c:pt idx="2">
                    <c:v>1.84033943117472</c:v>
                  </c:pt>
                  <c:pt idx="3">
                    <c:v>1.823949574098103</c:v>
                  </c:pt>
                  <c:pt idx="4">
                    <c:v>1.814505382018037</c:v>
                  </c:pt>
                  <c:pt idx="5">
                    <c:v>1.801710725239976</c:v>
                  </c:pt>
                  <c:pt idx="6">
                    <c:v>1.811658626160092</c:v>
                  </c:pt>
                  <c:pt idx="7">
                    <c:v>1.814929181693517</c:v>
                  </c:pt>
                  <c:pt idx="8">
                    <c:v>1.816135702902269</c:v>
                  </c:pt>
                  <c:pt idx="9">
                    <c:v>1.81825565207706</c:v>
                  </c:pt>
                  <c:pt idx="10">
                    <c:v>1.806676484940767</c:v>
                  </c:pt>
                </c:numCache>
              </c:numRef>
            </c:plus>
            <c:minus>
              <c:numRef>
                <c:f>'Russia ALT01 775'!$M$7:$M$17</c:f>
                <c:numCache>
                  <c:formatCode>General</c:formatCode>
                  <c:ptCount val="11"/>
                  <c:pt idx="0">
                    <c:v>1.839418217679064</c:v>
                  </c:pt>
                  <c:pt idx="1">
                    <c:v>1.805237611611579</c:v>
                  </c:pt>
                  <c:pt idx="2">
                    <c:v>1.84033943117472</c:v>
                  </c:pt>
                  <c:pt idx="3">
                    <c:v>1.823949574098103</c:v>
                  </c:pt>
                  <c:pt idx="4">
                    <c:v>1.814505382018037</c:v>
                  </c:pt>
                  <c:pt idx="5">
                    <c:v>1.801710725239976</c:v>
                  </c:pt>
                  <c:pt idx="6">
                    <c:v>1.811658626160092</c:v>
                  </c:pt>
                  <c:pt idx="7">
                    <c:v>1.814929181693517</c:v>
                  </c:pt>
                  <c:pt idx="8">
                    <c:v>1.816135702902269</c:v>
                  </c:pt>
                  <c:pt idx="9">
                    <c:v>1.81825565207706</c:v>
                  </c:pt>
                  <c:pt idx="10">
                    <c:v>1.806676484940767</c:v>
                  </c:pt>
                </c:numCache>
              </c:numRef>
            </c:minus>
          </c:errBars>
          <c:xVal>
            <c:numRef>
              <c:f>'Russia ALT01 775'!$B$7:$B$17</c:f>
              <c:numCache>
                <c:formatCode>General</c:formatCode>
                <c:ptCount val="11"/>
                <c:pt idx="0">
                  <c:v>770.0</c:v>
                </c:pt>
                <c:pt idx="1">
                  <c:v>771.0</c:v>
                </c:pt>
                <c:pt idx="2">
                  <c:v>772.0</c:v>
                </c:pt>
                <c:pt idx="3">
                  <c:v>773.0</c:v>
                </c:pt>
                <c:pt idx="4">
                  <c:v>774.0</c:v>
                </c:pt>
                <c:pt idx="5">
                  <c:v>775.0</c:v>
                </c:pt>
                <c:pt idx="6">
                  <c:v>776.0</c:v>
                </c:pt>
                <c:pt idx="7">
                  <c:v>777.0</c:v>
                </c:pt>
                <c:pt idx="8">
                  <c:v>778.0</c:v>
                </c:pt>
                <c:pt idx="9">
                  <c:v>779.0</c:v>
                </c:pt>
                <c:pt idx="10">
                  <c:v>780.0</c:v>
                </c:pt>
              </c:numCache>
            </c:numRef>
          </c:xVal>
          <c:yVal>
            <c:numRef>
              <c:f>'Russia ALT01 775'!$K$7:$K$17</c:f>
              <c:numCache>
                <c:formatCode>0.0</c:formatCode>
                <c:ptCount val="11"/>
                <c:pt idx="0">
                  <c:v>-18.11581172615828</c:v>
                </c:pt>
                <c:pt idx="1">
                  <c:v>-17.29055491374054</c:v>
                </c:pt>
                <c:pt idx="2">
                  <c:v>-22.0726217811068</c:v>
                </c:pt>
                <c:pt idx="3">
                  <c:v>-18.09265114310488</c:v>
                </c:pt>
                <c:pt idx="4">
                  <c:v>-13.30136406073845</c:v>
                </c:pt>
                <c:pt idx="5">
                  <c:v>0.936966647264059</c:v>
                </c:pt>
                <c:pt idx="6">
                  <c:v>-0.213969425063132</c:v>
                </c:pt>
                <c:pt idx="7">
                  <c:v>-0.843678707370454</c:v>
                </c:pt>
                <c:pt idx="8">
                  <c:v>-3.726245920693039</c:v>
                </c:pt>
                <c:pt idx="9">
                  <c:v>-5.661104942716322</c:v>
                </c:pt>
                <c:pt idx="10">
                  <c:v>-6.297950635560934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plus"/>
            <c:size val="9"/>
            <c:spPr>
              <a:noFill/>
              <a:ln w="31750">
                <a:solidFill>
                  <a:schemeClr val="tx1">
                    <a:alpha val="25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649744"/>
        <c:axId val="-1992414576"/>
      </c:scatterChart>
      <c:valAx>
        <c:axId val="-1992649744"/>
        <c:scaling>
          <c:orientation val="minMax"/>
          <c:max val="785.0"/>
          <c:min val="76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Calendar</a:t>
                </a:r>
                <a:r>
                  <a:rPr lang="en-US" sz="1800" b="0" baseline="0"/>
                  <a:t> age (BC)</a:t>
                </a:r>
                <a:endParaRPr lang="en-US" sz="1800" b="0"/>
              </a:p>
            </c:rich>
          </c:tx>
          <c:layout>
            <c:manualLayout>
              <c:xMode val="edge"/>
              <c:yMode val="edge"/>
              <c:x val="0.377137570553866"/>
              <c:y val="0.9463587497204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1992414576"/>
        <c:crossesAt val="-25.0"/>
        <c:crossBetween val="midCat"/>
      </c:valAx>
      <c:valAx>
        <c:axId val="-1992414576"/>
        <c:scaling>
          <c:orientation val="minMax"/>
          <c:max val="5.0"/>
          <c:min val="-25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∆¹⁴C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-1992649744"/>
        <c:crosses val="autoZero"/>
        <c:crossBetween val="midCat"/>
        <c:majorUnit val="5.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0272000841"/>
          <c:y val="0.0262676641729011"/>
          <c:w val="0.839757534014698"/>
          <c:h val="0.7886888888888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'Russia RUS04 775'!$T$5:$T$14</c:f>
                <c:numCache>
                  <c:formatCode>General</c:formatCode>
                  <c:ptCount val="10"/>
                  <c:pt idx="0">
                    <c:v>2.325183228802692</c:v>
                  </c:pt>
                  <c:pt idx="1">
                    <c:v>2.465926761912013</c:v>
                  </c:pt>
                  <c:pt idx="2">
                    <c:v>2.336297896196413</c:v>
                  </c:pt>
                  <c:pt idx="3">
                    <c:v>2.366574690434466</c:v>
                  </c:pt>
                  <c:pt idx="4">
                    <c:v>2.31703159706992</c:v>
                  </c:pt>
                  <c:pt idx="5">
                    <c:v>2.312975816281166</c:v>
                  </c:pt>
                  <c:pt idx="6">
                    <c:v>2.569894653943261</c:v>
                  </c:pt>
                  <c:pt idx="7">
                    <c:v>2.256269297481398</c:v>
                  </c:pt>
                  <c:pt idx="8">
                    <c:v>2.27738117407969</c:v>
                  </c:pt>
                  <c:pt idx="9">
                    <c:v>2.288544299047245</c:v>
                  </c:pt>
                </c:numCache>
              </c:numRef>
            </c:plus>
            <c:minus>
              <c:numRef>
                <c:f>'Russia RUS04 775'!$T$5:$T$14</c:f>
                <c:numCache>
                  <c:formatCode>General</c:formatCode>
                  <c:ptCount val="10"/>
                  <c:pt idx="0">
                    <c:v>2.325183228802692</c:v>
                  </c:pt>
                  <c:pt idx="1">
                    <c:v>2.465926761912013</c:v>
                  </c:pt>
                  <c:pt idx="2">
                    <c:v>2.336297896196413</c:v>
                  </c:pt>
                  <c:pt idx="3">
                    <c:v>2.366574690434466</c:v>
                  </c:pt>
                  <c:pt idx="4">
                    <c:v>2.31703159706992</c:v>
                  </c:pt>
                  <c:pt idx="5">
                    <c:v>2.312975816281166</c:v>
                  </c:pt>
                  <c:pt idx="6">
                    <c:v>2.569894653943261</c:v>
                  </c:pt>
                  <c:pt idx="7">
                    <c:v>2.256269297481398</c:v>
                  </c:pt>
                  <c:pt idx="8">
                    <c:v>2.27738117407969</c:v>
                  </c:pt>
                  <c:pt idx="9">
                    <c:v>2.288544299047245</c:v>
                  </c:pt>
                </c:numCache>
              </c:numRef>
            </c:minus>
          </c:errBars>
          <c:xVal>
            <c:numRef>
              <c:f>'Russia RUS04 775'!$I$5:$I$14</c:f>
              <c:numCache>
                <c:formatCode>General</c:formatCode>
                <c:ptCount val="10"/>
                <c:pt idx="0">
                  <c:v>770.0</c:v>
                </c:pt>
                <c:pt idx="1">
                  <c:v>771.0</c:v>
                </c:pt>
                <c:pt idx="2">
                  <c:v>772.0</c:v>
                </c:pt>
                <c:pt idx="3">
                  <c:v>774.0</c:v>
                </c:pt>
                <c:pt idx="4">
                  <c:v>775.0</c:v>
                </c:pt>
                <c:pt idx="5">
                  <c:v>776.0</c:v>
                </c:pt>
                <c:pt idx="6">
                  <c:v>777.0</c:v>
                </c:pt>
                <c:pt idx="7">
                  <c:v>778.0</c:v>
                </c:pt>
                <c:pt idx="8">
                  <c:v>779.0</c:v>
                </c:pt>
                <c:pt idx="9">
                  <c:v>780.0</c:v>
                </c:pt>
              </c:numCache>
            </c:numRef>
          </c:xVal>
          <c:yVal>
            <c:numRef>
              <c:f>'Russia RUS04 775'!$R$5:$R$14</c:f>
              <c:numCache>
                <c:formatCode>0.0</c:formatCode>
                <c:ptCount val="10"/>
                <c:pt idx="0">
                  <c:v>-13.48722197873831</c:v>
                </c:pt>
                <c:pt idx="1">
                  <c:v>-22.47543386946249</c:v>
                </c:pt>
                <c:pt idx="2">
                  <c:v>-16.79871515961462</c:v>
                </c:pt>
                <c:pt idx="3">
                  <c:v>-12.16596402557901</c:v>
                </c:pt>
                <c:pt idx="4">
                  <c:v>4.617652930789084</c:v>
                </c:pt>
                <c:pt idx="5">
                  <c:v>0.361224328219611</c:v>
                </c:pt>
                <c:pt idx="6">
                  <c:v>-2.273941601602658</c:v>
                </c:pt>
                <c:pt idx="7">
                  <c:v>-1.567428331108012</c:v>
                </c:pt>
                <c:pt idx="8">
                  <c:v>-0.700622563574726</c:v>
                </c:pt>
                <c:pt idx="9">
                  <c:v>-6.627572838776019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plus"/>
            <c:size val="9"/>
            <c:spPr>
              <a:noFill/>
              <a:ln w="31750">
                <a:solidFill>
                  <a:schemeClr val="tx1">
                    <a:alpha val="25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441168"/>
        <c:axId val="-1992856688"/>
      </c:scatterChart>
      <c:valAx>
        <c:axId val="-1992441168"/>
        <c:scaling>
          <c:orientation val="minMax"/>
          <c:max val="785.0"/>
          <c:min val="76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Calendar</a:t>
                </a:r>
                <a:r>
                  <a:rPr lang="en-US" sz="1800" b="0" baseline="0"/>
                  <a:t> age (BC)</a:t>
                </a:r>
                <a:endParaRPr lang="en-US" sz="1800" b="0"/>
              </a:p>
            </c:rich>
          </c:tx>
          <c:layout>
            <c:manualLayout>
              <c:xMode val="edge"/>
              <c:yMode val="edge"/>
              <c:x val="0.377137570553866"/>
              <c:y val="0.9463587497204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1992856688"/>
        <c:crossesAt val="-25.0"/>
        <c:crossBetween val="midCat"/>
      </c:valAx>
      <c:valAx>
        <c:axId val="-1992856688"/>
        <c:scaling>
          <c:orientation val="minMax"/>
          <c:max val="10.0"/>
          <c:min val="-3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∆¹⁴C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-1992441168"/>
        <c:crosses val="autoZero"/>
        <c:crossBetween val="midCat"/>
        <c:majorUnit val="5.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0272000841"/>
          <c:y val="0.0262676641729011"/>
          <c:w val="0.839757534014698"/>
          <c:h val="0.7886888888888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'Russia RUS04 775'!$T$16:$T$24</c:f>
                <c:numCache>
                  <c:formatCode>General</c:formatCode>
                  <c:ptCount val="9"/>
                  <c:pt idx="0">
                    <c:v>1.893458233531207</c:v>
                  </c:pt>
                  <c:pt idx="1">
                    <c:v>1.913745671597616</c:v>
                  </c:pt>
                  <c:pt idx="2">
                    <c:v>2.402970748100558</c:v>
                  </c:pt>
                  <c:pt idx="3">
                    <c:v>1.873537021006709</c:v>
                  </c:pt>
                  <c:pt idx="4">
                    <c:v>1.829606156581985</c:v>
                  </c:pt>
                  <c:pt idx="5">
                    <c:v>2.534605654127948</c:v>
                  </c:pt>
                  <c:pt idx="6">
                    <c:v>2.11139654607998</c:v>
                  </c:pt>
                  <c:pt idx="7">
                    <c:v>1.85448530808748</c:v>
                  </c:pt>
                  <c:pt idx="8">
                    <c:v>1.868943549732312</c:v>
                  </c:pt>
                </c:numCache>
              </c:numRef>
            </c:plus>
            <c:minus>
              <c:numRef>
                <c:f>'Russia RUS04 775'!$T$16:$T$24</c:f>
                <c:numCache>
                  <c:formatCode>General</c:formatCode>
                  <c:ptCount val="9"/>
                  <c:pt idx="0">
                    <c:v>1.893458233531207</c:v>
                  </c:pt>
                  <c:pt idx="1">
                    <c:v>1.913745671597616</c:v>
                  </c:pt>
                  <c:pt idx="2">
                    <c:v>2.402970748100558</c:v>
                  </c:pt>
                  <c:pt idx="3">
                    <c:v>1.873537021006709</c:v>
                  </c:pt>
                  <c:pt idx="4">
                    <c:v>1.829606156581985</c:v>
                  </c:pt>
                  <c:pt idx="5">
                    <c:v>2.534605654127948</c:v>
                  </c:pt>
                  <c:pt idx="6">
                    <c:v>2.11139654607998</c:v>
                  </c:pt>
                  <c:pt idx="7">
                    <c:v>1.85448530808748</c:v>
                  </c:pt>
                  <c:pt idx="8">
                    <c:v>1.868943549732312</c:v>
                  </c:pt>
                </c:numCache>
              </c:numRef>
            </c:minus>
          </c:errBars>
          <c:xVal>
            <c:numRef>
              <c:f>'Russia RUS04 775'!$I$16:$I$24</c:f>
              <c:numCache>
                <c:formatCode>General</c:formatCode>
                <c:ptCount val="9"/>
                <c:pt idx="0">
                  <c:v>770.0</c:v>
                </c:pt>
                <c:pt idx="1">
                  <c:v>771.0</c:v>
                </c:pt>
                <c:pt idx="2">
                  <c:v>772.0</c:v>
                </c:pt>
                <c:pt idx="3">
                  <c:v>774.0</c:v>
                </c:pt>
                <c:pt idx="4">
                  <c:v>775.0</c:v>
                </c:pt>
                <c:pt idx="5">
                  <c:v>776.0</c:v>
                </c:pt>
                <c:pt idx="6">
                  <c:v>778.0</c:v>
                </c:pt>
                <c:pt idx="7">
                  <c:v>779.0</c:v>
                </c:pt>
                <c:pt idx="8">
                  <c:v>780.0</c:v>
                </c:pt>
              </c:numCache>
            </c:numRef>
          </c:xVal>
          <c:yVal>
            <c:numRef>
              <c:f>'Russia RUS04 775'!$R$16:$R$24</c:f>
              <c:numCache>
                <c:formatCode>0.0</c:formatCode>
                <c:ptCount val="9"/>
                <c:pt idx="0">
                  <c:v>-14.84065132722134</c:v>
                </c:pt>
                <c:pt idx="1">
                  <c:v>-15.0376025076665</c:v>
                </c:pt>
                <c:pt idx="2">
                  <c:v>-17.20667469678649</c:v>
                </c:pt>
                <c:pt idx="3">
                  <c:v>-11.72604369569374</c:v>
                </c:pt>
                <c:pt idx="4">
                  <c:v>0.687034127000219</c:v>
                </c:pt>
                <c:pt idx="5">
                  <c:v>0.447233133038072</c:v>
                </c:pt>
                <c:pt idx="6">
                  <c:v>-1.011976694347605</c:v>
                </c:pt>
                <c:pt idx="7">
                  <c:v>-5.132008288565304</c:v>
                </c:pt>
                <c:pt idx="8">
                  <c:v>-5.061221274235361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plus"/>
            <c:size val="9"/>
            <c:spPr>
              <a:noFill/>
              <a:ln w="31750">
                <a:solidFill>
                  <a:schemeClr val="tx1">
                    <a:alpha val="25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851680"/>
        <c:axId val="-1992848832"/>
      </c:scatterChart>
      <c:valAx>
        <c:axId val="-1992851680"/>
        <c:scaling>
          <c:orientation val="minMax"/>
          <c:max val="785.0"/>
          <c:min val="76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Calendar</a:t>
                </a:r>
                <a:r>
                  <a:rPr lang="en-US" sz="1800" b="0" baseline="0"/>
                  <a:t> age (BC)</a:t>
                </a:r>
                <a:endParaRPr lang="en-US" sz="1800" b="0"/>
              </a:p>
            </c:rich>
          </c:tx>
          <c:layout>
            <c:manualLayout>
              <c:xMode val="edge"/>
              <c:yMode val="edge"/>
              <c:x val="0.377137570553866"/>
              <c:y val="0.9463587497204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1992848832"/>
        <c:crossesAt val="-25.0"/>
        <c:crossBetween val="midCat"/>
      </c:valAx>
      <c:valAx>
        <c:axId val="-1992848832"/>
        <c:scaling>
          <c:orientation val="minMax"/>
          <c:max val="10.0"/>
          <c:min val="-3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∆¹⁴C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-1992851680"/>
        <c:crosses val="autoZero"/>
        <c:crossBetween val="midCat"/>
        <c:majorUnit val="5.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0272000841"/>
          <c:y val="0.0262676641729011"/>
          <c:w val="0.839757534014698"/>
          <c:h val="0.7886888888888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'Russia RUS04 775'!$L$28:$L$37</c:f>
                <c:numCache>
                  <c:formatCode>General</c:formatCode>
                  <c:ptCount val="10"/>
                  <c:pt idx="0">
                    <c:v>1.468226451563725</c:v>
                  </c:pt>
                  <c:pt idx="1">
                    <c:v>1.511875863350419</c:v>
                  </c:pt>
                  <c:pt idx="2">
                    <c:v>1.675087160400568</c:v>
                  </c:pt>
                  <c:pt idx="3">
                    <c:v>1.46893929809952</c:v>
                  </c:pt>
                  <c:pt idx="4">
                    <c:v>1.435917216065019</c:v>
                  </c:pt>
                  <c:pt idx="5">
                    <c:v>1.708511656434027</c:v>
                  </c:pt>
                  <c:pt idx="6">
                    <c:v>2.569894653943261</c:v>
                  </c:pt>
                  <c:pt idx="7">
                    <c:v>1.541656345715193</c:v>
                  </c:pt>
                  <c:pt idx="8">
                    <c:v>1.438023480838533</c:v>
                  </c:pt>
                  <c:pt idx="9">
                    <c:v>1.447567882646862</c:v>
                  </c:pt>
                </c:numCache>
              </c:numRef>
            </c:plus>
            <c:minus>
              <c:numRef>
                <c:f>'Russia RUS04 775'!$L$28:$L$37</c:f>
                <c:numCache>
                  <c:formatCode>General</c:formatCode>
                  <c:ptCount val="10"/>
                  <c:pt idx="0">
                    <c:v>1.468226451563725</c:v>
                  </c:pt>
                  <c:pt idx="1">
                    <c:v>1.511875863350419</c:v>
                  </c:pt>
                  <c:pt idx="2">
                    <c:v>1.675087160400568</c:v>
                  </c:pt>
                  <c:pt idx="3">
                    <c:v>1.46893929809952</c:v>
                  </c:pt>
                  <c:pt idx="4">
                    <c:v>1.435917216065019</c:v>
                  </c:pt>
                  <c:pt idx="5">
                    <c:v>1.708511656434027</c:v>
                  </c:pt>
                  <c:pt idx="6">
                    <c:v>2.569894653943261</c:v>
                  </c:pt>
                  <c:pt idx="7">
                    <c:v>1.541656345715193</c:v>
                  </c:pt>
                  <c:pt idx="8">
                    <c:v>1.438023480838533</c:v>
                  </c:pt>
                  <c:pt idx="9">
                    <c:v>1.447567882646862</c:v>
                  </c:pt>
                </c:numCache>
              </c:numRef>
            </c:minus>
          </c:errBars>
          <c:xVal>
            <c:numRef>
              <c:f>'Russia RUS04 775'!$A$28:$A$37</c:f>
              <c:numCache>
                <c:formatCode>General</c:formatCode>
                <c:ptCount val="10"/>
                <c:pt idx="0">
                  <c:v>770.0</c:v>
                </c:pt>
                <c:pt idx="1">
                  <c:v>771.0</c:v>
                </c:pt>
                <c:pt idx="2">
                  <c:v>772.0</c:v>
                </c:pt>
                <c:pt idx="3">
                  <c:v>774.0</c:v>
                </c:pt>
                <c:pt idx="4">
                  <c:v>775.0</c:v>
                </c:pt>
                <c:pt idx="5">
                  <c:v>776.0</c:v>
                </c:pt>
                <c:pt idx="6">
                  <c:v>777.0</c:v>
                </c:pt>
                <c:pt idx="7">
                  <c:v>778.0</c:v>
                </c:pt>
                <c:pt idx="8">
                  <c:v>779.0</c:v>
                </c:pt>
                <c:pt idx="9">
                  <c:v>780.0</c:v>
                </c:pt>
              </c:numCache>
            </c:numRef>
          </c:xVal>
          <c:yVal>
            <c:numRef>
              <c:f>'Russia RUS04 775'!$J$28:$J$37</c:f>
              <c:numCache>
                <c:formatCode>0.0</c:formatCode>
                <c:ptCount val="10"/>
                <c:pt idx="0">
                  <c:v>-14.30189829838768</c:v>
                </c:pt>
                <c:pt idx="1">
                  <c:v>-17.8599451195215</c:v>
                </c:pt>
                <c:pt idx="2">
                  <c:v>-16.99704140728753</c:v>
                </c:pt>
                <c:pt idx="3">
                  <c:v>-11.89562539106848</c:v>
                </c:pt>
                <c:pt idx="4">
                  <c:v>2.18932404863259</c:v>
                </c:pt>
                <c:pt idx="5">
                  <c:v>0.4003009722644</c:v>
                </c:pt>
                <c:pt idx="6">
                  <c:v>-2.273941601602658</c:v>
                </c:pt>
                <c:pt idx="7">
                  <c:v>-1.27145256622363</c:v>
                </c:pt>
                <c:pt idx="8">
                  <c:v>-3.374599774052078</c:v>
                </c:pt>
                <c:pt idx="9">
                  <c:v>-5.689089756908627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plus"/>
            <c:size val="9"/>
            <c:spPr>
              <a:noFill/>
              <a:ln w="31750">
                <a:solidFill>
                  <a:schemeClr val="tx1">
                    <a:alpha val="25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936352"/>
        <c:axId val="-1992929968"/>
      </c:scatterChart>
      <c:valAx>
        <c:axId val="-1992936352"/>
        <c:scaling>
          <c:orientation val="minMax"/>
          <c:max val="785.0"/>
          <c:min val="76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Calendar</a:t>
                </a:r>
                <a:r>
                  <a:rPr lang="en-US" sz="1800" b="0" baseline="0"/>
                  <a:t> age (BC)</a:t>
                </a:r>
                <a:endParaRPr lang="en-US" sz="1800" b="0"/>
              </a:p>
            </c:rich>
          </c:tx>
          <c:layout>
            <c:manualLayout>
              <c:xMode val="edge"/>
              <c:yMode val="edge"/>
              <c:x val="0.377137570553866"/>
              <c:y val="0.9463587497204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1992929968"/>
        <c:crossesAt val="-25.0"/>
        <c:crossBetween val="midCat"/>
      </c:valAx>
      <c:valAx>
        <c:axId val="-1992929968"/>
        <c:scaling>
          <c:orientation val="minMax"/>
          <c:max val="5.0"/>
          <c:min val="-3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∆¹⁴C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-1992936352"/>
        <c:crosses val="autoZero"/>
        <c:crossBetween val="midCat"/>
        <c:majorUnit val="5.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33014113857"/>
          <c:y val="0.0344327180036372"/>
          <c:w val="0.839757534014698"/>
          <c:h val="0.78333070089356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'USA02 775'!$T$53:$T$63</c:f>
                <c:numCache>
                  <c:formatCode>General</c:formatCode>
                  <c:ptCount val="11"/>
                  <c:pt idx="0">
                    <c:v>2.040270227036653</c:v>
                  </c:pt>
                  <c:pt idx="1">
                    <c:v>2.112373025595774</c:v>
                  </c:pt>
                  <c:pt idx="2">
                    <c:v>1.551875575656003</c:v>
                  </c:pt>
                  <c:pt idx="3">
                    <c:v>1.547994875335569</c:v>
                  </c:pt>
                  <c:pt idx="4">
                    <c:v>1.54115682768307</c:v>
                  </c:pt>
                  <c:pt idx="5">
                    <c:v>1.549765783093505</c:v>
                  </c:pt>
                  <c:pt idx="6">
                    <c:v>1.531438360217137</c:v>
                  </c:pt>
                  <c:pt idx="7">
                    <c:v>1.534346679449153</c:v>
                  </c:pt>
                  <c:pt idx="8">
                    <c:v>1.566945235129845</c:v>
                  </c:pt>
                  <c:pt idx="9">
                    <c:v>2.061113524615881</c:v>
                  </c:pt>
                  <c:pt idx="10">
                    <c:v>2.046983070583153</c:v>
                  </c:pt>
                </c:numCache>
              </c:numRef>
            </c:plus>
            <c:minus>
              <c:numRef>
                <c:f>'USA02 775'!$T$53:$T$63</c:f>
                <c:numCache>
                  <c:formatCode>General</c:formatCode>
                  <c:ptCount val="11"/>
                  <c:pt idx="0">
                    <c:v>2.040270227036653</c:v>
                  </c:pt>
                  <c:pt idx="1">
                    <c:v>2.112373025595774</c:v>
                  </c:pt>
                  <c:pt idx="2">
                    <c:v>1.551875575656003</c:v>
                  </c:pt>
                  <c:pt idx="3">
                    <c:v>1.547994875335569</c:v>
                  </c:pt>
                  <c:pt idx="4">
                    <c:v>1.54115682768307</c:v>
                  </c:pt>
                  <c:pt idx="5">
                    <c:v>1.549765783093505</c:v>
                  </c:pt>
                  <c:pt idx="6">
                    <c:v>1.531438360217137</c:v>
                  </c:pt>
                  <c:pt idx="7">
                    <c:v>1.534346679449153</c:v>
                  </c:pt>
                  <c:pt idx="8">
                    <c:v>1.566945235129845</c:v>
                  </c:pt>
                  <c:pt idx="9">
                    <c:v>2.061113524615881</c:v>
                  </c:pt>
                  <c:pt idx="10">
                    <c:v>2.046983070583153</c:v>
                  </c:pt>
                </c:numCache>
              </c:numRef>
            </c:minus>
          </c:errBars>
          <c:xVal>
            <c:numRef>
              <c:f>'USA02 775'!$I$53:$I$63</c:f>
              <c:numCache>
                <c:formatCode>General</c:formatCode>
                <c:ptCount val="11"/>
                <c:pt idx="0">
                  <c:v>770.0</c:v>
                </c:pt>
                <c:pt idx="1">
                  <c:v>771.0</c:v>
                </c:pt>
                <c:pt idx="2">
                  <c:v>772.0</c:v>
                </c:pt>
                <c:pt idx="3">
                  <c:v>773.0</c:v>
                </c:pt>
                <c:pt idx="4">
                  <c:v>774.0</c:v>
                </c:pt>
                <c:pt idx="5">
                  <c:v>775.0</c:v>
                </c:pt>
                <c:pt idx="6">
                  <c:v>776.0</c:v>
                </c:pt>
                <c:pt idx="7">
                  <c:v>777.0</c:v>
                </c:pt>
                <c:pt idx="8">
                  <c:v>778.0</c:v>
                </c:pt>
                <c:pt idx="9">
                  <c:v>779.0</c:v>
                </c:pt>
                <c:pt idx="10">
                  <c:v>780.0</c:v>
                </c:pt>
              </c:numCache>
            </c:numRef>
          </c:xVal>
          <c:yVal>
            <c:numRef>
              <c:f>'USA02 775'!$R$53:$R$63</c:f>
              <c:numCache>
                <c:formatCode>General</c:formatCode>
                <c:ptCount val="11"/>
                <c:pt idx="0">
                  <c:v>-20.54425975713303</c:v>
                </c:pt>
                <c:pt idx="1">
                  <c:v>-19.7852180043209</c:v>
                </c:pt>
                <c:pt idx="2" formatCode="0.0">
                  <c:v>-21.17687212008945</c:v>
                </c:pt>
                <c:pt idx="3" formatCode="0.0">
                  <c:v>-21.1078964601592</c:v>
                </c:pt>
                <c:pt idx="4" formatCode="0.0">
                  <c:v>-17.31830087414887</c:v>
                </c:pt>
                <c:pt idx="5" formatCode="0.0">
                  <c:v>-8.16529148057743</c:v>
                </c:pt>
                <c:pt idx="6" formatCode="0.0">
                  <c:v>-3.175999317385325</c:v>
                </c:pt>
                <c:pt idx="7" formatCode="0.0">
                  <c:v>-6.588716484757006</c:v>
                </c:pt>
                <c:pt idx="8" formatCode="0.0">
                  <c:v>-9.571045443633075</c:v>
                </c:pt>
                <c:pt idx="9">
                  <c:v>-6.623730645666015</c:v>
                </c:pt>
                <c:pt idx="10">
                  <c:v>-7.092036843939109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plus"/>
            <c:size val="9"/>
            <c:spPr>
              <a:noFill/>
              <a:ln w="31750">
                <a:solidFill>
                  <a:schemeClr val="tx1">
                    <a:alpha val="25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240272"/>
        <c:axId val="-1992236880"/>
      </c:scatterChart>
      <c:valAx>
        <c:axId val="-1992240272"/>
        <c:scaling>
          <c:orientation val="minMax"/>
          <c:max val="785.0"/>
          <c:min val="76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Calendar</a:t>
                </a:r>
                <a:r>
                  <a:rPr lang="en-US" sz="1800" b="0" baseline="0"/>
                  <a:t> age (BC)</a:t>
                </a:r>
                <a:endParaRPr lang="en-US" sz="1800" b="0"/>
              </a:p>
            </c:rich>
          </c:tx>
          <c:layout>
            <c:manualLayout>
              <c:xMode val="edge"/>
              <c:yMode val="edge"/>
              <c:x val="0.377137570553866"/>
              <c:y val="0.9463587497204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1992236880"/>
        <c:crossesAt val="-25.0"/>
        <c:crossBetween val="midCat"/>
      </c:valAx>
      <c:valAx>
        <c:axId val="-1992236880"/>
        <c:scaling>
          <c:orientation val="minMax"/>
          <c:max val="5.0"/>
          <c:min val="-25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∆¹⁴C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-1992240272"/>
        <c:crosses val="autoZero"/>
        <c:crossBetween val="midCat"/>
        <c:majorUnit val="5.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aseline="0"/>
              <a:t>DAR02: third analyses - from cellulose</a:t>
            </a:r>
            <a:endParaRPr lang="de-CH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568952758926"/>
          <c:y val="0.143565685241726"/>
          <c:w val="0.810988888184144"/>
          <c:h val="0.67132173954446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'New Zealand DAR02 775 (not used'!$M$47:$M$49</c:f>
                <c:numCache>
                  <c:formatCode>General</c:formatCode>
                  <c:ptCount val="3"/>
                  <c:pt idx="0">
                    <c:v>1.835665128928781</c:v>
                  </c:pt>
                  <c:pt idx="1">
                    <c:v>1.815178992458581</c:v>
                  </c:pt>
                  <c:pt idx="2">
                    <c:v>1.82824250533344</c:v>
                  </c:pt>
                </c:numCache>
              </c:numRef>
            </c:plus>
            <c:minus>
              <c:numRef>
                <c:f>'New Zealand DAR02 775 (not used'!$M$47:$M$49</c:f>
                <c:numCache>
                  <c:formatCode>General</c:formatCode>
                  <c:ptCount val="3"/>
                  <c:pt idx="0">
                    <c:v>1.835665128928781</c:v>
                  </c:pt>
                  <c:pt idx="1">
                    <c:v>1.815178992458581</c:v>
                  </c:pt>
                  <c:pt idx="2">
                    <c:v>1.82824250533344</c:v>
                  </c:pt>
                </c:numCache>
              </c:numRef>
            </c:minus>
          </c:errBars>
          <c:xVal>
            <c:numRef>
              <c:f>'New Zealand DAR02 775 (not used'!$B$47:$B$49</c:f>
              <c:numCache>
                <c:formatCode>General</c:formatCode>
                <c:ptCount val="3"/>
                <c:pt idx="0">
                  <c:v>773.0</c:v>
                </c:pt>
                <c:pt idx="1">
                  <c:v>774.0</c:v>
                </c:pt>
                <c:pt idx="2">
                  <c:v>775.0</c:v>
                </c:pt>
              </c:numCache>
            </c:numRef>
          </c:xVal>
          <c:yVal>
            <c:numRef>
              <c:f>'New Zealand DAR02 775 (not used'!$K$47:$K$49</c:f>
              <c:numCache>
                <c:formatCode>0.0</c:formatCode>
                <c:ptCount val="3"/>
                <c:pt idx="0">
                  <c:v>-24.52257719029227</c:v>
                </c:pt>
                <c:pt idx="1">
                  <c:v>-17.37814836641394</c:v>
                </c:pt>
                <c:pt idx="2">
                  <c:v>-11.41635958823906</c:v>
                </c:pt>
              </c:numCache>
            </c:numRef>
          </c:yVal>
          <c:smooth val="0"/>
        </c:ser>
        <c:ser>
          <c:idx val="2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2"/>
          <c:spPr>
            <a:ln w="47625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056928"/>
        <c:axId val="-2072132176"/>
      </c:scatterChart>
      <c:valAx>
        <c:axId val="-2072056928"/>
        <c:scaling>
          <c:orientation val="minMax"/>
          <c:max val="781.0"/>
          <c:min val="769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/>
                  <a:t>Calendar</a:t>
                </a:r>
                <a:r>
                  <a:rPr lang="en-US" sz="1800" b="0" baseline="0"/>
                  <a:t> age (BC)</a:t>
                </a:r>
                <a:endParaRPr lang="en-US" sz="1800" b="0"/>
              </a:p>
            </c:rich>
          </c:tx>
          <c:layout>
            <c:manualLayout>
              <c:xMode val="edge"/>
              <c:yMode val="edge"/>
              <c:x val="0.377137570553866"/>
              <c:y val="0.9463587497204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800"/>
            </a:pPr>
            <a:endParaRPr lang="en-US"/>
          </a:p>
        </c:txPr>
        <c:crossAx val="-2072132176"/>
        <c:crossesAt val="-30.0"/>
        <c:crossBetween val="midCat"/>
        <c:majorUnit val="1.0"/>
      </c:valAx>
      <c:valAx>
        <c:axId val="-2072132176"/>
        <c:scaling>
          <c:orientation val="minMax"/>
          <c:max val="0.0"/>
          <c:min val="-33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0"/>
                  <a:t>∆¹⁴C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-2072056928"/>
        <c:crosses val="autoZero"/>
        <c:crossBetween val="midCat"/>
        <c:majorUnit val="5.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17</xdr:col>
      <xdr:colOff>222120</xdr:colOff>
      <xdr:row>35</xdr:row>
      <xdr:rowOff>195720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21</xdr:row>
      <xdr:rowOff>2540</xdr:rowOff>
    </xdr:from>
    <xdr:to>
      <xdr:col>21</xdr:col>
      <xdr:colOff>189100</xdr:colOff>
      <xdr:row>41</xdr:row>
      <xdr:rowOff>7760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472440</xdr:colOff>
      <xdr:row>2</xdr:row>
      <xdr:rowOff>129540</xdr:rowOff>
    </xdr:from>
    <xdr:to>
      <xdr:col>29</xdr:col>
      <xdr:colOff>557400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502920</xdr:colOff>
      <xdr:row>18</xdr:row>
      <xdr:rowOff>99060</xdr:rowOff>
    </xdr:from>
    <xdr:to>
      <xdr:col>29</xdr:col>
      <xdr:colOff>587880</xdr:colOff>
      <xdr:row>33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37</xdr:row>
      <xdr:rowOff>68580</xdr:rowOff>
    </xdr:from>
    <xdr:to>
      <xdr:col>9</xdr:col>
      <xdr:colOff>54480</xdr:colOff>
      <xdr:row>55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64</xdr:row>
      <xdr:rowOff>0</xdr:rowOff>
    </xdr:from>
    <xdr:to>
      <xdr:col>19</xdr:col>
      <xdr:colOff>84960</xdr:colOff>
      <xdr:row>83</xdr:row>
      <xdr:rowOff>195720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71</xdr:row>
      <xdr:rowOff>0</xdr:rowOff>
    </xdr:from>
    <xdr:to>
      <xdr:col>41</xdr:col>
      <xdr:colOff>22860</xdr:colOff>
      <xdr:row>87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P56" sqref="P56"/>
    </sheetView>
  </sheetViews>
  <sheetFormatPr baseColWidth="10" defaultColWidth="8.6640625" defaultRowHeight="16" x14ac:dyDescent="0.2"/>
  <cols>
    <col min="1" max="1" width="7.6640625" bestFit="1" customWidth="1"/>
  </cols>
  <sheetData>
    <row r="1" spans="1:20" x14ac:dyDescent="0.2">
      <c r="A1" t="s">
        <v>813</v>
      </c>
    </row>
    <row r="3" spans="1:20" x14ac:dyDescent="0.2">
      <c r="I3" s="223" t="s">
        <v>633</v>
      </c>
    </row>
    <row r="4" spans="1:20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313" t="s">
        <v>17</v>
      </c>
      <c r="J4" s="314" t="s">
        <v>15</v>
      </c>
      <c r="K4" s="345" t="s">
        <v>1</v>
      </c>
      <c r="L4" s="345"/>
      <c r="M4" s="345"/>
      <c r="N4" s="345" t="s">
        <v>2</v>
      </c>
      <c r="O4" s="345"/>
      <c r="P4" s="345"/>
      <c r="Q4" s="313" t="s">
        <v>3</v>
      </c>
      <c r="R4" s="346" t="s">
        <v>16</v>
      </c>
      <c r="S4" s="345"/>
      <c r="T4" s="345"/>
    </row>
    <row r="5" spans="1:20" x14ac:dyDescent="0.2">
      <c r="A5" s="156" t="s">
        <v>611</v>
      </c>
      <c r="B5" s="156" t="s">
        <v>216</v>
      </c>
      <c r="C5" s="34">
        <v>0.85161143983239107</v>
      </c>
      <c r="D5" s="34">
        <v>2.1333504687161007E-3</v>
      </c>
      <c r="E5" s="32">
        <v>1290.2880356523597</v>
      </c>
      <c r="F5" s="32">
        <v>20.123081513600095</v>
      </c>
      <c r="G5" s="36">
        <v>-22.686570805086738</v>
      </c>
      <c r="I5" s="297">
        <v>768</v>
      </c>
      <c r="J5" s="271">
        <f>1950-I5</f>
        <v>1182</v>
      </c>
      <c r="K5" s="34">
        <v>0.85161143983239107</v>
      </c>
      <c r="L5" s="273" t="s">
        <v>5</v>
      </c>
      <c r="M5" s="274">
        <f>D5</f>
        <v>2.1333504687161007E-3</v>
      </c>
      <c r="N5" s="275">
        <f>-8033*LN(K5)</f>
        <v>1290.2999238233995</v>
      </c>
      <c r="O5" s="276" t="s">
        <v>5</v>
      </c>
      <c r="P5" s="275">
        <f>M5/K5*8033</f>
        <v>20.123266919205872</v>
      </c>
      <c r="Q5" s="277">
        <f>G5</f>
        <v>-22.686570805086738</v>
      </c>
      <c r="R5" s="271">
        <f>(EXP(J5/8267)*EXP(-N5/8033)-1)*1000</f>
        <v>-17.492013964590768</v>
      </c>
      <c r="S5" s="273" t="s">
        <v>5</v>
      </c>
      <c r="T5" s="278">
        <f>P5/8.033</f>
        <v>2.505074930811138</v>
      </c>
    </row>
    <row r="6" spans="1:20" x14ac:dyDescent="0.2">
      <c r="A6" s="156" t="s">
        <v>612</v>
      </c>
      <c r="B6" s="156" t="s">
        <v>217</v>
      </c>
      <c r="C6" s="34">
        <v>0.84568717068413568</v>
      </c>
      <c r="D6" s="34">
        <v>2.0989440488077145E-3</v>
      </c>
      <c r="E6" s="32">
        <v>1346.3646842358767</v>
      </c>
      <c r="F6" s="32">
        <v>19.93723303545643</v>
      </c>
      <c r="G6" s="36">
        <v>-20.68668357174419</v>
      </c>
      <c r="I6" s="297">
        <v>769</v>
      </c>
      <c r="J6" s="271">
        <f t="shared" ref="J6:J14" si="0">1950-I6</f>
        <v>1181</v>
      </c>
      <c r="K6" s="34">
        <v>0.84568717068413568</v>
      </c>
      <c r="L6" s="273" t="s">
        <v>5</v>
      </c>
      <c r="M6" s="274">
        <f t="shared" ref="M6:M14" si="1">D6</f>
        <v>2.0989440488077145E-3</v>
      </c>
      <c r="N6" s="275">
        <f t="shared" ref="N6:N15" si="2">-8033*LN(K6)</f>
        <v>1346.3770890735607</v>
      </c>
      <c r="O6" s="276" t="s">
        <v>5</v>
      </c>
      <c r="P6" s="275">
        <f t="shared" ref="P6:P15" si="3">M6/K6*8033</f>
        <v>19.937416728732533</v>
      </c>
      <c r="Q6" s="277">
        <f t="shared" ref="Q6:Q15" si="4">G6</f>
        <v>-20.68668357174419</v>
      </c>
      <c r="R6" s="271">
        <f t="shared" ref="R6:R15" si="5">(EXP(J6/8267)*EXP(-N6/8033)-1)*1000</f>
        <v>-24.444883266896976</v>
      </c>
      <c r="S6" s="273" t="s">
        <v>5</v>
      </c>
      <c r="T6" s="278">
        <f t="shared" ref="T6:T15" si="6">P6/8.033</f>
        <v>2.4819390923356819</v>
      </c>
    </row>
    <row r="7" spans="1:20" x14ac:dyDescent="0.2">
      <c r="A7" s="156" t="s">
        <v>613</v>
      </c>
      <c r="B7" s="156" t="s">
        <v>218</v>
      </c>
      <c r="C7" s="34">
        <v>0.84881863672108049</v>
      </c>
      <c r="D7" s="34">
        <v>2.1269064102650117E-3</v>
      </c>
      <c r="E7" s="32">
        <v>1316.6747729535971</v>
      </c>
      <c r="F7" s="32">
        <v>20.128306611010217</v>
      </c>
      <c r="G7" s="36">
        <v>-23.040097895342004</v>
      </c>
      <c r="I7" s="297">
        <v>770</v>
      </c>
      <c r="J7" s="271">
        <f t="shared" si="0"/>
        <v>1180</v>
      </c>
      <c r="K7" s="34">
        <v>0.84881863672108049</v>
      </c>
      <c r="L7" s="273" t="s">
        <v>5</v>
      </c>
      <c r="M7" s="274">
        <f t="shared" si="1"/>
        <v>2.1269064102650117E-3</v>
      </c>
      <c r="N7" s="275">
        <f t="shared" si="2"/>
        <v>1316.6869042409314</v>
      </c>
      <c r="O7" s="276" t="s">
        <v>5</v>
      </c>
      <c r="P7" s="275">
        <f t="shared" si="3"/>
        <v>20.128492064757843</v>
      </c>
      <c r="Q7" s="277">
        <f t="shared" si="4"/>
        <v>-23.040097895342004</v>
      </c>
      <c r="R7" s="271">
        <f t="shared" si="5"/>
        <v>-20.950969402122933</v>
      </c>
      <c r="S7" s="273" t="s">
        <v>5</v>
      </c>
      <c r="T7" s="278">
        <f t="shared" si="6"/>
        <v>2.5057253908574437</v>
      </c>
    </row>
    <row r="8" spans="1:20" x14ac:dyDescent="0.2">
      <c r="A8" s="156" t="s">
        <v>614</v>
      </c>
      <c r="B8" s="156" t="s">
        <v>219</v>
      </c>
      <c r="C8" s="34">
        <v>0.84980916415593866</v>
      </c>
      <c r="D8" s="34">
        <v>2.1005280657410601E-3</v>
      </c>
      <c r="E8" s="32">
        <v>1307.3062291547906</v>
      </c>
      <c r="F8" s="32">
        <v>19.855500740067914</v>
      </c>
      <c r="G8" s="36">
        <v>-22.067335794213385</v>
      </c>
      <c r="I8" s="297">
        <v>771</v>
      </c>
      <c r="J8" s="271">
        <f t="shared" si="0"/>
        <v>1179</v>
      </c>
      <c r="K8" s="34">
        <v>0.84980916415593866</v>
      </c>
      <c r="L8" s="273" t="s">
        <v>5</v>
      </c>
      <c r="M8" s="274">
        <f t="shared" si="1"/>
        <v>2.1005280657410601E-3</v>
      </c>
      <c r="N8" s="275">
        <f t="shared" si="2"/>
        <v>1307.3182741243043</v>
      </c>
      <c r="O8" s="276" t="s">
        <v>5</v>
      </c>
      <c r="P8" s="275">
        <f t="shared" si="3"/>
        <v>19.855683680297037</v>
      </c>
      <c r="Q8" s="277">
        <f t="shared" si="4"/>
        <v>-22.067335794213385</v>
      </c>
      <c r="R8" s="271">
        <f t="shared" si="5"/>
        <v>-19.927029439517074</v>
      </c>
      <c r="S8" s="273" t="s">
        <v>5</v>
      </c>
      <c r="T8" s="278">
        <f t="shared" si="6"/>
        <v>2.4717644317561356</v>
      </c>
    </row>
    <row r="9" spans="1:20" x14ac:dyDescent="0.2">
      <c r="A9" s="156" t="s">
        <v>615</v>
      </c>
      <c r="B9" s="156" t="s">
        <v>298</v>
      </c>
      <c r="C9" s="34">
        <v>0.8534931634573496</v>
      </c>
      <c r="D9" s="34">
        <v>2.1605175805502167E-3</v>
      </c>
      <c r="E9" s="32">
        <v>1272.5580351392362</v>
      </c>
      <c r="F9" s="32">
        <v>20.33440754232824</v>
      </c>
      <c r="G9" s="36">
        <v>-23.196322229831591</v>
      </c>
      <c r="I9" s="297">
        <v>772</v>
      </c>
      <c r="J9" s="271">
        <f t="shared" si="0"/>
        <v>1178</v>
      </c>
      <c r="K9" s="34">
        <v>0.8534931634573496</v>
      </c>
      <c r="L9" s="2" t="s">
        <v>5</v>
      </c>
      <c r="M9" s="274">
        <f t="shared" si="1"/>
        <v>2.1605175805502167E-3</v>
      </c>
      <c r="N9" s="275">
        <f t="shared" si="2"/>
        <v>1272.5697599535115</v>
      </c>
      <c r="O9" s="66" t="s">
        <v>5</v>
      </c>
      <c r="P9" s="275">
        <f t="shared" si="3"/>
        <v>20.334594895003129</v>
      </c>
      <c r="Q9" s="277">
        <f t="shared" si="4"/>
        <v>-23.196322229831591</v>
      </c>
      <c r="R9" s="271">
        <f t="shared" si="5"/>
        <v>-15.797383967811939</v>
      </c>
      <c r="S9" s="2" t="s">
        <v>5</v>
      </c>
      <c r="T9" s="278">
        <f t="shared" si="6"/>
        <v>2.5313824094364659</v>
      </c>
    </row>
    <row r="10" spans="1:20" x14ac:dyDescent="0.2">
      <c r="A10" s="156" t="s">
        <v>616</v>
      </c>
      <c r="B10" s="156" t="s">
        <v>299</v>
      </c>
      <c r="C10" s="34">
        <v>0.84702028971790388</v>
      </c>
      <c r="D10" s="34">
        <v>2.0983865673496246E-3</v>
      </c>
      <c r="E10" s="32">
        <v>1333.7117610390917</v>
      </c>
      <c r="F10" s="32">
        <v>19.900566957311948</v>
      </c>
      <c r="G10" s="36">
        <v>-22.412561239929406</v>
      </c>
      <c r="I10" s="297">
        <v>773</v>
      </c>
      <c r="J10" s="271">
        <f t="shared" si="0"/>
        <v>1177</v>
      </c>
      <c r="K10" s="34">
        <v>0.84702028971790388</v>
      </c>
      <c r="L10" s="2" t="s">
        <v>5</v>
      </c>
      <c r="M10" s="274">
        <f t="shared" si="1"/>
        <v>2.0983865673496246E-3</v>
      </c>
      <c r="N10" s="275">
        <f t="shared" si="2"/>
        <v>1333.7240492980654</v>
      </c>
      <c r="O10" s="66" t="s">
        <v>5</v>
      </c>
      <c r="P10" s="275">
        <f t="shared" si="3"/>
        <v>19.900750312762234</v>
      </c>
      <c r="Q10" s="277">
        <f t="shared" si="4"/>
        <v>-22.412561239929406</v>
      </c>
      <c r="R10" s="271">
        <f t="shared" si="5"/>
        <v>-23.379697310314196</v>
      </c>
      <c r="S10" s="2" t="s">
        <v>5</v>
      </c>
      <c r="T10" s="278">
        <f t="shared" si="6"/>
        <v>2.4773746187927594</v>
      </c>
    </row>
    <row r="11" spans="1:20" x14ac:dyDescent="0.2">
      <c r="A11" s="156" t="s">
        <v>617</v>
      </c>
      <c r="B11" s="156" t="s">
        <v>220</v>
      </c>
      <c r="C11" s="34">
        <v>0.85428552659946166</v>
      </c>
      <c r="D11" s="34">
        <v>2.1153656775544667E-3</v>
      </c>
      <c r="E11" s="32">
        <v>1265.1039136304048</v>
      </c>
      <c r="F11" s="32">
        <v>19.890979533494544</v>
      </c>
      <c r="G11" s="36">
        <v>-22.587013689623458</v>
      </c>
      <c r="I11" s="297">
        <v>774</v>
      </c>
      <c r="J11" s="271">
        <f t="shared" si="0"/>
        <v>1176</v>
      </c>
      <c r="K11" s="34">
        <v>0.85428552659946166</v>
      </c>
      <c r="L11" s="2" t="s">
        <v>5</v>
      </c>
      <c r="M11" s="274">
        <f t="shared" si="1"/>
        <v>2.1153656775544667E-3</v>
      </c>
      <c r="N11" s="275">
        <f t="shared" si="2"/>
        <v>1265.1155697655411</v>
      </c>
      <c r="O11" s="66" t="s">
        <v>5</v>
      </c>
      <c r="P11" s="275">
        <f t="shared" si="3"/>
        <v>19.891162800610342</v>
      </c>
      <c r="Q11" s="277">
        <f t="shared" si="4"/>
        <v>-22.587013689623458</v>
      </c>
      <c r="R11" s="271">
        <f t="shared" si="5"/>
        <v>-15.121969378366407</v>
      </c>
      <c r="S11" s="2" t="s">
        <v>5</v>
      </c>
      <c r="T11" s="278">
        <f t="shared" si="6"/>
        <v>2.4761811030263092</v>
      </c>
    </row>
    <row r="12" spans="1:20" x14ac:dyDescent="0.2">
      <c r="A12" s="156" t="s">
        <v>618</v>
      </c>
      <c r="B12" s="156" t="s">
        <v>221</v>
      </c>
      <c r="C12" s="34">
        <v>0.86280118567357555</v>
      </c>
      <c r="D12" s="34">
        <v>2.1201938082343851E-3</v>
      </c>
      <c r="E12" s="32">
        <v>1185.4268426707279</v>
      </c>
      <c r="F12" s="32">
        <v>19.739611192660291</v>
      </c>
      <c r="G12" s="36">
        <v>-21.426992364242949</v>
      </c>
      <c r="I12" s="297">
        <v>775</v>
      </c>
      <c r="J12" s="271">
        <f t="shared" si="0"/>
        <v>1175</v>
      </c>
      <c r="K12" s="34">
        <v>0.86280118567357555</v>
      </c>
      <c r="L12" s="2" t="s">
        <v>5</v>
      </c>
      <c r="M12" s="274">
        <f t="shared" si="1"/>
        <v>2.1201938082343851E-3</v>
      </c>
      <c r="N12" s="275">
        <f t="shared" si="2"/>
        <v>1185.4377646948583</v>
      </c>
      <c r="O12" s="66" t="s">
        <v>5</v>
      </c>
      <c r="P12" s="275">
        <f t="shared" si="3"/>
        <v>19.739793065131888</v>
      </c>
      <c r="Q12" s="277">
        <f t="shared" si="4"/>
        <v>-21.426992364242949</v>
      </c>
      <c r="R12" s="271">
        <f t="shared" si="5"/>
        <v>-5.4248566130704612</v>
      </c>
      <c r="S12" s="2" t="s">
        <v>5</v>
      </c>
      <c r="T12" s="278">
        <f t="shared" si="6"/>
        <v>2.4573376154776407</v>
      </c>
    </row>
    <row r="13" spans="1:20" x14ac:dyDescent="0.2">
      <c r="A13" s="156" t="s">
        <v>619</v>
      </c>
      <c r="B13" s="156" t="s">
        <v>222</v>
      </c>
      <c r="C13" s="34">
        <v>0.86740678571870256</v>
      </c>
      <c r="D13" s="34">
        <v>2.1649879760355945E-3</v>
      </c>
      <c r="E13" s="32">
        <v>1142.6614268531812</v>
      </c>
      <c r="F13" s="32">
        <v>20.049633531508661</v>
      </c>
      <c r="G13" s="36">
        <v>-22.919381990204933</v>
      </c>
      <c r="I13" s="297">
        <v>776</v>
      </c>
      <c r="J13" s="271">
        <f t="shared" si="0"/>
        <v>1174</v>
      </c>
      <c r="K13" s="34">
        <v>0.86740678571870256</v>
      </c>
      <c r="L13" s="2" t="s">
        <v>5</v>
      </c>
      <c r="M13" s="274">
        <f t="shared" si="1"/>
        <v>2.1649879760355945E-3</v>
      </c>
      <c r="N13" s="275">
        <f t="shared" si="2"/>
        <v>1142.6719548547651</v>
      </c>
      <c r="O13" s="66" t="s">
        <v>5</v>
      </c>
      <c r="P13" s="275">
        <f t="shared" si="3"/>
        <v>20.049818260395639</v>
      </c>
      <c r="Q13" s="277">
        <f t="shared" si="4"/>
        <v>-22.919381990204933</v>
      </c>
      <c r="R13" s="271">
        <f t="shared" si="5"/>
        <v>-0.23679370915863363</v>
      </c>
      <c r="S13" s="2" t="s">
        <v>5</v>
      </c>
      <c r="T13" s="278">
        <f t="shared" si="6"/>
        <v>2.4959315648444718</v>
      </c>
    </row>
    <row r="14" spans="1:20" x14ac:dyDescent="0.2">
      <c r="A14" s="156" t="s">
        <v>620</v>
      </c>
      <c r="B14" s="156" t="s">
        <v>223</v>
      </c>
      <c r="C14" s="34">
        <v>0.86443720672250268</v>
      </c>
      <c r="D14" s="34">
        <v>2.1418901764218303E-3</v>
      </c>
      <c r="E14" s="32">
        <v>1170.2094413103835</v>
      </c>
      <c r="F14" s="32">
        <v>19.903869393655214</v>
      </c>
      <c r="G14" s="36">
        <v>-21.674432845121828</v>
      </c>
      <c r="I14" s="297">
        <v>777</v>
      </c>
      <c r="J14" s="271">
        <f t="shared" si="0"/>
        <v>1173</v>
      </c>
      <c r="K14" s="34">
        <v>0.86443720672250268</v>
      </c>
      <c r="L14" s="2" t="s">
        <v>5</v>
      </c>
      <c r="M14" s="274">
        <f t="shared" si="1"/>
        <v>2.1418901764218303E-3</v>
      </c>
      <c r="N14" s="275">
        <f t="shared" si="2"/>
        <v>1170.2202231277811</v>
      </c>
      <c r="O14" s="66" t="s">
        <v>5</v>
      </c>
      <c r="P14" s="275">
        <f t="shared" si="3"/>
        <v>19.904052779532758</v>
      </c>
      <c r="Q14" s="277">
        <f t="shared" si="4"/>
        <v>-21.674432845121828</v>
      </c>
      <c r="R14" s="271">
        <f t="shared" si="5"/>
        <v>-3.7800096339503098</v>
      </c>
      <c r="S14" s="2" t="s">
        <v>5</v>
      </c>
      <c r="T14" s="278">
        <f t="shared" si="6"/>
        <v>2.4777857312999827</v>
      </c>
    </row>
    <row r="15" spans="1:20" x14ac:dyDescent="0.2">
      <c r="A15" s="156" t="s">
        <v>621</v>
      </c>
      <c r="B15" s="156" t="s">
        <v>224</v>
      </c>
      <c r="C15" s="34">
        <v>0.86395831577215509</v>
      </c>
      <c r="D15" s="34">
        <v>2.1663373573370063E-3</v>
      </c>
      <c r="E15" s="32">
        <v>1174.6608479575771</v>
      </c>
      <c r="F15" s="32">
        <v>20.142207487145686</v>
      </c>
      <c r="G15" s="36">
        <v>-22.556444837085188</v>
      </c>
      <c r="I15" s="297">
        <v>778</v>
      </c>
      <c r="J15" s="271">
        <f>1950-I15</f>
        <v>1172</v>
      </c>
      <c r="K15" s="34">
        <v>0.86395831577215509</v>
      </c>
      <c r="L15" s="2" t="s">
        <v>5</v>
      </c>
      <c r="M15" s="274">
        <f>D15</f>
        <v>2.1663373573370063E-3</v>
      </c>
      <c r="N15" s="275">
        <f t="shared" si="2"/>
        <v>1174.6716707883625</v>
      </c>
      <c r="O15" s="66" t="s">
        <v>5</v>
      </c>
      <c r="P15" s="275">
        <f t="shared" si="3"/>
        <v>20.14239306897014</v>
      </c>
      <c r="Q15" s="277">
        <f t="shared" si="4"/>
        <v>-22.556444837085188</v>
      </c>
      <c r="R15" s="271">
        <f t="shared" si="5"/>
        <v>-4.4523387198067699</v>
      </c>
      <c r="S15" s="2" t="s">
        <v>5</v>
      </c>
      <c r="T15" s="278">
        <f t="shared" si="6"/>
        <v>2.5074558781240062</v>
      </c>
    </row>
  </sheetData>
  <mergeCells count="3">
    <mergeCell ref="K4:M4"/>
    <mergeCell ref="N4:P4"/>
    <mergeCell ref="R4:T4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8" workbookViewId="0">
      <selection activeCell="K27" sqref="K27:V36"/>
    </sheetView>
  </sheetViews>
  <sheetFormatPr baseColWidth="10" defaultColWidth="9" defaultRowHeight="16" x14ac:dyDescent="0.2"/>
  <cols>
    <col min="24" max="24" width="12.6640625" customWidth="1"/>
    <col min="28" max="28" width="4.6640625" customWidth="1"/>
    <col min="31" max="31" width="3.1640625" customWidth="1"/>
    <col min="35" max="35" width="3.5" customWidth="1"/>
  </cols>
  <sheetData>
    <row r="1" spans="1:32" s="264" customFormat="1" ht="15" x14ac:dyDescent="0.2">
      <c r="A1" s="263"/>
      <c r="B1" s="263"/>
      <c r="C1" s="263"/>
      <c r="D1" s="263"/>
      <c r="F1" s="265"/>
      <c r="G1" s="265"/>
      <c r="R1" s="266"/>
      <c r="S1" s="266"/>
    </row>
    <row r="2" spans="1:32" s="231" customFormat="1" x14ac:dyDescent="0.2">
      <c r="A2" s="267"/>
      <c r="B2" s="267"/>
      <c r="C2" s="267"/>
      <c r="D2" s="333"/>
      <c r="E2" s="334"/>
      <c r="F2" s="334"/>
      <c r="H2" s="334"/>
      <c r="J2" s="335"/>
      <c r="Q2" s="280"/>
      <c r="R2" s="281"/>
      <c r="S2" s="281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333"/>
    </row>
    <row r="4" spans="1:32" ht="29" x14ac:dyDescent="0.2">
      <c r="A4" s="60" t="s">
        <v>166</v>
      </c>
      <c r="B4" s="60" t="s">
        <v>168</v>
      </c>
      <c r="C4" s="60" t="s">
        <v>303</v>
      </c>
      <c r="D4" s="60" t="s">
        <v>153</v>
      </c>
      <c r="E4" s="60" t="s">
        <v>178</v>
      </c>
      <c r="F4" s="60" t="s">
        <v>179</v>
      </c>
      <c r="G4" s="60" t="s">
        <v>180</v>
      </c>
      <c r="H4" s="60" t="s">
        <v>181</v>
      </c>
      <c r="K4" s="255" t="s">
        <v>17</v>
      </c>
      <c r="L4" s="256" t="s">
        <v>15</v>
      </c>
      <c r="M4" s="345" t="s">
        <v>1</v>
      </c>
      <c r="N4" s="345"/>
      <c r="O4" s="345"/>
      <c r="P4" s="345" t="s">
        <v>2</v>
      </c>
      <c r="Q4" s="345"/>
      <c r="R4" s="345"/>
      <c r="S4" s="255" t="s">
        <v>3</v>
      </c>
      <c r="T4" s="346" t="s">
        <v>16</v>
      </c>
      <c r="U4" s="345"/>
      <c r="V4" s="345"/>
      <c r="W4" t="s">
        <v>559</v>
      </c>
    </row>
    <row r="5" spans="1:32" x14ac:dyDescent="0.2">
      <c r="A5" s="156" t="s">
        <v>528</v>
      </c>
      <c r="B5" s="156" t="s">
        <v>216</v>
      </c>
      <c r="C5" s="157">
        <v>64020</v>
      </c>
      <c r="D5" s="34">
        <v>0.85161080173853154</v>
      </c>
      <c r="E5" s="34">
        <v>1.5799063144044901E-3</v>
      </c>
      <c r="F5" s="32">
        <v>1290.2940545506831</v>
      </c>
      <c r="G5" s="32">
        <v>14.902665003398706</v>
      </c>
      <c r="H5" s="36">
        <v>-20.406845991763568</v>
      </c>
      <c r="K5" s="270">
        <v>770</v>
      </c>
      <c r="L5" s="271">
        <f>1950-K5</f>
        <v>1180</v>
      </c>
      <c r="M5" s="272">
        <f>D5</f>
        <v>0.85161080173853154</v>
      </c>
      <c r="N5" s="273" t="s">
        <v>5</v>
      </c>
      <c r="O5" s="274">
        <f>E5</f>
        <v>1.5799063144044901E-3</v>
      </c>
      <c r="P5" s="275">
        <f>-8033*LN(M5)</f>
        <v>1290.3059427771784</v>
      </c>
      <c r="Q5" s="276" t="s">
        <v>5</v>
      </c>
      <c r="R5" s="275">
        <f>O5/M5*8033</f>
        <v>14.902802310283381</v>
      </c>
      <c r="S5" s="277">
        <f>H5</f>
        <v>-20.406845991763568</v>
      </c>
      <c r="T5" s="271">
        <f>(EXP(L5/8267)*EXP(-P5/8033)-1)*1000</f>
        <v>-17.730415169048275</v>
      </c>
      <c r="U5" s="273" t="s">
        <v>5</v>
      </c>
      <c r="V5" s="278">
        <f>R5/8.033</f>
        <v>1.8551975986908231</v>
      </c>
      <c r="W5">
        <f>1/O5^2</f>
        <v>400624.33901210397</v>
      </c>
      <c r="Y5" t="s">
        <v>609</v>
      </c>
    </row>
    <row r="6" spans="1:32" x14ac:dyDescent="0.2">
      <c r="A6" s="156" t="s">
        <v>529</v>
      </c>
      <c r="B6" s="156" t="s">
        <v>217</v>
      </c>
      <c r="C6" s="157">
        <v>64021</v>
      </c>
      <c r="D6" s="34">
        <v>0.8534425745129004</v>
      </c>
      <c r="E6" s="34">
        <v>1.5619555592491059E-3</v>
      </c>
      <c r="F6" s="32">
        <v>1273.0341834061576</v>
      </c>
      <c r="G6" s="32">
        <v>14.701719575162297</v>
      </c>
      <c r="H6" s="36">
        <v>-21.216249378246065</v>
      </c>
      <c r="K6" s="270">
        <v>771</v>
      </c>
      <c r="L6" s="271">
        <f t="shared" ref="L6:L15" si="0">1950-K6</f>
        <v>1179</v>
      </c>
      <c r="M6" s="272">
        <f t="shared" ref="M6:M15" si="1">D6</f>
        <v>0.8534425745129004</v>
      </c>
      <c r="N6" s="273" t="s">
        <v>5</v>
      </c>
      <c r="O6" s="274">
        <f t="shared" ref="O6:O15" si="2">E6</f>
        <v>1.5619555592491059E-3</v>
      </c>
      <c r="P6" s="275">
        <f t="shared" ref="P6:P15" si="3">-8033*LN(M6)</f>
        <v>1273.0459126074627</v>
      </c>
      <c r="Q6" s="276" t="s">
        <v>5</v>
      </c>
      <c r="R6" s="275">
        <f t="shared" ref="R6:R15" si="4">O6/M6*8033</f>
        <v>14.701855030620349</v>
      </c>
      <c r="S6" s="277">
        <f t="shared" ref="S6:S23" si="5">H6</f>
        <v>-21.216249378246065</v>
      </c>
      <c r="T6" s="271">
        <f>(EXP(L6/8267)*EXP(-P6/8033)-1)*1000</f>
        <v>-15.736668318441559</v>
      </c>
      <c r="U6" s="273" t="s">
        <v>5</v>
      </c>
      <c r="V6" s="278">
        <f t="shared" ref="V6:V23" si="6">R6/8.033</f>
        <v>1.8301823765243808</v>
      </c>
      <c r="W6">
        <f t="shared" ref="W6:W23" si="7">1/O6^2</f>
        <v>409885.59301267</v>
      </c>
      <c r="Y6" s="9">
        <f>T6-T5</f>
        <v>1.9937468506067155</v>
      </c>
    </row>
    <row r="7" spans="1:32" x14ac:dyDescent="0.2">
      <c r="A7" s="156" t="s">
        <v>530</v>
      </c>
      <c r="B7" s="156" t="s">
        <v>531</v>
      </c>
      <c r="C7" s="157">
        <v>64022</v>
      </c>
      <c r="D7" s="34">
        <v>0.8530009468932942</v>
      </c>
      <c r="E7" s="34">
        <v>1.5365105839678149E-3</v>
      </c>
      <c r="F7" s="32">
        <v>1277.1920263318138</v>
      </c>
      <c r="G7" s="32">
        <v>14.469709378102388</v>
      </c>
      <c r="H7" s="36">
        <v>-23.047647072425349</v>
      </c>
      <c r="K7" s="270">
        <v>772</v>
      </c>
      <c r="L7" s="271">
        <f t="shared" si="0"/>
        <v>1178</v>
      </c>
      <c r="M7" s="272">
        <f t="shared" si="1"/>
        <v>0.8530009468932942</v>
      </c>
      <c r="N7" s="273" t="s">
        <v>5</v>
      </c>
      <c r="O7" s="274">
        <f t="shared" si="2"/>
        <v>1.5365105839678149E-3</v>
      </c>
      <c r="P7" s="275">
        <f t="shared" si="3"/>
        <v>1277.2037938417343</v>
      </c>
      <c r="Q7" s="276" t="s">
        <v>5</v>
      </c>
      <c r="R7" s="275">
        <f t="shared" si="4"/>
        <v>14.469842695916109</v>
      </c>
      <c r="S7" s="277">
        <f t="shared" si="5"/>
        <v>-23.047647072425349</v>
      </c>
      <c r="T7" s="271">
        <f>(EXP(L7/8267)*EXP(-P7/8033)-1)*1000</f>
        <v>-16.36498175387424</v>
      </c>
      <c r="U7" s="273" t="s">
        <v>5</v>
      </c>
      <c r="V7" s="278">
        <f t="shared" si="6"/>
        <v>1.8012999745943121</v>
      </c>
      <c r="W7">
        <f t="shared" si="7"/>
        <v>423573.60351158597</v>
      </c>
      <c r="Y7" s="9">
        <f t="shared" ref="Y7:Y23" si="8">T7-T6</f>
        <v>-0.62831343543268048</v>
      </c>
    </row>
    <row r="8" spans="1:32" x14ac:dyDescent="0.2">
      <c r="A8" s="156" t="s">
        <v>532</v>
      </c>
      <c r="B8" s="156" t="s">
        <v>533</v>
      </c>
      <c r="C8" s="157">
        <v>64023</v>
      </c>
      <c r="D8" s="34">
        <v>0.8496972272964346</v>
      </c>
      <c r="E8" s="34">
        <v>1.5429394596815189E-3</v>
      </c>
      <c r="F8" s="32">
        <v>1308.3643958242985</v>
      </c>
      <c r="G8" s="32">
        <v>14.586747002838383</v>
      </c>
      <c r="H8" s="36">
        <v>-21.355435377832798</v>
      </c>
      <c r="K8" s="270">
        <v>772.3</v>
      </c>
      <c r="L8" s="271">
        <f t="shared" si="0"/>
        <v>1177.7</v>
      </c>
      <c r="M8" s="272">
        <f t="shared" si="1"/>
        <v>0.8496972272964346</v>
      </c>
      <c r="N8" s="273" t="s">
        <v>5</v>
      </c>
      <c r="O8" s="274">
        <f t="shared" si="2"/>
        <v>1.5429394596815189E-3</v>
      </c>
      <c r="P8" s="275">
        <f t="shared" si="3"/>
        <v>1308.3764505433148</v>
      </c>
      <c r="Q8" s="276" t="s">
        <v>5</v>
      </c>
      <c r="R8" s="275">
        <f t="shared" si="4"/>
        <v>14.586881398987531</v>
      </c>
      <c r="S8" s="277">
        <f t="shared" si="5"/>
        <v>-21.355435377832798</v>
      </c>
      <c r="T8" s="271">
        <f t="shared" ref="T8:T17" si="9">(EXP(L8/8267)*EXP(-P8/8033)-1)*1000</f>
        <v>-20.210210395155691</v>
      </c>
      <c r="U8" s="273" t="s">
        <v>5</v>
      </c>
      <c r="V8" s="278">
        <f t="shared" si="6"/>
        <v>1.8158697123101621</v>
      </c>
      <c r="W8">
        <f t="shared" si="7"/>
        <v>420051.19835121982</v>
      </c>
      <c r="Y8" s="9">
        <f t="shared" si="8"/>
        <v>-3.8452286412814516</v>
      </c>
    </row>
    <row r="9" spans="1:32" x14ac:dyDescent="0.2">
      <c r="A9" s="156" t="s">
        <v>534</v>
      </c>
      <c r="B9" s="156" t="s">
        <v>535</v>
      </c>
      <c r="C9" s="157">
        <v>64024</v>
      </c>
      <c r="D9" s="34">
        <v>0.85013011223617974</v>
      </c>
      <c r="E9" s="34">
        <v>1.5535044793567583E-3</v>
      </c>
      <c r="F9" s="32">
        <v>1304.2730005671526</v>
      </c>
      <c r="G9" s="32">
        <v>14.679148903306222</v>
      </c>
      <c r="H9" s="36">
        <v>-21.346517949134668</v>
      </c>
      <c r="K9" s="270">
        <v>772.6</v>
      </c>
      <c r="L9" s="271">
        <f t="shared" si="0"/>
        <v>1177.4000000000001</v>
      </c>
      <c r="M9" s="272">
        <f t="shared" si="1"/>
        <v>0.85013011223617974</v>
      </c>
      <c r="N9" s="273" t="s">
        <v>5</v>
      </c>
      <c r="O9" s="274">
        <f t="shared" si="2"/>
        <v>1.5535044793567583E-3</v>
      </c>
      <c r="P9" s="275">
        <f t="shared" si="3"/>
        <v>1304.2850175897747</v>
      </c>
      <c r="Q9" s="276" t="s">
        <v>5</v>
      </c>
      <c r="R9" s="275">
        <f t="shared" si="4"/>
        <v>14.6792841508076</v>
      </c>
      <c r="S9" s="277">
        <f t="shared" si="5"/>
        <v>-21.346517949134668</v>
      </c>
      <c r="T9" s="271">
        <f t="shared" si="9"/>
        <v>-19.746621698076062</v>
      </c>
      <c r="U9" s="273" t="s">
        <v>5</v>
      </c>
      <c r="V9" s="278">
        <f t="shared" si="6"/>
        <v>1.8273726068477034</v>
      </c>
      <c r="W9">
        <f t="shared" si="7"/>
        <v>414357.28649172391</v>
      </c>
      <c r="Y9" s="9">
        <f t="shared" si="8"/>
        <v>0.46358869707962924</v>
      </c>
    </row>
    <row r="10" spans="1:32" x14ac:dyDescent="0.2">
      <c r="A10" s="156" t="s">
        <v>536</v>
      </c>
      <c r="B10" s="156" t="s">
        <v>403</v>
      </c>
      <c r="C10" s="157">
        <v>64025</v>
      </c>
      <c r="D10" s="34">
        <v>0.85153680738351889</v>
      </c>
      <c r="E10" s="34">
        <v>1.5567623187159392E-3</v>
      </c>
      <c r="F10" s="32">
        <v>1290.9920459338573</v>
      </c>
      <c r="G10" s="32">
        <v>14.685632351673776</v>
      </c>
      <c r="H10" s="36">
        <v>-22.515749819807418</v>
      </c>
      <c r="K10" s="270">
        <v>773</v>
      </c>
      <c r="L10" s="271">
        <f t="shared" si="0"/>
        <v>1177</v>
      </c>
      <c r="M10" s="272">
        <f t="shared" si="1"/>
        <v>0.85153680738351889</v>
      </c>
      <c r="N10" s="273" t="s">
        <v>5</v>
      </c>
      <c r="O10" s="274">
        <f t="shared" si="2"/>
        <v>1.5567623187159392E-3</v>
      </c>
      <c r="P10" s="275">
        <f t="shared" si="3"/>
        <v>1291.0039405913515</v>
      </c>
      <c r="Q10" s="276" t="s">
        <v>5</v>
      </c>
      <c r="R10" s="275">
        <f t="shared" si="4"/>
        <v>14.685767658910921</v>
      </c>
      <c r="S10" s="277">
        <f t="shared" si="5"/>
        <v>-22.515749819807418</v>
      </c>
      <c r="T10" s="271">
        <f t="shared" si="9"/>
        <v>-18.172120935531886</v>
      </c>
      <c r="U10" s="273" t="s">
        <v>5</v>
      </c>
      <c r="V10" s="278">
        <f t="shared" si="6"/>
        <v>1.82817971603522</v>
      </c>
      <c r="W10">
        <f t="shared" si="7"/>
        <v>412624.84862183797</v>
      </c>
      <c r="Y10" s="9">
        <f t="shared" si="8"/>
        <v>1.5745007625441758</v>
      </c>
    </row>
    <row r="11" spans="1:32" x14ac:dyDescent="0.2">
      <c r="A11" s="156" t="s">
        <v>537</v>
      </c>
      <c r="B11" s="156" t="s">
        <v>538</v>
      </c>
      <c r="C11" s="157">
        <v>64026</v>
      </c>
      <c r="D11" s="34">
        <v>0.84907822276101796</v>
      </c>
      <c r="E11" s="34">
        <v>1.5561329244271514E-3</v>
      </c>
      <c r="F11" s="32">
        <v>1314.2185160249887</v>
      </c>
      <c r="G11" s="32">
        <v>14.722201411272852</v>
      </c>
      <c r="H11" s="36">
        <v>-22.058582009679583</v>
      </c>
      <c r="K11" s="270">
        <v>773.3</v>
      </c>
      <c r="L11" s="271">
        <f t="shared" si="0"/>
        <v>1176.7</v>
      </c>
      <c r="M11" s="272">
        <f t="shared" si="1"/>
        <v>0.84907822276101796</v>
      </c>
      <c r="N11" s="273" t="s">
        <v>5</v>
      </c>
      <c r="O11" s="274">
        <f t="shared" si="2"/>
        <v>1.5561329244271514E-3</v>
      </c>
      <c r="P11" s="275">
        <f t="shared" si="3"/>
        <v>1314.2306246814053</v>
      </c>
      <c r="Q11" s="276" t="s">
        <v>5</v>
      </c>
      <c r="R11" s="275">
        <f t="shared" si="4"/>
        <v>14.722337055441923</v>
      </c>
      <c r="S11" s="277">
        <f t="shared" si="5"/>
        <v>-22.058582009679583</v>
      </c>
      <c r="T11" s="271">
        <f t="shared" si="9"/>
        <v>-21.042412054655067</v>
      </c>
      <c r="U11" s="273" t="s">
        <v>5</v>
      </c>
      <c r="V11" s="278">
        <f t="shared" si="6"/>
        <v>1.8327321119683708</v>
      </c>
      <c r="W11">
        <f t="shared" si="7"/>
        <v>412958.69702129654</v>
      </c>
      <c r="Y11" s="9">
        <f t="shared" si="8"/>
        <v>-2.8702911191231806</v>
      </c>
    </row>
    <row r="12" spans="1:32" x14ac:dyDescent="0.2">
      <c r="A12" s="156" t="s">
        <v>539</v>
      </c>
      <c r="B12" s="156" t="s">
        <v>540</v>
      </c>
      <c r="C12" s="157">
        <v>64027</v>
      </c>
      <c r="D12" s="34">
        <v>0.85213755002221792</v>
      </c>
      <c r="E12" s="34">
        <v>1.5533619730714731E-3</v>
      </c>
      <c r="F12" s="32">
        <v>1285.3269711106848</v>
      </c>
      <c r="G12" s="32">
        <v>14.643224866609213</v>
      </c>
      <c r="H12" s="36">
        <v>-21.936397286986264</v>
      </c>
      <c r="K12" s="270">
        <v>773.6</v>
      </c>
      <c r="L12" s="271">
        <f t="shared" si="0"/>
        <v>1176.4000000000001</v>
      </c>
      <c r="M12" s="272">
        <f t="shared" si="1"/>
        <v>0.85213755002221792</v>
      </c>
      <c r="N12" s="273" t="s">
        <v>5</v>
      </c>
      <c r="O12" s="274">
        <f t="shared" si="2"/>
        <v>1.5533619730714731E-3</v>
      </c>
      <c r="P12" s="275">
        <f t="shared" si="3"/>
        <v>1285.3388135725631</v>
      </c>
      <c r="Q12" s="276" t="s">
        <v>5</v>
      </c>
      <c r="R12" s="275">
        <f t="shared" si="4"/>
        <v>14.643359783121632</v>
      </c>
      <c r="S12" s="277">
        <f t="shared" si="5"/>
        <v>-21.936397286986264</v>
      </c>
      <c r="T12" s="271">
        <f t="shared" si="9"/>
        <v>-17.550766994062883</v>
      </c>
      <c r="U12" s="273" t="s">
        <v>5</v>
      </c>
      <c r="V12" s="278">
        <f t="shared" si="6"/>
        <v>1.8229005082934935</v>
      </c>
      <c r="W12">
        <f t="shared" si="7"/>
        <v>414433.31671169098</v>
      </c>
      <c r="Y12" s="9">
        <f t="shared" si="8"/>
        <v>3.4916450605921838</v>
      </c>
    </row>
    <row r="13" spans="1:32" x14ac:dyDescent="0.2">
      <c r="A13" s="156" t="s">
        <v>541</v>
      </c>
      <c r="B13" s="156" t="s">
        <v>419</v>
      </c>
      <c r="C13" s="157">
        <v>64028</v>
      </c>
      <c r="D13" s="34">
        <v>0.85342811885049719</v>
      </c>
      <c r="E13" s="34">
        <v>1.5630904304600826E-3</v>
      </c>
      <c r="F13" s="32">
        <v>1273.1702467490304</v>
      </c>
      <c r="G13" s="32">
        <v>14.712650618249066</v>
      </c>
      <c r="H13" s="36">
        <v>-21.549080119930064</v>
      </c>
      <c r="K13" s="270">
        <v>774</v>
      </c>
      <c r="L13" s="271">
        <f t="shared" si="0"/>
        <v>1176</v>
      </c>
      <c r="M13" s="272">
        <f t="shared" si="1"/>
        <v>0.85342811885049719</v>
      </c>
      <c r="N13" s="273" t="s">
        <v>5</v>
      </c>
      <c r="O13" s="274">
        <f t="shared" si="2"/>
        <v>1.5630904304600826E-3</v>
      </c>
      <c r="P13" s="275">
        <f t="shared" si="3"/>
        <v>1273.181977203966</v>
      </c>
      <c r="Q13" s="276" t="s">
        <v>5</v>
      </c>
      <c r="R13" s="275">
        <f t="shared" si="4"/>
        <v>14.712786174421149</v>
      </c>
      <c r="S13" s="277">
        <f t="shared" si="5"/>
        <v>-21.549080119930064</v>
      </c>
      <c r="T13" s="271">
        <f t="shared" si="9"/>
        <v>-16.110446917721678</v>
      </c>
      <c r="U13" s="273" t="s">
        <v>5</v>
      </c>
      <c r="V13" s="278">
        <f t="shared" si="6"/>
        <v>1.8315431562829765</v>
      </c>
      <c r="W13">
        <f t="shared" si="7"/>
        <v>409290.61976679915</v>
      </c>
      <c r="Y13" s="9">
        <f t="shared" si="8"/>
        <v>1.4403200763412052</v>
      </c>
    </row>
    <row r="14" spans="1:32" x14ac:dyDescent="0.2">
      <c r="A14" s="156" t="s">
        <v>542</v>
      </c>
      <c r="B14" s="156" t="s">
        <v>543</v>
      </c>
      <c r="C14" s="157">
        <v>64029</v>
      </c>
      <c r="D14" s="34">
        <v>0.85230128983163767</v>
      </c>
      <c r="E14" s="34">
        <v>1.5930184310860636E-3</v>
      </c>
      <c r="F14" s="32">
        <v>1283.783577773653</v>
      </c>
      <c r="G14" s="32">
        <v>15.014173165175016</v>
      </c>
      <c r="H14" s="36">
        <v>-20.460637016541327</v>
      </c>
      <c r="K14" s="270">
        <v>774.3</v>
      </c>
      <c r="L14" s="271">
        <f t="shared" si="0"/>
        <v>1175.7</v>
      </c>
      <c r="M14" s="272">
        <f t="shared" si="1"/>
        <v>0.85230128983163767</v>
      </c>
      <c r="N14" s="273" t="s">
        <v>5</v>
      </c>
      <c r="O14" s="274">
        <f t="shared" si="2"/>
        <v>1.5930184310860636E-3</v>
      </c>
      <c r="P14" s="275">
        <f t="shared" si="3"/>
        <v>1283.7954060153547</v>
      </c>
      <c r="Q14" s="276" t="s">
        <v>5</v>
      </c>
      <c r="R14" s="275">
        <f t="shared" si="4"/>
        <v>15.014311499448974</v>
      </c>
      <c r="S14" s="277">
        <f t="shared" si="5"/>
        <v>-20.460637016541327</v>
      </c>
      <c r="T14" s="271">
        <f t="shared" si="9"/>
        <v>-17.44518792681804</v>
      </c>
      <c r="U14" s="273" t="s">
        <v>5</v>
      </c>
      <c r="V14" s="278">
        <f t="shared" si="6"/>
        <v>1.86907898661135</v>
      </c>
      <c r="W14">
        <f t="shared" si="7"/>
        <v>394056.41217760788</v>
      </c>
      <c r="Y14" s="9">
        <f t="shared" si="8"/>
        <v>-1.3347410090963621</v>
      </c>
    </row>
    <row r="15" spans="1:32" x14ac:dyDescent="0.2">
      <c r="A15" s="156" t="s">
        <v>544</v>
      </c>
      <c r="B15" s="156" t="s">
        <v>545</v>
      </c>
      <c r="C15" s="157">
        <v>64030</v>
      </c>
      <c r="D15" s="34">
        <v>0.85663999634109766</v>
      </c>
      <c r="E15" s="34">
        <v>1.5593775200163833E-3</v>
      </c>
      <c r="F15" s="32">
        <v>1242.9950691938552</v>
      </c>
      <c r="G15" s="32">
        <v>14.62267026889419</v>
      </c>
      <c r="H15" s="36">
        <v>-21.650786561716817</v>
      </c>
      <c r="K15" s="270">
        <v>774.6</v>
      </c>
      <c r="L15" s="271">
        <f t="shared" si="0"/>
        <v>1175.4000000000001</v>
      </c>
      <c r="M15" s="272">
        <f t="shared" si="1"/>
        <v>0.85663999634109766</v>
      </c>
      <c r="N15" s="273" t="s">
        <v>5</v>
      </c>
      <c r="O15" s="274">
        <f t="shared" si="2"/>
        <v>1.5593775200163833E-3</v>
      </c>
      <c r="P15" s="275">
        <f t="shared" si="3"/>
        <v>1243.0065216274018</v>
      </c>
      <c r="Q15" s="276" t="s">
        <v>5</v>
      </c>
      <c r="R15" s="275">
        <f t="shared" si="4"/>
        <v>14.622804996025195</v>
      </c>
      <c r="S15" s="277">
        <f t="shared" si="5"/>
        <v>-21.650786561716817</v>
      </c>
      <c r="T15" s="271">
        <f t="shared" si="9"/>
        <v>-12.479252306335065</v>
      </c>
      <c r="U15" s="273" t="s">
        <v>5</v>
      </c>
      <c r="V15" s="278">
        <f t="shared" si="6"/>
        <v>1.820341714929067</v>
      </c>
      <c r="W15">
        <f t="shared" si="7"/>
        <v>411241.99916981807</v>
      </c>
      <c r="Y15" s="9">
        <f t="shared" si="8"/>
        <v>4.9659356204829752</v>
      </c>
    </row>
    <row r="16" spans="1:32" x14ac:dyDescent="0.2">
      <c r="A16" s="156" t="s">
        <v>546</v>
      </c>
      <c r="B16" s="156" t="s">
        <v>423</v>
      </c>
      <c r="C16" s="157">
        <v>64031</v>
      </c>
      <c r="D16" s="34">
        <v>0.86500790680469153</v>
      </c>
      <c r="E16" s="34">
        <v>1.5711324743754233E-3</v>
      </c>
      <c r="F16" s="32">
        <v>1164.9078660801383</v>
      </c>
      <c r="G16" s="32">
        <v>14.590376324560818</v>
      </c>
      <c r="H16" s="36">
        <v>-22.792314207783271</v>
      </c>
      <c r="K16" s="270">
        <v>775</v>
      </c>
      <c r="L16" s="271">
        <f>1950-K16</f>
        <v>1175</v>
      </c>
      <c r="M16" s="272">
        <f>D16</f>
        <v>0.86500790680469153</v>
      </c>
      <c r="N16" s="273" t="s">
        <v>5</v>
      </c>
      <c r="O16" s="274">
        <f>E16</f>
        <v>1.5711324743754233E-3</v>
      </c>
      <c r="P16" s="275">
        <f>-8033*LN(M16)</f>
        <v>1164.9185990510525</v>
      </c>
      <c r="Q16" s="276" t="s">
        <v>5</v>
      </c>
      <c r="R16" s="275">
        <f>O16/M16*8033</f>
        <v>14.590510754149008</v>
      </c>
      <c r="S16" s="277">
        <f t="shared" si="5"/>
        <v>-22.792314207783271</v>
      </c>
      <c r="T16" s="271">
        <f t="shared" si="9"/>
        <v>-2.8811072281165195</v>
      </c>
      <c r="U16" s="273" t="s">
        <v>5</v>
      </c>
      <c r="V16" s="278">
        <f t="shared" si="6"/>
        <v>1.8163215180068479</v>
      </c>
      <c r="W16">
        <f t="shared" si="7"/>
        <v>405111.32982950058</v>
      </c>
      <c r="Y16" s="9">
        <f t="shared" si="8"/>
        <v>9.5981450782185451</v>
      </c>
    </row>
    <row r="17" spans="1:25" x14ac:dyDescent="0.2">
      <c r="A17" s="156" t="s">
        <v>547</v>
      </c>
      <c r="B17" s="156" t="s">
        <v>548</v>
      </c>
      <c r="C17" s="157">
        <v>64032</v>
      </c>
      <c r="D17" s="34">
        <v>0.86719726284010901</v>
      </c>
      <c r="E17" s="34">
        <v>1.5757929649426151E-3</v>
      </c>
      <c r="F17" s="32">
        <v>1144.6020216374704</v>
      </c>
      <c r="G17" s="32">
        <v>14.596711500609276</v>
      </c>
      <c r="H17" s="36">
        <v>-21.196338637925027</v>
      </c>
      <c r="K17" s="270">
        <v>775.3</v>
      </c>
      <c r="L17" s="271">
        <f t="shared" ref="L17:L23" si="10">1950-K17</f>
        <v>1174.7</v>
      </c>
      <c r="M17" s="272">
        <f t="shared" ref="M17:M23" si="11">D17</f>
        <v>0.86719726284010901</v>
      </c>
      <c r="N17" s="273" t="s">
        <v>5</v>
      </c>
      <c r="O17" s="274">
        <f t="shared" ref="O17:O23" si="12">E17</f>
        <v>1.5757929649426151E-3</v>
      </c>
      <c r="P17" s="275">
        <f t="shared" ref="P17:P23" si="13">-8033*LN(M17)</f>
        <v>1144.612567518878</v>
      </c>
      <c r="Q17" s="276" t="s">
        <v>5</v>
      </c>
      <c r="R17" s="275">
        <f t="shared" ref="R17:R23" si="14">O17/M17*8033</f>
        <v>14.596845988567114</v>
      </c>
      <c r="S17" s="277">
        <f t="shared" si="5"/>
        <v>-21.196338637925027</v>
      </c>
      <c r="T17" s="271">
        <f t="shared" si="9"/>
        <v>-0.39365030875793128</v>
      </c>
      <c r="U17" s="273" t="s">
        <v>5</v>
      </c>
      <c r="V17" s="278">
        <f t="shared" si="6"/>
        <v>1.8171101691232561</v>
      </c>
      <c r="W17">
        <f t="shared" si="7"/>
        <v>402718.59725903854</v>
      </c>
      <c r="Y17" s="9">
        <f t="shared" si="8"/>
        <v>2.4874569193585883</v>
      </c>
    </row>
    <row r="18" spans="1:25" x14ac:dyDescent="0.2">
      <c r="A18" s="156" t="s">
        <v>549</v>
      </c>
      <c r="B18" s="156" t="s">
        <v>550</v>
      </c>
      <c r="C18" s="157">
        <v>64033</v>
      </c>
      <c r="D18" s="34">
        <v>0.86473105067901967</v>
      </c>
      <c r="E18" s="34">
        <v>1.5615551550835877E-3</v>
      </c>
      <c r="F18" s="32">
        <v>1167.4793116456274</v>
      </c>
      <c r="G18" s="32">
        <v>14.506079060207689</v>
      </c>
      <c r="H18" s="36">
        <v>-21.369725516865667</v>
      </c>
      <c r="K18" s="270">
        <v>775.6</v>
      </c>
      <c r="L18" s="271">
        <f t="shared" si="10"/>
        <v>1174.4000000000001</v>
      </c>
      <c r="M18" s="272">
        <f t="shared" si="11"/>
        <v>0.86473105067901967</v>
      </c>
      <c r="N18" s="273" t="s">
        <v>5</v>
      </c>
      <c r="O18" s="274">
        <f t="shared" si="12"/>
        <v>1.5615551550835877E-3</v>
      </c>
      <c r="P18" s="275">
        <f t="shared" si="13"/>
        <v>1167.490068308759</v>
      </c>
      <c r="Q18" s="276" t="s">
        <v>5</v>
      </c>
      <c r="R18" s="275">
        <f t="shared" si="14"/>
        <v>14.506212713116357</v>
      </c>
      <c r="S18" s="277">
        <f t="shared" si="5"/>
        <v>-21.369725516865667</v>
      </c>
      <c r="T18" s="271">
        <f t="shared" ref="T18:T23" si="15">(EXP(L18/8267)*EXP(-P18/8033)-1)*1000</f>
        <v>-3.2725898815738619</v>
      </c>
      <c r="U18" s="273" t="s">
        <v>5</v>
      </c>
      <c r="V18" s="278">
        <f t="shared" si="6"/>
        <v>1.805827550493758</v>
      </c>
      <c r="W18">
        <f t="shared" si="7"/>
        <v>410095.82054077316</v>
      </c>
      <c r="Y18" s="9">
        <f t="shared" si="8"/>
        <v>-2.8789395728159306</v>
      </c>
    </row>
    <row r="19" spans="1:25" x14ac:dyDescent="0.2">
      <c r="A19" s="156" t="s">
        <v>551</v>
      </c>
      <c r="B19" s="156" t="s">
        <v>454</v>
      </c>
      <c r="C19" s="157">
        <v>64034</v>
      </c>
      <c r="D19" s="34">
        <v>0.86714751632991427</v>
      </c>
      <c r="E19" s="34">
        <v>1.569897193813804E-3</v>
      </c>
      <c r="F19" s="32">
        <v>1145.062841238584</v>
      </c>
      <c r="G19" s="32">
        <v>14.542932695060916</v>
      </c>
      <c r="H19" s="36">
        <v>-20.476204205460704</v>
      </c>
      <c r="K19" s="270">
        <v>776</v>
      </c>
      <c r="L19" s="271">
        <f t="shared" si="10"/>
        <v>1174</v>
      </c>
      <c r="M19" s="272">
        <f t="shared" si="11"/>
        <v>0.86714751632991427</v>
      </c>
      <c r="N19" s="273" t="s">
        <v>5</v>
      </c>
      <c r="O19" s="274">
        <f t="shared" si="12"/>
        <v>1.569897193813804E-3</v>
      </c>
      <c r="P19" s="275">
        <f t="shared" si="13"/>
        <v>1145.0733913657896</v>
      </c>
      <c r="Q19" s="276" t="s">
        <v>5</v>
      </c>
      <c r="R19" s="275">
        <f t="shared" si="14"/>
        <v>14.543066687523467</v>
      </c>
      <c r="S19" s="277">
        <f t="shared" si="5"/>
        <v>-20.476204205460704</v>
      </c>
      <c r="T19" s="271">
        <f t="shared" si="15"/>
        <v>-0.53562466102086148</v>
      </c>
      <c r="U19" s="273" t="s">
        <v>5</v>
      </c>
      <c r="V19" s="278">
        <f t="shared" si="6"/>
        <v>1.8104153725287524</v>
      </c>
      <c r="W19">
        <f t="shared" si="7"/>
        <v>405749.10793913697</v>
      </c>
      <c r="Y19" s="9">
        <f t="shared" si="8"/>
        <v>2.7369652205530004</v>
      </c>
    </row>
    <row r="20" spans="1:25" x14ac:dyDescent="0.2">
      <c r="A20" s="156" t="s">
        <v>552</v>
      </c>
      <c r="B20" s="156" t="s">
        <v>553</v>
      </c>
      <c r="C20" s="157">
        <v>64035</v>
      </c>
      <c r="D20" s="34">
        <v>0.8683754067269297</v>
      </c>
      <c r="E20" s="34">
        <v>1.5734117215163127E-3</v>
      </c>
      <c r="F20" s="32">
        <v>1133.696175670141</v>
      </c>
      <c r="G20" s="32">
        <v>14.554880077996858</v>
      </c>
      <c r="H20" s="36">
        <v>-20.850121934716359</v>
      </c>
      <c r="K20" s="270">
        <v>776.3</v>
      </c>
      <c r="L20" s="271">
        <f t="shared" si="10"/>
        <v>1173.7</v>
      </c>
      <c r="M20" s="272">
        <f t="shared" si="11"/>
        <v>0.8683754067269297</v>
      </c>
      <c r="N20" s="273" t="s">
        <v>5</v>
      </c>
      <c r="O20" s="274">
        <f t="shared" si="12"/>
        <v>1.5734117215163127E-3</v>
      </c>
      <c r="P20" s="275">
        <f t="shared" si="13"/>
        <v>1133.7066210696728</v>
      </c>
      <c r="Q20" s="276" t="s">
        <v>5</v>
      </c>
      <c r="R20" s="275">
        <f t="shared" si="14"/>
        <v>14.555014180537569</v>
      </c>
      <c r="S20" s="277">
        <f t="shared" si="5"/>
        <v>-20.850121934716359</v>
      </c>
      <c r="T20" s="271">
        <f t="shared" si="15"/>
        <v>0.84330773906349243</v>
      </c>
      <c r="U20" s="273" t="s">
        <v>5</v>
      </c>
      <c r="V20" s="278">
        <f t="shared" si="6"/>
        <v>1.8119026740367945</v>
      </c>
      <c r="W20">
        <f t="shared" si="7"/>
        <v>403938.48988530022</v>
      </c>
      <c r="Y20" s="9">
        <f t="shared" si="8"/>
        <v>1.3789324000843539</v>
      </c>
    </row>
    <row r="21" spans="1:25" x14ac:dyDescent="0.2">
      <c r="A21" s="156" t="s">
        <v>554</v>
      </c>
      <c r="B21" s="156" t="s">
        <v>555</v>
      </c>
      <c r="C21" s="157">
        <v>64036</v>
      </c>
      <c r="D21" s="34">
        <v>0.86669046509194758</v>
      </c>
      <c r="E21" s="34">
        <v>1.5634837605232295E-3</v>
      </c>
      <c r="F21" s="32">
        <v>1149.2979069041091</v>
      </c>
      <c r="G21" s="32">
        <v>14.49115899802889</v>
      </c>
      <c r="H21" s="36">
        <v>-21.185033371347139</v>
      </c>
      <c r="K21" s="270">
        <v>776.6</v>
      </c>
      <c r="L21" s="271">
        <f t="shared" si="10"/>
        <v>1173.4000000000001</v>
      </c>
      <c r="M21" s="272">
        <f t="shared" si="11"/>
        <v>0.86669046509194758</v>
      </c>
      <c r="N21" s="273" t="s">
        <v>5</v>
      </c>
      <c r="O21" s="274">
        <f t="shared" si="12"/>
        <v>1.5634837605232295E-3</v>
      </c>
      <c r="P21" s="275">
        <f t="shared" si="13"/>
        <v>1149.3084960514277</v>
      </c>
      <c r="Q21" s="276" t="s">
        <v>5</v>
      </c>
      <c r="R21" s="275">
        <f t="shared" si="14"/>
        <v>14.491292513470382</v>
      </c>
      <c r="S21" s="277">
        <f t="shared" si="5"/>
        <v>-21.185033371347139</v>
      </c>
      <c r="T21" s="271">
        <f t="shared" si="15"/>
        <v>-1.1349147051308295</v>
      </c>
      <c r="U21" s="273" t="s">
        <v>5</v>
      </c>
      <c r="V21" s="278">
        <f t="shared" si="6"/>
        <v>1.8039701871617557</v>
      </c>
      <c r="W21">
        <f t="shared" si="7"/>
        <v>409084.71285623068</v>
      </c>
      <c r="Y21" s="9">
        <f t="shared" si="8"/>
        <v>-1.9782224441943219</v>
      </c>
    </row>
    <row r="22" spans="1:25" x14ac:dyDescent="0.2">
      <c r="A22" s="156" t="s">
        <v>556</v>
      </c>
      <c r="B22" s="156" t="s">
        <v>455</v>
      </c>
      <c r="C22" s="157">
        <v>64037</v>
      </c>
      <c r="D22" s="34">
        <v>0.86905516757622669</v>
      </c>
      <c r="E22" s="34">
        <v>1.5818391597275622E-3</v>
      </c>
      <c r="F22" s="32">
        <v>1127.4104927181775</v>
      </c>
      <c r="G22" s="32">
        <v>14.621392713710636</v>
      </c>
      <c r="H22" s="36">
        <v>-21.216587973499568</v>
      </c>
      <c r="K22" s="270">
        <v>777</v>
      </c>
      <c r="L22" s="271">
        <f t="shared" si="10"/>
        <v>1173</v>
      </c>
      <c r="M22" s="272">
        <f t="shared" si="11"/>
        <v>0.86905516757622669</v>
      </c>
      <c r="N22" s="273" t="s">
        <v>5</v>
      </c>
      <c r="O22" s="274">
        <f t="shared" si="12"/>
        <v>1.5818391597275622E-3</v>
      </c>
      <c r="P22" s="275">
        <f t="shared" si="13"/>
        <v>1127.4208802040712</v>
      </c>
      <c r="Q22" s="276" t="s">
        <v>5</v>
      </c>
      <c r="R22" s="275">
        <f t="shared" si="14"/>
        <v>14.621527429070786</v>
      </c>
      <c r="S22" s="277">
        <f t="shared" si="5"/>
        <v>-21.216587973499568</v>
      </c>
      <c r="T22" s="271">
        <f t="shared" si="15"/>
        <v>1.5419557805769202</v>
      </c>
      <c r="U22" s="273" t="s">
        <v>5</v>
      </c>
      <c r="V22" s="278">
        <f t="shared" si="6"/>
        <v>1.8201826750990648</v>
      </c>
      <c r="W22">
        <f t="shared" si="7"/>
        <v>399645.89339685807</v>
      </c>
      <c r="Y22" s="9">
        <f t="shared" si="8"/>
        <v>2.6768704857077497</v>
      </c>
    </row>
    <row r="23" spans="1:25" x14ac:dyDescent="0.2">
      <c r="A23" s="156" t="s">
        <v>557</v>
      </c>
      <c r="B23" s="156" t="s">
        <v>558</v>
      </c>
      <c r="C23" s="157">
        <v>64038</v>
      </c>
      <c r="D23" s="34">
        <v>0.86610122733451755</v>
      </c>
      <c r="E23" s="34">
        <v>1.5674916284078981E-3</v>
      </c>
      <c r="F23" s="32">
        <v>1154.7611180885847</v>
      </c>
      <c r="G23" s="32">
        <v>14.538190041089694</v>
      </c>
      <c r="H23" s="36">
        <v>-21.719352322406181</v>
      </c>
      <c r="K23" s="270">
        <v>777.3</v>
      </c>
      <c r="L23" s="271">
        <f t="shared" si="10"/>
        <v>1172.7</v>
      </c>
      <c r="M23" s="272">
        <f t="shared" si="11"/>
        <v>0.86610122733451755</v>
      </c>
      <c r="N23" s="273" t="s">
        <v>5</v>
      </c>
      <c r="O23" s="274">
        <f t="shared" si="12"/>
        <v>1.5674916284078981E-3</v>
      </c>
      <c r="P23" s="275">
        <f t="shared" si="13"/>
        <v>1154.7717575716322</v>
      </c>
      <c r="Q23" s="276" t="s">
        <v>5</v>
      </c>
      <c r="R23" s="275">
        <f t="shared" si="14"/>
        <v>14.538323989855426</v>
      </c>
      <c r="S23" s="277">
        <f t="shared" si="5"/>
        <v>-21.719352322406181</v>
      </c>
      <c r="T23" s="271">
        <f t="shared" si="15"/>
        <v>-1.8985309875158007</v>
      </c>
      <c r="U23" s="273" t="s">
        <v>5</v>
      </c>
      <c r="V23" s="278">
        <f t="shared" si="6"/>
        <v>1.8098249707276768</v>
      </c>
      <c r="W23">
        <f t="shared" si="7"/>
        <v>406995.43673157587</v>
      </c>
      <c r="Y23" s="9">
        <f t="shared" si="8"/>
        <v>-3.4404867680927209</v>
      </c>
    </row>
    <row r="27" spans="1:25" x14ac:dyDescent="0.2">
      <c r="K27" s="283" t="s">
        <v>330</v>
      </c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</row>
    <row r="28" spans="1:25" x14ac:dyDescent="0.2">
      <c r="K28" s="284" t="s">
        <v>17</v>
      </c>
      <c r="L28" s="284" t="s">
        <v>15</v>
      </c>
      <c r="M28" s="352" t="s">
        <v>1</v>
      </c>
      <c r="N28" s="352"/>
      <c r="O28" s="352"/>
      <c r="P28" s="352" t="s">
        <v>2</v>
      </c>
      <c r="Q28" s="352"/>
      <c r="R28" s="352"/>
      <c r="S28" s="285" t="s">
        <v>3</v>
      </c>
      <c r="T28" s="352" t="s">
        <v>16</v>
      </c>
      <c r="U28" s="352"/>
      <c r="V28" s="352"/>
    </row>
    <row r="29" spans="1:25" x14ac:dyDescent="0.2">
      <c r="K29" s="284">
        <v>770</v>
      </c>
      <c r="L29" s="284">
        <f>1950-K29</f>
        <v>1180</v>
      </c>
      <c r="M29" s="286">
        <v>0.85161080173853154</v>
      </c>
      <c r="N29" s="285" t="s">
        <v>5</v>
      </c>
      <c r="O29" s="287">
        <v>1.5799063144044901E-3</v>
      </c>
      <c r="P29" s="288">
        <v>1290.3059427771784</v>
      </c>
      <c r="Q29" s="288" t="s">
        <v>5</v>
      </c>
      <c r="R29" s="288">
        <v>14.902802310283381</v>
      </c>
      <c r="S29" s="289">
        <v>-20.406845991763568</v>
      </c>
      <c r="T29" s="289">
        <v>-17.730415169048275</v>
      </c>
      <c r="U29" s="285" t="s">
        <v>5</v>
      </c>
      <c r="V29" s="289">
        <v>1.8551975986908231</v>
      </c>
    </row>
    <row r="30" spans="1:25" x14ac:dyDescent="0.2">
      <c r="K30" s="284">
        <v>771</v>
      </c>
      <c r="L30" s="284">
        <f t="shared" ref="L30:L36" si="16">1950-K30</f>
        <v>1179</v>
      </c>
      <c r="M30" s="285">
        <v>0.8534425745129004</v>
      </c>
      <c r="N30" s="285" t="s">
        <v>5</v>
      </c>
      <c r="O30" s="285">
        <v>1.5619555592491059E-3</v>
      </c>
      <c r="P30" s="285">
        <v>1273.0459126074627</v>
      </c>
      <c r="Q30" s="285" t="s">
        <v>5</v>
      </c>
      <c r="R30" s="285">
        <v>14.701855030620349</v>
      </c>
      <c r="S30" s="285">
        <v>-21.216249378246065</v>
      </c>
      <c r="T30" s="285">
        <v>-15.736668318441559</v>
      </c>
      <c r="U30" s="285" t="s">
        <v>5</v>
      </c>
      <c r="V30" s="285">
        <v>1.8301823765243808</v>
      </c>
    </row>
    <row r="31" spans="1:25" x14ac:dyDescent="0.2">
      <c r="K31" s="284">
        <v>772</v>
      </c>
      <c r="L31" s="284">
        <f t="shared" si="16"/>
        <v>1178</v>
      </c>
      <c r="M31" s="285">
        <f>(W7*M7+W8*M8+W9*M9)/(W7+W8+W9)</f>
        <v>0.85095220338730615</v>
      </c>
      <c r="N31" s="285" t="s">
        <v>5</v>
      </c>
      <c r="O31" s="285">
        <f>1/SQRT(W7+W8+W9)</f>
        <v>8.9158503682890469E-4</v>
      </c>
      <c r="P31" s="288">
        <f t="shared" ref="P31:P36" si="17">-8033*LN(M31)</f>
        <v>1296.5207152153778</v>
      </c>
      <c r="Q31" s="285" t="s">
        <v>5</v>
      </c>
      <c r="R31" s="288">
        <f t="shared" ref="R31:R36" si="18">O31/M31*8033</f>
        <v>8.4165744824880608</v>
      </c>
      <c r="S31" s="285">
        <f>(T7*W7+T8*W8+T9*W9)/(W7+W8+W9)</f>
        <v>-18.76279017881113</v>
      </c>
      <c r="T31" s="289">
        <f t="shared" ref="T31:T36" si="19">(EXP(L31/8267)*EXP(-P31/8033)-1)*1000</f>
        <v>-18.727483065547723</v>
      </c>
      <c r="U31" s="285" t="s">
        <v>5</v>
      </c>
      <c r="V31" s="289">
        <f t="shared" ref="V31:V36" si="20">R31/8.033</f>
        <v>1.0477498422118836</v>
      </c>
    </row>
    <row r="32" spans="1:25" x14ac:dyDescent="0.2">
      <c r="K32" s="284">
        <v>773</v>
      </c>
      <c r="L32" s="284">
        <f t="shared" si="16"/>
        <v>1177</v>
      </c>
      <c r="M32" s="285">
        <f>(W10*M10+W11*M11+W12*M12)/(W10+W11+W12)</f>
        <v>0.85091881083746945</v>
      </c>
      <c r="N32" s="285" t="s">
        <v>5</v>
      </c>
      <c r="O32" s="285">
        <f>1/SQRT(W10+W11+W12)</f>
        <v>8.9802040421160985E-4</v>
      </c>
      <c r="P32" s="288">
        <f t="shared" si="17"/>
        <v>1296.8359475104583</v>
      </c>
      <c r="Q32" s="285" t="s">
        <v>5</v>
      </c>
      <c r="R32" s="288">
        <f t="shared" si="18"/>
        <v>8.4776571103559011</v>
      </c>
      <c r="S32" s="285">
        <f>(T10*W10+T11*W11+T12*W12)/(W10+W11+W12)</f>
        <v>-18.920338104166277</v>
      </c>
      <c r="T32" s="289">
        <f t="shared" si="19"/>
        <v>-18.88467526414772</v>
      </c>
      <c r="U32" s="285" t="s">
        <v>5</v>
      </c>
      <c r="V32" s="289">
        <f t="shared" si="20"/>
        <v>1.0553538043515376</v>
      </c>
    </row>
    <row r="33" spans="11:22" x14ac:dyDescent="0.2">
      <c r="K33" s="284">
        <v>774</v>
      </c>
      <c r="L33" s="284">
        <f t="shared" si="16"/>
        <v>1176</v>
      </c>
      <c r="M33" s="285">
        <f>(W13*M13+W14*M14+W15*M15)/(W13+W14+W15)</f>
        <v>0.85415002947009944</v>
      </c>
      <c r="N33" s="285" t="s">
        <v>5</v>
      </c>
      <c r="O33" s="285">
        <f>1/SQRT(W13+W14+W15)</f>
        <v>9.0737189368701482E-4</v>
      </c>
      <c r="P33" s="288">
        <f t="shared" si="17"/>
        <v>1266.3897746234088</v>
      </c>
      <c r="Q33" s="285" t="s">
        <v>5</v>
      </c>
      <c r="R33" s="288">
        <f t="shared" si="18"/>
        <v>8.5335341222310976</v>
      </c>
      <c r="S33" s="285">
        <f>(T13*W13+T14*W14+T15*W15)/(W13+W14+W15)</f>
        <v>-15.31401581769514</v>
      </c>
      <c r="T33" s="289">
        <f t="shared" si="19"/>
        <v>-15.278179616941223</v>
      </c>
      <c r="U33" s="285" t="s">
        <v>5</v>
      </c>
      <c r="V33" s="289">
        <f t="shared" si="20"/>
        <v>1.0623097376112409</v>
      </c>
    </row>
    <row r="34" spans="11:22" x14ac:dyDescent="0.2">
      <c r="K34" s="284">
        <v>775</v>
      </c>
      <c r="L34" s="284">
        <f t="shared" si="16"/>
        <v>1175</v>
      </c>
      <c r="M34" s="285">
        <f>(W16*M16+W17*M17+W18*M18)/(W16+W17+W18)</f>
        <v>0.86563861590411739</v>
      </c>
      <c r="N34" s="285" t="s">
        <v>5</v>
      </c>
      <c r="O34" s="285">
        <f>1/SQRT(W16+W17+W18)</f>
        <v>9.061280907207552E-4</v>
      </c>
      <c r="P34" s="288">
        <f t="shared" si="17"/>
        <v>1159.0635774120215</v>
      </c>
      <c r="Q34" s="285" t="s">
        <v>5</v>
      </c>
      <c r="R34" s="288">
        <f t="shared" si="18"/>
        <v>8.4087364161282725</v>
      </c>
      <c r="S34" s="285">
        <f>(T16*W16+T17*W17+T18*W18)/(W16+W17+W18)</f>
        <v>-2.1904249242513583</v>
      </c>
      <c r="T34" s="289">
        <f t="shared" si="19"/>
        <v>-2.154071146788894</v>
      </c>
      <c r="U34" s="285" t="s">
        <v>5</v>
      </c>
      <c r="V34" s="289">
        <f t="shared" si="20"/>
        <v>1.0467741088171634</v>
      </c>
    </row>
    <row r="35" spans="11:22" x14ac:dyDescent="0.2">
      <c r="K35" s="284">
        <v>776</v>
      </c>
      <c r="L35" s="284">
        <f t="shared" si="16"/>
        <v>1174</v>
      </c>
      <c r="M35" s="285">
        <f>(W19*M19+W20*M20+W21*M21)/(W19+W20+W21)</f>
        <v>0.86740106616491019</v>
      </c>
      <c r="N35" s="285" t="s">
        <v>5</v>
      </c>
      <c r="O35" s="285">
        <f>1/SQRT(W19+W20+W21)</f>
        <v>9.0581333635378781E-4</v>
      </c>
      <c r="P35" s="288">
        <f t="shared" si="17"/>
        <v>1142.7249234594024</v>
      </c>
      <c r="Q35" s="285" t="s">
        <v>5</v>
      </c>
      <c r="R35" s="288">
        <f t="shared" si="18"/>
        <v>8.3887359778118942</v>
      </c>
      <c r="S35" s="285">
        <f>(T19*W19+T20*W20+T21*W21)/(W19+W20+W21)</f>
        <v>-0.27975777514001793</v>
      </c>
      <c r="T35" s="289">
        <f t="shared" si="19"/>
        <v>-0.24338600187778781</v>
      </c>
      <c r="U35" s="285" t="s">
        <v>5</v>
      </c>
      <c r="V35" s="289">
        <f t="shared" si="20"/>
        <v>1.0442843243883848</v>
      </c>
    </row>
    <row r="36" spans="11:22" x14ac:dyDescent="0.2">
      <c r="K36" s="284">
        <v>777</v>
      </c>
      <c r="L36" s="284">
        <f t="shared" si="16"/>
        <v>1173</v>
      </c>
      <c r="M36" s="285">
        <f>(W22*M22+W23*M23)/(W22+W23)</f>
        <v>0.86756474035182207</v>
      </c>
      <c r="N36" s="285" t="s">
        <v>5</v>
      </c>
      <c r="O36" s="285">
        <f>1/SQRT(W22+W23)</f>
        <v>1.1134219143715395E-3</v>
      </c>
      <c r="P36" s="288">
        <f t="shared" si="17"/>
        <v>1141.2092800473824</v>
      </c>
      <c r="Q36" s="285" t="s">
        <v>5</v>
      </c>
      <c r="R36" s="288">
        <f t="shared" si="18"/>
        <v>10.309453372343699</v>
      </c>
      <c r="S36" s="285">
        <f>(T22*W22+T23*W23)/(W22+W23)</f>
        <v>-0.19396124034507295</v>
      </c>
      <c r="T36" s="289">
        <f t="shared" si="19"/>
        <v>-0.1756859215511497</v>
      </c>
      <c r="U36" s="285" t="s">
        <v>5</v>
      </c>
      <c r="V36" s="289">
        <f t="shared" si="20"/>
        <v>1.2833876972916345</v>
      </c>
    </row>
    <row r="56" spans="13:22" x14ac:dyDescent="0.2">
      <c r="M56" s="273"/>
      <c r="N56" s="273"/>
      <c r="O56" s="273"/>
      <c r="P56" s="276"/>
      <c r="Q56" s="273"/>
      <c r="R56" s="276"/>
      <c r="S56" s="273"/>
      <c r="T56" s="282"/>
      <c r="U56" s="273"/>
      <c r="V56" s="282"/>
    </row>
    <row r="57" spans="13:22" x14ac:dyDescent="0.2">
      <c r="M57" s="273"/>
      <c r="N57" s="273"/>
      <c r="O57" s="273"/>
      <c r="P57" s="276"/>
      <c r="Q57" s="273"/>
      <c r="R57" s="276"/>
      <c r="S57" s="273"/>
      <c r="T57" s="282"/>
      <c r="U57" s="273"/>
      <c r="V57" s="282"/>
    </row>
    <row r="58" spans="13:22" x14ac:dyDescent="0.2">
      <c r="M58" s="273"/>
      <c r="N58" s="273"/>
      <c r="O58" s="273"/>
      <c r="P58" s="276"/>
      <c r="Q58" s="273"/>
      <c r="R58" s="276"/>
      <c r="S58" s="273"/>
      <c r="T58" s="282"/>
      <c r="U58" s="273"/>
      <c r="V58" s="282"/>
    </row>
  </sheetData>
  <mergeCells count="6">
    <mergeCell ref="M4:O4"/>
    <mergeCell ref="P4:R4"/>
    <mergeCell ref="T4:V4"/>
    <mergeCell ref="M28:O28"/>
    <mergeCell ref="P28:R28"/>
    <mergeCell ref="T28:V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topLeftCell="A18" workbookViewId="0">
      <selection activeCell="AL15" sqref="AL15"/>
    </sheetView>
  </sheetViews>
  <sheetFormatPr baseColWidth="10" defaultColWidth="11" defaultRowHeight="16" x14ac:dyDescent="0.2"/>
  <cols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8.6640625" customWidth="1"/>
    <col min="11" max="11" width="7.6640625" customWidth="1"/>
    <col min="12" max="12" width="2.6640625" customWidth="1"/>
    <col min="13" max="13" width="6" customWidth="1"/>
    <col min="14" max="14" width="11.6640625" hidden="1" customWidth="1"/>
    <col min="15" max="26" width="0" hidden="1" customWidth="1"/>
    <col min="27" max="27" width="11" hidden="1" customWidth="1"/>
  </cols>
  <sheetData>
    <row r="1" spans="1:26" x14ac:dyDescent="0.2">
      <c r="A1" s="1" t="s">
        <v>69</v>
      </c>
    </row>
    <row r="3" spans="1:26" x14ac:dyDescent="0.2">
      <c r="A3" s="10"/>
      <c r="B3" s="10" t="s">
        <v>17</v>
      </c>
      <c r="C3" s="11" t="s">
        <v>15</v>
      </c>
      <c r="D3" s="345" t="s">
        <v>1</v>
      </c>
      <c r="E3" s="345"/>
      <c r="F3" s="345"/>
      <c r="G3" s="345" t="s">
        <v>2</v>
      </c>
      <c r="H3" s="345"/>
      <c r="I3" s="345"/>
      <c r="J3" s="10" t="s">
        <v>3</v>
      </c>
      <c r="K3" s="346" t="s">
        <v>16</v>
      </c>
      <c r="L3" s="345"/>
      <c r="M3" s="345"/>
      <c r="N3" s="279"/>
      <c r="Q3" t="s">
        <v>70</v>
      </c>
      <c r="R3" t="s">
        <v>71</v>
      </c>
    </row>
    <row r="4" spans="1:26" x14ac:dyDescent="0.2">
      <c r="B4">
        <v>750</v>
      </c>
      <c r="C4">
        <v>1200</v>
      </c>
      <c r="D4" s="8">
        <f>(1/V4^2*U4+1/T4^2*S4)/(1/V4^2+1/T4^2)</f>
        <v>0.85071498543273438</v>
      </c>
      <c r="E4" s="2" t="s">
        <v>5</v>
      </c>
      <c r="F4" s="13">
        <f>1/SQRT(1/T4^2+1/V4^2)/1000</f>
        <v>1.5605539725306696E-3</v>
      </c>
      <c r="G4" s="12">
        <f>-8033*LN(D4)</f>
        <v>1298.7603680146308</v>
      </c>
      <c r="H4" s="2" t="s">
        <v>5</v>
      </c>
      <c r="I4" s="4">
        <f>F4/D4*8033</f>
        <v>14.735757893064738</v>
      </c>
      <c r="J4" s="20" t="s">
        <v>72</v>
      </c>
      <c r="K4" s="9">
        <f>(EXP(C4/8267)*EXP(-G4/8033)-1)*1000</f>
        <v>-16.386935561522375</v>
      </c>
      <c r="L4" s="2" t="s">
        <v>5</v>
      </c>
      <c r="M4" s="14">
        <f>I4/8.033</f>
        <v>1.8344028249800497</v>
      </c>
      <c r="N4" s="14"/>
      <c r="O4" s="9">
        <f t="shared" ref="O4:O41" si="0">K4-M4</f>
        <v>-18.221338386502424</v>
      </c>
      <c r="P4" s="9">
        <f t="shared" ref="P4:P41" si="1">K4+M4</f>
        <v>-14.552532736542325</v>
      </c>
      <c r="Q4">
        <v>750</v>
      </c>
      <c r="R4">
        <v>1200</v>
      </c>
      <c r="S4">
        <v>0.8498387983118223</v>
      </c>
      <c r="T4">
        <v>2.1245969957795556</v>
      </c>
      <c r="U4">
        <v>0.85174155157488562</v>
      </c>
      <c r="V4">
        <v>2.2997021892521912</v>
      </c>
    </row>
    <row r="5" spans="1:26" x14ac:dyDescent="0.2">
      <c r="B5">
        <v>752</v>
      </c>
      <c r="C5">
        <v>1198</v>
      </c>
      <c r="D5" s="8">
        <f>(1/V5^2*U5+1/T5^2*S5)/(1/V5^2+1/T5^2)</f>
        <v>0.85002042660647015</v>
      </c>
      <c r="E5" s="2" t="s">
        <v>5</v>
      </c>
      <c r="F5" s="13">
        <f>1/SQRT(1/T5^2+1/V5^2)/1000</f>
        <v>1.5318088119041071E-3</v>
      </c>
      <c r="G5" s="12">
        <f t="shared" ref="G5:G41" si="2">-8033*LN(D5)</f>
        <v>1305.3215195283376</v>
      </c>
      <c r="H5" s="2" t="s">
        <v>5</v>
      </c>
      <c r="I5" s="4">
        <f t="shared" ref="I5:I41" si="3">F5/D5*8033</f>
        <v>14.476146455857451</v>
      </c>
      <c r="J5" s="20" t="s">
        <v>72</v>
      </c>
      <c r="K5" s="9">
        <f t="shared" ref="K5:K41" si="4">(EXP(C5/8267)*EXP(-G5/8033)-1)*1000</f>
        <v>-17.427736132061167</v>
      </c>
      <c r="L5" s="2" t="s">
        <v>5</v>
      </c>
      <c r="M5" s="14">
        <f t="shared" ref="M5:M41" si="5">I5/8.033</f>
        <v>1.8020847075634823</v>
      </c>
      <c r="N5" s="14"/>
      <c r="O5" s="9">
        <f t="shared" si="0"/>
        <v>-19.229820839624651</v>
      </c>
      <c r="P5" s="9">
        <f t="shared" si="1"/>
        <v>-15.625651424497685</v>
      </c>
      <c r="Q5">
        <v>752</v>
      </c>
      <c r="R5">
        <v>1198</v>
      </c>
      <c r="S5">
        <v>0.85125555700927502</v>
      </c>
      <c r="T5">
        <v>2.1281388925231877</v>
      </c>
      <c r="U5">
        <v>0.84869254198235999</v>
      </c>
      <c r="V5">
        <v>2.2066006091541359</v>
      </c>
    </row>
    <row r="6" spans="1:26" x14ac:dyDescent="0.2">
      <c r="B6">
        <v>756</v>
      </c>
      <c r="C6">
        <v>1194</v>
      </c>
      <c r="D6" s="8">
        <f>S6</f>
        <v>0.84811892317076842</v>
      </c>
      <c r="E6" s="2" t="s">
        <v>5</v>
      </c>
      <c r="F6" s="13">
        <f>T6/1000</f>
        <v>2.2051092002439978E-3</v>
      </c>
      <c r="G6" s="12">
        <f t="shared" si="2"/>
        <v>1323.311543121069</v>
      </c>
      <c r="H6" s="2" t="s">
        <v>5</v>
      </c>
      <c r="I6" s="4">
        <f t="shared" si="3"/>
        <v>20.8858</v>
      </c>
      <c r="J6" s="20" t="s">
        <v>72</v>
      </c>
      <c r="K6" s="9">
        <f t="shared" si="4"/>
        <v>-20.100000000000119</v>
      </c>
      <c r="L6" s="2" t="s">
        <v>5</v>
      </c>
      <c r="M6" s="14">
        <f t="shared" si="5"/>
        <v>2.6</v>
      </c>
      <c r="N6" s="14"/>
      <c r="O6" s="9">
        <f t="shared" si="0"/>
        <v>-22.70000000000012</v>
      </c>
      <c r="P6" s="9">
        <f t="shared" si="1"/>
        <v>-17.500000000000117</v>
      </c>
      <c r="Q6">
        <v>756</v>
      </c>
      <c r="R6">
        <v>1194</v>
      </c>
      <c r="S6">
        <v>0.84811892317076842</v>
      </c>
      <c r="T6">
        <v>2.205109200243998</v>
      </c>
    </row>
    <row r="7" spans="1:26" x14ac:dyDescent="0.2">
      <c r="B7">
        <v>758</v>
      </c>
      <c r="C7">
        <v>1192</v>
      </c>
      <c r="D7" s="8">
        <f t="shared" ref="D7:D12" si="6">S7</f>
        <v>0.85196017564775106</v>
      </c>
      <c r="E7" s="2" t="s">
        <v>5</v>
      </c>
      <c r="F7" s="13">
        <f t="shared" ref="F7:F12" si="7">T7/1000</f>
        <v>2.2150964566841525E-3</v>
      </c>
      <c r="G7" s="12">
        <f t="shared" si="2"/>
        <v>1287.0110748915879</v>
      </c>
      <c r="H7" s="2" t="s">
        <v>5</v>
      </c>
      <c r="I7" s="4">
        <f t="shared" si="3"/>
        <v>20.885799999999996</v>
      </c>
      <c r="J7" s="20" t="s">
        <v>72</v>
      </c>
      <c r="K7" s="9">
        <f t="shared" si="4"/>
        <v>-15.900000000000025</v>
      </c>
      <c r="L7" s="2" t="s">
        <v>5</v>
      </c>
      <c r="M7" s="14">
        <f t="shared" si="5"/>
        <v>2.5999999999999996</v>
      </c>
      <c r="N7" s="14"/>
      <c r="O7" s="9">
        <f t="shared" si="0"/>
        <v>-18.500000000000025</v>
      </c>
      <c r="P7" s="9">
        <f t="shared" si="1"/>
        <v>-13.300000000000026</v>
      </c>
      <c r="Q7">
        <v>758</v>
      </c>
      <c r="R7">
        <v>1192</v>
      </c>
      <c r="S7">
        <v>0.85196017564775106</v>
      </c>
      <c r="T7">
        <v>2.2150964566841527</v>
      </c>
    </row>
    <row r="8" spans="1:26" x14ac:dyDescent="0.2">
      <c r="B8">
        <v>760</v>
      </c>
      <c r="C8">
        <v>1190</v>
      </c>
      <c r="D8" s="8">
        <f t="shared" si="6"/>
        <v>0.85207971820065564</v>
      </c>
      <c r="E8" s="2" t="s">
        <v>5</v>
      </c>
      <c r="F8" s="13">
        <f t="shared" si="7"/>
        <v>2.2154072673217047E-3</v>
      </c>
      <c r="G8" s="12">
        <f t="shared" si="2"/>
        <v>1285.8840058217563</v>
      </c>
      <c r="H8" s="2" t="s">
        <v>5</v>
      </c>
      <c r="I8" s="4">
        <f t="shared" si="3"/>
        <v>20.8858</v>
      </c>
      <c r="J8" s="20" t="s">
        <v>72</v>
      </c>
      <c r="K8" s="9">
        <f t="shared" si="4"/>
        <v>-16.000000000000014</v>
      </c>
      <c r="L8" s="2" t="s">
        <v>5</v>
      </c>
      <c r="M8" s="14">
        <f t="shared" si="5"/>
        <v>2.6</v>
      </c>
      <c r="N8" s="14"/>
      <c r="O8" s="9">
        <f t="shared" si="0"/>
        <v>-18.600000000000016</v>
      </c>
      <c r="P8" s="9">
        <f t="shared" si="1"/>
        <v>-13.400000000000015</v>
      </c>
      <c r="Q8">
        <v>760</v>
      </c>
      <c r="R8">
        <v>1190</v>
      </c>
      <c r="S8">
        <v>0.85207971820065564</v>
      </c>
      <c r="T8">
        <v>2.2154072673217047</v>
      </c>
    </row>
    <row r="9" spans="1:26" x14ac:dyDescent="0.2">
      <c r="B9">
        <v>762</v>
      </c>
      <c r="C9">
        <v>1188</v>
      </c>
      <c r="D9" s="8">
        <f t="shared" si="6"/>
        <v>0.85133312453556831</v>
      </c>
      <c r="E9" s="2" t="s">
        <v>5</v>
      </c>
      <c r="F9" s="13">
        <f t="shared" si="7"/>
        <v>2.1283328113389207E-3</v>
      </c>
      <c r="G9" s="12">
        <f t="shared" si="2"/>
        <v>1292.9256191584818</v>
      </c>
      <c r="H9" s="2" t="s">
        <v>5</v>
      </c>
      <c r="I9" s="4">
        <f t="shared" si="3"/>
        <v>20.0825</v>
      </c>
      <c r="J9" s="20" t="s">
        <v>72</v>
      </c>
      <c r="K9" s="9">
        <f t="shared" si="4"/>
        <v>-17.099999999999895</v>
      </c>
      <c r="L9" s="2" t="s">
        <v>5</v>
      </c>
      <c r="M9" s="14">
        <f t="shared" si="5"/>
        <v>2.5</v>
      </c>
      <c r="N9" s="14"/>
      <c r="O9" s="9">
        <f t="shared" si="0"/>
        <v>-19.599999999999895</v>
      </c>
      <c r="P9" s="9">
        <f t="shared" si="1"/>
        <v>-14.599999999999895</v>
      </c>
      <c r="Q9">
        <v>762</v>
      </c>
      <c r="R9">
        <v>1188</v>
      </c>
      <c r="S9">
        <v>0.85133312453556831</v>
      </c>
      <c r="T9">
        <v>2.1283328113389208</v>
      </c>
    </row>
    <row r="10" spans="1:26" x14ac:dyDescent="0.2">
      <c r="B10">
        <v>764</v>
      </c>
      <c r="C10">
        <v>1186</v>
      </c>
      <c r="D10" s="8">
        <f t="shared" si="6"/>
        <v>0.85006630744884859</v>
      </c>
      <c r="E10" s="2" t="s">
        <v>5</v>
      </c>
      <c r="F10" s="13">
        <f t="shared" si="7"/>
        <v>2.2101723993670067E-3</v>
      </c>
      <c r="G10" s="12">
        <f t="shared" si="2"/>
        <v>1304.8879407002312</v>
      </c>
      <c r="H10" s="2" t="s">
        <v>5</v>
      </c>
      <c r="I10" s="4">
        <f t="shared" si="3"/>
        <v>20.885800000000003</v>
      </c>
      <c r="J10" s="20" t="s">
        <v>72</v>
      </c>
      <c r="K10" s="9">
        <f t="shared" si="4"/>
        <v>-18.80000000000004</v>
      </c>
      <c r="L10" s="2" t="s">
        <v>5</v>
      </c>
      <c r="M10" s="14">
        <f t="shared" si="5"/>
        <v>2.6000000000000005</v>
      </c>
      <c r="N10" s="14"/>
      <c r="O10" s="9">
        <f t="shared" si="0"/>
        <v>-21.400000000000041</v>
      </c>
      <c r="P10" s="9">
        <f t="shared" si="1"/>
        <v>-16.200000000000038</v>
      </c>
      <c r="Q10">
        <v>764</v>
      </c>
      <c r="R10">
        <v>1186</v>
      </c>
      <c r="S10">
        <v>0.85006630744884859</v>
      </c>
      <c r="T10">
        <v>2.2101723993670066</v>
      </c>
    </row>
    <row r="11" spans="1:26" x14ac:dyDescent="0.2">
      <c r="B11">
        <v>766</v>
      </c>
      <c r="C11">
        <v>1184</v>
      </c>
      <c r="D11" s="8">
        <f t="shared" si="6"/>
        <v>0.84940542186145851</v>
      </c>
      <c r="E11" s="2" t="s">
        <v>5</v>
      </c>
      <c r="F11" s="13">
        <f t="shared" si="7"/>
        <v>2.2084540968397921E-3</v>
      </c>
      <c r="G11" s="12">
        <f t="shared" si="2"/>
        <v>1311.1356400288598</v>
      </c>
      <c r="H11" s="2" t="s">
        <v>5</v>
      </c>
      <c r="I11" s="4">
        <f t="shared" si="3"/>
        <v>20.8858</v>
      </c>
      <c r="J11" s="20" t="s">
        <v>72</v>
      </c>
      <c r="K11" s="9">
        <f t="shared" si="4"/>
        <v>-19.80000000000004</v>
      </c>
      <c r="L11" s="2" t="s">
        <v>5</v>
      </c>
      <c r="M11" s="14">
        <f t="shared" si="5"/>
        <v>2.6</v>
      </c>
      <c r="N11" s="14"/>
      <c r="O11" s="9">
        <f t="shared" si="0"/>
        <v>-22.400000000000041</v>
      </c>
      <c r="P11" s="9">
        <f t="shared" si="1"/>
        <v>-17.200000000000038</v>
      </c>
      <c r="Q11">
        <v>766</v>
      </c>
      <c r="R11">
        <v>1184</v>
      </c>
      <c r="S11">
        <v>0.84940542186145851</v>
      </c>
      <c r="T11">
        <v>2.2084540968397923</v>
      </c>
    </row>
    <row r="12" spans="1:26" x14ac:dyDescent="0.2">
      <c r="B12">
        <v>768</v>
      </c>
      <c r="C12">
        <v>1182</v>
      </c>
      <c r="D12" s="8">
        <f t="shared" si="6"/>
        <v>0.8550716099363862</v>
      </c>
      <c r="E12" s="2" t="s">
        <v>5</v>
      </c>
      <c r="F12" s="13">
        <f t="shared" si="7"/>
        <v>2.223186185834604E-3</v>
      </c>
      <c r="G12" s="12">
        <f t="shared" si="2"/>
        <v>1257.7272858830379</v>
      </c>
      <c r="H12" s="2" t="s">
        <v>5</v>
      </c>
      <c r="I12" s="4">
        <f t="shared" si="3"/>
        <v>20.8858</v>
      </c>
      <c r="J12" s="20" t="s">
        <v>72</v>
      </c>
      <c r="K12" s="9">
        <f t="shared" si="4"/>
        <v>-13.500000000000068</v>
      </c>
      <c r="L12" s="2" t="s">
        <v>5</v>
      </c>
      <c r="M12" s="14">
        <f t="shared" si="5"/>
        <v>2.6</v>
      </c>
      <c r="N12" s="14"/>
      <c r="O12" s="9">
        <f t="shared" si="0"/>
        <v>-16.100000000000069</v>
      </c>
      <c r="P12" s="9">
        <f t="shared" si="1"/>
        <v>-10.900000000000068</v>
      </c>
      <c r="Q12">
        <v>768</v>
      </c>
      <c r="R12">
        <v>1182</v>
      </c>
      <c r="S12">
        <v>0.8550716099363862</v>
      </c>
      <c r="T12">
        <v>2.2231861858346043</v>
      </c>
    </row>
    <row r="13" spans="1:26" x14ac:dyDescent="0.2">
      <c r="B13">
        <v>770</v>
      </c>
      <c r="C13">
        <v>1180</v>
      </c>
      <c r="D13" s="8">
        <f>(1/V13^2*U13+1/T13^2*S13+1/X13^2*W13+1/Z13^2*Y13)/(1/V13^2+1/T13^2+1/X13^2+1/Z13^2)</f>
        <v>0.85137152023996876</v>
      </c>
      <c r="E13" s="2" t="s">
        <v>5</v>
      </c>
      <c r="F13" s="13">
        <f>1/SQRT(1/T13^2+1/V13^2+1/X13^2+1/Z13^2)/1000</f>
        <v>1.1067847804323108E-3</v>
      </c>
      <c r="G13" s="12">
        <f t="shared" si="2"/>
        <v>1292.5633335507607</v>
      </c>
      <c r="H13" s="2" t="s">
        <v>5</v>
      </c>
      <c r="I13" s="4">
        <f t="shared" si="3"/>
        <v>10.442917022531805</v>
      </c>
      <c r="J13" s="20" t="s">
        <v>72</v>
      </c>
      <c r="K13" s="9">
        <f t="shared" si="4"/>
        <v>-18.006408542748041</v>
      </c>
      <c r="L13" s="2" t="s">
        <v>5</v>
      </c>
      <c r="M13" s="14">
        <f t="shared" si="5"/>
        <v>1.3000021190752902</v>
      </c>
      <c r="N13">
        <f>1/F13^2</f>
        <v>816344.82326931157</v>
      </c>
      <c r="O13" s="9">
        <f t="shared" si="0"/>
        <v>-19.306410661823332</v>
      </c>
      <c r="P13" s="9">
        <f t="shared" si="1"/>
        <v>-16.70640642367275</v>
      </c>
      <c r="Q13">
        <v>770</v>
      </c>
      <c r="R13">
        <v>1180</v>
      </c>
      <c r="S13">
        <v>0.85397802463446637</v>
      </c>
      <c r="T13">
        <v>2.2203428640496128</v>
      </c>
      <c r="U13">
        <v>0.84998990391028517</v>
      </c>
      <c r="V13">
        <v>2.2099737501667414</v>
      </c>
      <c r="W13">
        <v>0.85094358495302413</v>
      </c>
      <c r="X13">
        <v>2.212453320877863</v>
      </c>
      <c r="Y13">
        <v>0.85059679184657355</v>
      </c>
      <c r="Z13">
        <v>2.2115516588010915</v>
      </c>
    </row>
    <row r="14" spans="1:26" x14ac:dyDescent="0.2">
      <c r="B14">
        <v>772</v>
      </c>
      <c r="C14">
        <v>1178</v>
      </c>
      <c r="D14" s="8">
        <f>(1/V14^2*U14+1/T14^2*S14+1/X14^2*W14+1/Z14^2*Y14)/(1/V14^2+1/T14^2+1/X14^2+1/Z14^2)</f>
        <v>0.85244501192069155</v>
      </c>
      <c r="E14" s="2" t="s">
        <v>5</v>
      </c>
      <c r="F14" s="13">
        <f>1/SQRT(1/T14^2+1/V14^2+1/X14^2+1/Z14^2)/1000</f>
        <v>1.0970466960000362E-3</v>
      </c>
      <c r="G14" s="12">
        <f t="shared" si="2"/>
        <v>1282.4409293487463</v>
      </c>
      <c r="H14" s="2" t="s">
        <v>5</v>
      </c>
      <c r="I14" s="4">
        <f t="shared" si="3"/>
        <v>10.337999502293036</v>
      </c>
      <c r="J14" s="20" t="s">
        <v>72</v>
      </c>
      <c r="K14" s="9">
        <f t="shared" si="4"/>
        <v>-17.006056196887776</v>
      </c>
      <c r="L14" s="2" t="s">
        <v>5</v>
      </c>
      <c r="M14" s="14">
        <f t="shared" si="5"/>
        <v>1.2869413049039009</v>
      </c>
      <c r="N14">
        <f t="shared" ref="N14:N21" si="8">1/F14^2</f>
        <v>830901.93893651373</v>
      </c>
      <c r="O14" s="9">
        <f t="shared" si="0"/>
        <v>-18.292997501791678</v>
      </c>
      <c r="P14" s="9">
        <f t="shared" si="1"/>
        <v>-15.719114891983875</v>
      </c>
      <c r="Q14">
        <v>772</v>
      </c>
      <c r="R14">
        <v>1178</v>
      </c>
      <c r="S14">
        <v>0.85418464888330958</v>
      </c>
      <c r="T14">
        <v>2.2208800870966048</v>
      </c>
      <c r="U14">
        <v>0.85349089485375962</v>
      </c>
      <c r="V14">
        <v>2.1337272371343992</v>
      </c>
      <c r="W14">
        <v>0.85123619425772257</v>
      </c>
      <c r="X14">
        <v>2.2132141050700787</v>
      </c>
      <c r="Y14">
        <v>0.85080259798925384</v>
      </c>
      <c r="Z14">
        <v>2.2120867547720602</v>
      </c>
    </row>
    <row r="15" spans="1:26" x14ac:dyDescent="0.2">
      <c r="B15">
        <v>774</v>
      </c>
      <c r="C15">
        <v>1176</v>
      </c>
      <c r="D15" s="8">
        <f>(1/V15^2*U15+1/T15^2*S15)/(1/V15^2+1/T15^2)</f>
        <v>0.85153780181502814</v>
      </c>
      <c r="E15" s="2" t="s">
        <v>5</v>
      </c>
      <c r="F15" s="13">
        <f>1/SQRT(1/T15^2+1/V15^2)/1000</f>
        <v>1.4742956299729645E-3</v>
      </c>
      <c r="G15" s="12">
        <f t="shared" si="2"/>
        <v>1290.9945595950396</v>
      </c>
      <c r="H15" s="2" t="s">
        <v>5</v>
      </c>
      <c r="I15" s="4">
        <f t="shared" si="3"/>
        <v>13.907799243122003</v>
      </c>
      <c r="J15" s="20" t="s">
        <v>72</v>
      </c>
      <c r="K15" s="9">
        <f t="shared" si="4"/>
        <v>-18.289732017580551</v>
      </c>
      <c r="L15" s="2" t="s">
        <v>5</v>
      </c>
      <c r="M15" s="14">
        <f t="shared" si="5"/>
        <v>1.7313331561212504</v>
      </c>
      <c r="N15">
        <f t="shared" si="8"/>
        <v>460077.33987663884</v>
      </c>
      <c r="O15" s="9">
        <f t="shared" si="0"/>
        <v>-20.0210651737018</v>
      </c>
      <c r="P15" s="9">
        <f t="shared" si="1"/>
        <v>-16.558398861459303</v>
      </c>
      <c r="Q15">
        <v>774</v>
      </c>
      <c r="R15">
        <v>1176</v>
      </c>
      <c r="S15">
        <v>0.85335044029571772</v>
      </c>
      <c r="T15">
        <v>2.1333761007392944</v>
      </c>
      <c r="U15">
        <v>0.84988083086170385</v>
      </c>
      <c r="V15">
        <v>2.0397139940680891</v>
      </c>
    </row>
    <row r="16" spans="1:26" x14ac:dyDescent="0.2">
      <c r="B16">
        <v>775</v>
      </c>
      <c r="C16">
        <v>1175</v>
      </c>
      <c r="D16" s="8">
        <f>S16</f>
        <v>0.86230224459358307</v>
      </c>
      <c r="E16" s="2" t="s">
        <v>5</v>
      </c>
      <c r="F16" s="13">
        <f>T16/1000</f>
        <v>2.069525387024599E-3</v>
      </c>
      <c r="G16" s="12">
        <f t="shared" si="2"/>
        <v>1190.0844354242947</v>
      </c>
      <c r="H16" s="2" t="s">
        <v>5</v>
      </c>
      <c r="I16" s="4">
        <f t="shared" si="3"/>
        <v>19.279199999999999</v>
      </c>
      <c r="J16" s="20" t="s">
        <v>72</v>
      </c>
      <c r="K16" s="9">
        <f t="shared" si="4"/>
        <v>-6.0000000000000053</v>
      </c>
      <c r="L16" s="2" t="s">
        <v>5</v>
      </c>
      <c r="M16" s="14">
        <f t="shared" si="5"/>
        <v>2.4</v>
      </c>
      <c r="N16">
        <f t="shared" si="8"/>
        <v>233484.73033668994</v>
      </c>
      <c r="O16" s="9">
        <f t="shared" si="0"/>
        <v>-8.4000000000000057</v>
      </c>
      <c r="P16" s="9">
        <f t="shared" si="1"/>
        <v>-3.6000000000000054</v>
      </c>
      <c r="Q16">
        <v>775</v>
      </c>
      <c r="R16">
        <v>1175</v>
      </c>
      <c r="S16">
        <v>0.86230224459358307</v>
      </c>
      <c r="T16">
        <v>2.0695253870245991</v>
      </c>
    </row>
    <row r="17" spans="2:22" x14ac:dyDescent="0.2">
      <c r="B17">
        <v>776</v>
      </c>
      <c r="C17">
        <v>1174</v>
      </c>
      <c r="D17" s="8">
        <f>(1/V17^2*U17+1/T17^2*S17)/(1/V17^2+1/T17^2)</f>
        <v>0.86455412592955783</v>
      </c>
      <c r="E17" s="2" t="s">
        <v>5</v>
      </c>
      <c r="F17" s="13">
        <f>1/SQRT(1/T17^2+1/V17^2)/1000</f>
        <v>1.5580003991260962E-3</v>
      </c>
      <c r="G17" s="12">
        <f t="shared" si="2"/>
        <v>1169.1337954818252</v>
      </c>
      <c r="H17" s="2" t="s">
        <v>5</v>
      </c>
      <c r="I17" s="4">
        <f t="shared" si="3"/>
        <v>14.476152308825673</v>
      </c>
      <c r="J17" s="20" t="s">
        <v>72</v>
      </c>
      <c r="K17" s="9">
        <f t="shared" si="4"/>
        <v>-3.5247369720065036</v>
      </c>
      <c r="L17" s="2" t="s">
        <v>5</v>
      </c>
      <c r="M17" s="14">
        <f t="shared" si="5"/>
        <v>1.8020854361789711</v>
      </c>
      <c r="N17">
        <f t="shared" si="8"/>
        <v>411969.31636260799</v>
      </c>
      <c r="O17" s="9">
        <f t="shared" si="0"/>
        <v>-5.3268224081854747</v>
      </c>
      <c r="P17" s="9">
        <f t="shared" si="1"/>
        <v>-1.7226515358275325</v>
      </c>
      <c r="Q17">
        <v>776</v>
      </c>
      <c r="R17">
        <v>1174</v>
      </c>
      <c r="S17">
        <v>0.86310064723660174</v>
      </c>
      <c r="T17">
        <v>2.1577516180915044</v>
      </c>
      <c r="U17">
        <v>0.86613729004453099</v>
      </c>
      <c r="V17">
        <v>2.2519569541157805</v>
      </c>
    </row>
    <row r="18" spans="2:22" x14ac:dyDescent="0.2">
      <c r="B18">
        <v>777</v>
      </c>
      <c r="C18">
        <v>1173</v>
      </c>
      <c r="D18" s="8">
        <f>S18</f>
        <v>0.86563466479878948</v>
      </c>
      <c r="E18" s="2" t="s">
        <v>5</v>
      </c>
      <c r="F18" s="13">
        <f>T18/1000</f>
        <v>2.0775231955170947E-3</v>
      </c>
      <c r="G18" s="12">
        <f t="shared" si="2"/>
        <v>1159.1002431764077</v>
      </c>
      <c r="H18" s="2" t="s">
        <v>5</v>
      </c>
      <c r="I18" s="4">
        <f t="shared" si="3"/>
        <v>19.279199999999999</v>
      </c>
      <c r="J18" s="20" t="s">
        <v>72</v>
      </c>
      <c r="K18" s="9">
        <f t="shared" si="4"/>
        <v>-2.3999999999999577</v>
      </c>
      <c r="L18" s="2" t="s">
        <v>5</v>
      </c>
      <c r="M18" s="14">
        <f t="shared" si="5"/>
        <v>2.4</v>
      </c>
      <c r="N18">
        <f t="shared" si="8"/>
        <v>231690.50558092768</v>
      </c>
      <c r="O18" s="9">
        <f t="shared" si="0"/>
        <v>-4.7999999999999581</v>
      </c>
      <c r="P18" s="9">
        <f t="shared" si="1"/>
        <v>4.2188474935755949E-14</v>
      </c>
      <c r="Q18">
        <v>777</v>
      </c>
      <c r="R18">
        <v>1173</v>
      </c>
      <c r="S18">
        <v>0.86563466479878948</v>
      </c>
      <c r="T18">
        <v>2.0775231955170947</v>
      </c>
    </row>
    <row r="19" spans="2:22" x14ac:dyDescent="0.2">
      <c r="B19">
        <v>778</v>
      </c>
      <c r="C19">
        <v>1172</v>
      </c>
      <c r="D19" s="8">
        <f>(1/V19^2*U19+1/T19^2*S19)/(1/V19^2+1/T19^2)</f>
        <v>0.86487620509107033</v>
      </c>
      <c r="E19" s="2" t="s">
        <v>5</v>
      </c>
      <c r="F19" s="13">
        <f>1/SQRT(1/T19^2+1/V19^2)/1000</f>
        <v>1.5252368434582322E-3</v>
      </c>
      <c r="G19" s="12">
        <f t="shared" si="2"/>
        <v>1166.1417559784882</v>
      </c>
      <c r="H19" s="2" t="s">
        <v>5</v>
      </c>
      <c r="I19" s="4">
        <f t="shared" si="3"/>
        <v>14.166452367838975</v>
      </c>
      <c r="J19" s="20" t="s">
        <v>72</v>
      </c>
      <c r="K19" s="9">
        <f t="shared" si="4"/>
        <v>-3.3946458333815599</v>
      </c>
      <c r="L19" s="2" t="s">
        <v>5</v>
      </c>
      <c r="M19" s="14">
        <f t="shared" si="5"/>
        <v>1.7635319765764939</v>
      </c>
      <c r="N19">
        <f t="shared" si="8"/>
        <v>429858.40708391613</v>
      </c>
      <c r="O19" s="9">
        <f t="shared" si="0"/>
        <v>-5.1581778099580537</v>
      </c>
      <c r="P19" s="9">
        <f t="shared" si="1"/>
        <v>-1.631113856805066</v>
      </c>
      <c r="Q19">
        <v>778</v>
      </c>
      <c r="R19">
        <v>1172</v>
      </c>
      <c r="S19">
        <v>0.86652042071916813</v>
      </c>
      <c r="T19">
        <v>2.0796490097260034</v>
      </c>
      <c r="U19">
        <v>0.8629623498879726</v>
      </c>
      <c r="V19">
        <v>2.2437021097087286</v>
      </c>
    </row>
    <row r="20" spans="2:22" x14ac:dyDescent="0.2">
      <c r="B20">
        <v>779</v>
      </c>
      <c r="C20">
        <v>1171</v>
      </c>
      <c r="D20" s="8">
        <f>S20</f>
        <v>0.86332712073974427</v>
      </c>
      <c r="E20" s="2" t="s">
        <v>5</v>
      </c>
      <c r="F20" s="13">
        <f>T20/1000</f>
        <v>2.0719850897753861E-3</v>
      </c>
      <c r="G20" s="12">
        <f t="shared" si="2"/>
        <v>1180.5426053934602</v>
      </c>
      <c r="H20" s="2" t="s">
        <v>5</v>
      </c>
      <c r="I20" s="4">
        <f t="shared" si="3"/>
        <v>19.279199999999999</v>
      </c>
      <c r="J20" s="20" t="s">
        <v>72</v>
      </c>
      <c r="K20" s="9">
        <f t="shared" si="4"/>
        <v>-5.2999999999999714</v>
      </c>
      <c r="L20" s="2" t="s">
        <v>5</v>
      </c>
      <c r="M20" s="14">
        <f t="shared" si="5"/>
        <v>2.4</v>
      </c>
      <c r="N20">
        <f t="shared" si="8"/>
        <v>232930.70883149936</v>
      </c>
      <c r="O20" s="9">
        <f t="shared" si="0"/>
        <v>-7.6999999999999709</v>
      </c>
      <c r="P20" s="9">
        <f t="shared" si="1"/>
        <v>-2.8999999999999715</v>
      </c>
      <c r="Q20">
        <v>779</v>
      </c>
      <c r="R20">
        <v>1171</v>
      </c>
      <c r="S20">
        <v>0.86332712073974427</v>
      </c>
      <c r="T20">
        <v>2.071985089775386</v>
      </c>
    </row>
    <row r="21" spans="2:22" x14ac:dyDescent="0.2">
      <c r="B21">
        <v>780</v>
      </c>
      <c r="C21">
        <v>1170</v>
      </c>
      <c r="D21" s="8">
        <f>(1/V21^2*U21+1/T21^2*S21)/(1/V21^2+1/T21^2)</f>
        <v>0.86285317042634302</v>
      </c>
      <c r="E21" s="2" t="s">
        <v>5</v>
      </c>
      <c r="F21" s="13">
        <f>1/SQRT(1/T21^2+1/V21^2)/1000</f>
        <v>1.5216705523103445E-3</v>
      </c>
      <c r="G21" s="12">
        <f t="shared" si="2"/>
        <v>1184.953781888416</v>
      </c>
      <c r="H21" s="2" t="s">
        <v>5</v>
      </c>
      <c r="I21" s="4">
        <f t="shared" si="3"/>
        <v>14.166465356636778</v>
      </c>
      <c r="J21" s="20" t="s">
        <v>72</v>
      </c>
      <c r="K21" s="9">
        <f t="shared" si="4"/>
        <v>-5.9663199813029255</v>
      </c>
      <c r="L21" s="2" t="s">
        <v>5</v>
      </c>
      <c r="M21" s="14">
        <f t="shared" si="5"/>
        <v>1.7635335935063834</v>
      </c>
      <c r="N21">
        <f t="shared" si="8"/>
        <v>431875.65930947597</v>
      </c>
      <c r="O21" s="9">
        <f t="shared" si="0"/>
        <v>-7.7298535748093089</v>
      </c>
      <c r="P21" s="9">
        <f t="shared" si="1"/>
        <v>-4.2027863877965421</v>
      </c>
      <c r="Q21">
        <v>780</v>
      </c>
      <c r="R21">
        <v>1170</v>
      </c>
      <c r="S21">
        <v>0.86056705155562374</v>
      </c>
      <c r="T21">
        <v>2.2374743340446219</v>
      </c>
      <c r="U21">
        <v>0.8648204089821141</v>
      </c>
      <c r="V21">
        <v>2.0755689815570739</v>
      </c>
    </row>
    <row r="22" spans="2:22" x14ac:dyDescent="0.2">
      <c r="B22">
        <v>782</v>
      </c>
      <c r="C22">
        <v>1168</v>
      </c>
      <c r="D22" s="8">
        <f>S22</f>
        <v>0.86364046915590686</v>
      </c>
      <c r="E22" s="2" t="s">
        <v>5</v>
      </c>
      <c r="F22" s="13">
        <f>T22/1000</f>
        <v>2.2454652198053578E-3</v>
      </c>
      <c r="G22" s="12">
        <f t="shared" si="2"/>
        <v>1177.6275213242691</v>
      </c>
      <c r="H22" s="2" t="s">
        <v>5</v>
      </c>
      <c r="I22" s="4">
        <f t="shared" si="3"/>
        <v>20.8858</v>
      </c>
      <c r="J22" s="20" t="s">
        <v>72</v>
      </c>
      <c r="K22" s="9">
        <f t="shared" si="4"/>
        <v>-5.2999999999999714</v>
      </c>
      <c r="L22" s="2" t="s">
        <v>5</v>
      </c>
      <c r="M22" s="14">
        <f t="shared" si="5"/>
        <v>2.6</v>
      </c>
      <c r="N22" s="14"/>
      <c r="O22" s="9">
        <f t="shared" si="0"/>
        <v>-7.8999999999999719</v>
      </c>
      <c r="P22" s="9">
        <f t="shared" si="1"/>
        <v>-2.6999999999999713</v>
      </c>
      <c r="Q22">
        <v>782</v>
      </c>
      <c r="R22">
        <v>1168</v>
      </c>
      <c r="S22">
        <v>0.86364046915590686</v>
      </c>
      <c r="T22">
        <v>2.2454652198053577</v>
      </c>
    </row>
    <row r="23" spans="2:22" x14ac:dyDescent="0.2">
      <c r="B23">
        <v>784</v>
      </c>
      <c r="C23">
        <v>1166</v>
      </c>
      <c r="D23" s="8">
        <f>S23</f>
        <v>0.86159145548843274</v>
      </c>
      <c r="E23" s="2" t="s">
        <v>5</v>
      </c>
      <c r="F23" s="13">
        <f>T23/1000</f>
        <v>2.2401377842699252E-3</v>
      </c>
      <c r="G23" s="12">
        <f t="shared" si="2"/>
        <v>1196.7087060564841</v>
      </c>
      <c r="H23" s="2" t="s">
        <v>5</v>
      </c>
      <c r="I23" s="4">
        <f t="shared" si="3"/>
        <v>20.8858</v>
      </c>
      <c r="J23" s="20" t="s">
        <v>72</v>
      </c>
      <c r="K23" s="9">
        <f t="shared" si="4"/>
        <v>-7.9000000000000181</v>
      </c>
      <c r="L23" s="2" t="s">
        <v>5</v>
      </c>
      <c r="M23" s="14">
        <f t="shared" si="5"/>
        <v>2.6</v>
      </c>
      <c r="N23" s="14"/>
      <c r="O23" s="9">
        <f t="shared" si="0"/>
        <v>-10.500000000000018</v>
      </c>
      <c r="P23" s="9">
        <f t="shared" si="1"/>
        <v>-5.3000000000000185</v>
      </c>
      <c r="Q23">
        <v>784</v>
      </c>
      <c r="R23">
        <v>1166</v>
      </c>
      <c r="S23">
        <v>0.86159145548843274</v>
      </c>
      <c r="T23">
        <v>2.2401377842699253</v>
      </c>
    </row>
    <row r="24" spans="2:22" x14ac:dyDescent="0.2">
      <c r="B24">
        <v>786</v>
      </c>
      <c r="C24">
        <v>1164</v>
      </c>
      <c r="D24" s="8">
        <f>S24</f>
        <v>0.86266858419934656</v>
      </c>
      <c r="E24" s="2" t="s">
        <v>5</v>
      </c>
      <c r="F24" s="13">
        <f>T24/1000</f>
        <v>2.2429383189183014E-3</v>
      </c>
      <c r="G24" s="12">
        <f t="shared" si="2"/>
        <v>1186.6724286260112</v>
      </c>
      <c r="H24" s="2" t="s">
        <v>5</v>
      </c>
      <c r="I24" s="4">
        <f t="shared" si="3"/>
        <v>20.885800000000003</v>
      </c>
      <c r="J24" s="20" t="s">
        <v>72</v>
      </c>
      <c r="K24" s="9">
        <f t="shared" si="4"/>
        <v>-6.8999999999999062</v>
      </c>
      <c r="L24" s="2" t="s">
        <v>5</v>
      </c>
      <c r="M24" s="14">
        <f t="shared" si="5"/>
        <v>2.6000000000000005</v>
      </c>
      <c r="N24" s="14"/>
      <c r="O24" s="9">
        <f t="shared" si="0"/>
        <v>-9.4999999999999076</v>
      </c>
      <c r="P24" s="9">
        <f t="shared" si="1"/>
        <v>-4.2999999999999057</v>
      </c>
      <c r="Q24">
        <v>786</v>
      </c>
      <c r="R24">
        <v>1164</v>
      </c>
      <c r="S24">
        <v>0.86266858419934656</v>
      </c>
      <c r="T24">
        <v>2.2429383189183012</v>
      </c>
    </row>
    <row r="25" spans="2:22" x14ac:dyDescent="0.2">
      <c r="B25">
        <v>788</v>
      </c>
      <c r="C25">
        <v>1162</v>
      </c>
      <c r="D25" s="8">
        <f>S25</f>
        <v>0.85940182104592433</v>
      </c>
      <c r="E25" s="2" t="s">
        <v>5</v>
      </c>
      <c r="F25" s="13">
        <f>T25/1000</f>
        <v>2.2602267893507811E-3</v>
      </c>
      <c r="G25" s="12">
        <f t="shared" si="2"/>
        <v>1217.1496260850884</v>
      </c>
      <c r="H25" s="2" t="s">
        <v>5</v>
      </c>
      <c r="I25" s="4">
        <f t="shared" si="3"/>
        <v>21.12679</v>
      </c>
      <c r="J25" s="20" t="s">
        <v>72</v>
      </c>
      <c r="K25" s="9">
        <f t="shared" si="4"/>
        <v>-10.90000000000002</v>
      </c>
      <c r="L25" s="2" t="s">
        <v>5</v>
      </c>
      <c r="M25" s="14">
        <f t="shared" si="5"/>
        <v>2.6300000000000003</v>
      </c>
      <c r="N25" s="14"/>
      <c r="O25" s="9">
        <f t="shared" si="0"/>
        <v>-13.530000000000021</v>
      </c>
      <c r="P25" s="9">
        <f t="shared" si="1"/>
        <v>-8.2700000000000191</v>
      </c>
      <c r="Q25">
        <v>788</v>
      </c>
      <c r="R25">
        <v>1162</v>
      </c>
      <c r="S25">
        <v>0.85940182104592433</v>
      </c>
      <c r="T25">
        <v>2.260226789350781</v>
      </c>
    </row>
    <row r="26" spans="2:22" x14ac:dyDescent="0.2">
      <c r="B26">
        <v>790</v>
      </c>
      <c r="C26">
        <v>1160</v>
      </c>
      <c r="D26" s="8">
        <f>(1/V26^2*U26+1/T26^2*S26)/(1/V26^2+1/T26^2)</f>
        <v>0.85749679693969583</v>
      </c>
      <c r="E26" s="2" t="s">
        <v>5</v>
      </c>
      <c r="F26" s="13">
        <f>1/SQRT(1/T26^2+1/V26^2)/1000</f>
        <v>1.6059510481096883E-3</v>
      </c>
      <c r="G26" s="12">
        <f t="shared" si="2"/>
        <v>1234.9760309352741</v>
      </c>
      <c r="H26" s="2" t="s">
        <v>5</v>
      </c>
      <c r="I26" s="4">
        <f t="shared" si="3"/>
        <v>15.044493245346048</v>
      </c>
      <c r="J26" s="20" t="s">
        <v>72</v>
      </c>
      <c r="K26" s="9">
        <f t="shared" si="4"/>
        <v>-13.331253693790735</v>
      </c>
      <c r="L26" s="2" t="s">
        <v>5</v>
      </c>
      <c r="M26" s="14">
        <f t="shared" si="5"/>
        <v>1.8728362063171977</v>
      </c>
      <c r="N26" s="14"/>
      <c r="O26" s="9">
        <f t="shared" si="0"/>
        <v>-15.204089900107933</v>
      </c>
      <c r="P26" s="9">
        <f t="shared" si="1"/>
        <v>-11.458417487473538</v>
      </c>
      <c r="Q26">
        <v>790</v>
      </c>
      <c r="R26">
        <v>1160</v>
      </c>
      <c r="S26">
        <v>0.85587270174273489</v>
      </c>
      <c r="T26">
        <v>2.2252690245311109</v>
      </c>
      <c r="U26">
        <v>0.85926212450552608</v>
      </c>
      <c r="V26">
        <v>2.3200077361649205</v>
      </c>
    </row>
    <row r="27" spans="2:22" x14ac:dyDescent="0.2">
      <c r="B27">
        <v>792</v>
      </c>
      <c r="C27">
        <v>1158</v>
      </c>
      <c r="D27" s="8">
        <f>(1/V27^2*U27+1/T27^2*S27)/(1/V27^2+1/T27^2)</f>
        <v>0.85731602673999519</v>
      </c>
      <c r="E27" s="2" t="s">
        <v>5</v>
      </c>
      <c r="F27" s="13">
        <f>1/SQRT(1/T27^2+1/V27^2)/1000</f>
        <v>1.7299752311733592E-3</v>
      </c>
      <c r="G27" s="12">
        <f t="shared" si="2"/>
        <v>1236.6696583674022</v>
      </c>
      <c r="H27" s="2" t="s">
        <v>5</v>
      </c>
      <c r="I27" s="4">
        <f t="shared" si="3"/>
        <v>16.209764659199834</v>
      </c>
      <c r="J27" s="20" t="s">
        <v>72</v>
      </c>
      <c r="K27" s="9">
        <f t="shared" si="4"/>
        <v>-13.777876197179406</v>
      </c>
      <c r="L27" s="2" t="s">
        <v>5</v>
      </c>
      <c r="M27" s="14">
        <f t="shared" si="5"/>
        <v>2.0178967582721068</v>
      </c>
      <c r="N27" s="14"/>
      <c r="O27" s="9">
        <f t="shared" si="0"/>
        <v>-15.795772955451513</v>
      </c>
      <c r="P27" s="9">
        <f t="shared" si="1"/>
        <v>-11.759979438907299</v>
      </c>
      <c r="Q27">
        <v>792</v>
      </c>
      <c r="R27">
        <v>1158</v>
      </c>
      <c r="S27">
        <v>0.85773144119151823</v>
      </c>
      <c r="T27">
        <v>2.2301017470979474</v>
      </c>
      <c r="U27">
        <v>0.85668828954519227</v>
      </c>
      <c r="V27">
        <v>2.7414025265446154</v>
      </c>
    </row>
    <row r="28" spans="2:22" x14ac:dyDescent="0.2">
      <c r="B28">
        <v>794</v>
      </c>
      <c r="C28">
        <v>1156</v>
      </c>
      <c r="D28" s="8">
        <f t="shared" ref="D28:D41" si="9">S28</f>
        <v>0.8586345762929648</v>
      </c>
      <c r="E28" s="2" t="s">
        <v>5</v>
      </c>
      <c r="F28" s="13">
        <f t="shared" ref="F28:F41" si="10">T28/1000</f>
        <v>2.3183133559910051E-3</v>
      </c>
      <c r="G28" s="12">
        <f t="shared" si="2"/>
        <v>1224.324418795879</v>
      </c>
      <c r="H28" s="2" t="s">
        <v>5</v>
      </c>
      <c r="I28" s="4">
        <f t="shared" si="3"/>
        <v>21.6891</v>
      </c>
      <c r="J28" s="20" t="s">
        <v>72</v>
      </c>
      <c r="K28" s="9">
        <f t="shared" si="4"/>
        <v>-12.499999999999956</v>
      </c>
      <c r="L28" s="2" t="s">
        <v>5</v>
      </c>
      <c r="M28" s="14">
        <f t="shared" si="5"/>
        <v>2.7</v>
      </c>
      <c r="N28" s="14"/>
      <c r="O28" s="9">
        <f t="shared" si="0"/>
        <v>-15.199999999999957</v>
      </c>
      <c r="P28" s="9">
        <f t="shared" si="1"/>
        <v>-9.7999999999999545</v>
      </c>
      <c r="Q28">
        <v>794</v>
      </c>
      <c r="R28">
        <v>1156</v>
      </c>
      <c r="S28">
        <v>0.8586345762929648</v>
      </c>
      <c r="T28">
        <v>2.318313355991005</v>
      </c>
    </row>
    <row r="29" spans="2:22" x14ac:dyDescent="0.2">
      <c r="B29">
        <v>796</v>
      </c>
      <c r="C29">
        <v>1154</v>
      </c>
      <c r="D29" s="8">
        <f t="shared" si="9"/>
        <v>0.86058175471590459</v>
      </c>
      <c r="E29" s="2" t="s">
        <v>5</v>
      </c>
      <c r="F29" s="13">
        <f t="shared" si="10"/>
        <v>2.2375125622613517E-3</v>
      </c>
      <c r="G29" s="12">
        <f t="shared" si="2"/>
        <v>1206.1281154248484</v>
      </c>
      <c r="H29" s="2" t="s">
        <v>5</v>
      </c>
      <c r="I29" s="4">
        <f t="shared" si="3"/>
        <v>20.8858</v>
      </c>
      <c r="J29" s="20" t="s">
        <v>72</v>
      </c>
      <c r="K29" s="9">
        <f t="shared" si="4"/>
        <v>-10.499999999999954</v>
      </c>
      <c r="L29" s="2" t="s">
        <v>5</v>
      </c>
      <c r="M29" s="14">
        <f t="shared" si="5"/>
        <v>2.6</v>
      </c>
      <c r="N29" s="14"/>
      <c r="O29" s="9">
        <f t="shared" si="0"/>
        <v>-13.099999999999953</v>
      </c>
      <c r="P29" s="9">
        <f t="shared" si="1"/>
        <v>-7.8999999999999542</v>
      </c>
      <c r="Q29">
        <v>796</v>
      </c>
      <c r="R29">
        <v>1154</v>
      </c>
      <c r="S29">
        <v>0.86058175471590459</v>
      </c>
      <c r="T29">
        <v>2.2375125622613519</v>
      </c>
    </row>
    <row r="30" spans="2:22" x14ac:dyDescent="0.2">
      <c r="B30">
        <v>798</v>
      </c>
      <c r="C30">
        <v>1152</v>
      </c>
      <c r="D30" s="8">
        <f t="shared" si="9"/>
        <v>0.85835418906435967</v>
      </c>
      <c r="E30" s="2" t="s">
        <v>5</v>
      </c>
      <c r="F30" s="13">
        <f t="shared" si="10"/>
        <v>2.7467334050059514E-3</v>
      </c>
      <c r="G30" s="12">
        <f t="shared" si="2"/>
        <v>1226.9480243463063</v>
      </c>
      <c r="H30" s="2" t="s">
        <v>5</v>
      </c>
      <c r="I30" s="4">
        <f t="shared" si="3"/>
        <v>25.705600000000004</v>
      </c>
      <c r="J30" s="20" t="s">
        <v>72</v>
      </c>
      <c r="K30" s="9">
        <f t="shared" si="4"/>
        <v>-13.299999999999867</v>
      </c>
      <c r="L30" s="2" t="s">
        <v>5</v>
      </c>
      <c r="M30" s="14">
        <f t="shared" si="5"/>
        <v>3.2000000000000006</v>
      </c>
      <c r="N30" s="14"/>
      <c r="O30" s="9">
        <f t="shared" si="0"/>
        <v>-16.499999999999869</v>
      </c>
      <c r="P30" s="9">
        <f t="shared" si="1"/>
        <v>-10.099999999999866</v>
      </c>
      <c r="Q30">
        <v>798</v>
      </c>
      <c r="R30">
        <v>1152</v>
      </c>
      <c r="S30">
        <v>0.85835418906435967</v>
      </c>
      <c r="T30">
        <v>2.7467334050059513</v>
      </c>
    </row>
    <row r="31" spans="2:22" x14ac:dyDescent="0.2">
      <c r="B31">
        <v>800</v>
      </c>
      <c r="C31">
        <v>1150</v>
      </c>
      <c r="D31" s="8">
        <f t="shared" si="9"/>
        <v>0.85943200681121457</v>
      </c>
      <c r="E31" s="2" t="s">
        <v>5</v>
      </c>
      <c r="F31" s="13">
        <f t="shared" si="10"/>
        <v>2.234523217709158E-3</v>
      </c>
      <c r="G31" s="12">
        <f t="shared" si="2"/>
        <v>1216.8674786794793</v>
      </c>
      <c r="H31" s="2" t="s">
        <v>5</v>
      </c>
      <c r="I31" s="4">
        <f t="shared" si="3"/>
        <v>20.885800000000003</v>
      </c>
      <c r="J31" s="20" t="s">
        <v>72</v>
      </c>
      <c r="K31" s="9">
        <f t="shared" si="4"/>
        <v>-12.299999999999978</v>
      </c>
      <c r="L31" s="2" t="s">
        <v>5</v>
      </c>
      <c r="M31" s="14">
        <f t="shared" si="5"/>
        <v>2.6000000000000005</v>
      </c>
      <c r="N31" s="14"/>
      <c r="O31" s="9">
        <f t="shared" si="0"/>
        <v>-14.899999999999977</v>
      </c>
      <c r="P31" s="9">
        <f t="shared" si="1"/>
        <v>-9.699999999999978</v>
      </c>
      <c r="Q31">
        <v>800</v>
      </c>
      <c r="R31">
        <v>1150</v>
      </c>
      <c r="S31">
        <v>0.85943200681121457</v>
      </c>
      <c r="T31">
        <v>2.2345232177091581</v>
      </c>
    </row>
    <row r="32" spans="2:22" x14ac:dyDescent="0.2">
      <c r="B32">
        <v>802</v>
      </c>
      <c r="C32">
        <v>1148</v>
      </c>
      <c r="D32" s="8">
        <f t="shared" si="9"/>
        <v>0.85929181259965048</v>
      </c>
      <c r="E32" s="2" t="s">
        <v>5</v>
      </c>
      <c r="F32" s="13">
        <f t="shared" si="10"/>
        <v>2.2341587127590913E-3</v>
      </c>
      <c r="G32" s="12">
        <f t="shared" si="2"/>
        <v>1218.1779627622307</v>
      </c>
      <c r="H32" s="2" t="s">
        <v>5</v>
      </c>
      <c r="I32" s="4">
        <f t="shared" si="3"/>
        <v>20.8858</v>
      </c>
      <c r="J32" s="20" t="s">
        <v>72</v>
      </c>
      <c r="K32" s="9">
        <f t="shared" si="4"/>
        <v>-12.700000000000045</v>
      </c>
      <c r="L32" s="2" t="s">
        <v>5</v>
      </c>
      <c r="M32" s="14">
        <f t="shared" si="5"/>
        <v>2.6</v>
      </c>
      <c r="N32" s="14"/>
      <c r="O32" s="9">
        <f t="shared" si="0"/>
        <v>-15.300000000000045</v>
      </c>
      <c r="P32" s="9">
        <f t="shared" si="1"/>
        <v>-10.100000000000046</v>
      </c>
      <c r="Q32">
        <v>802</v>
      </c>
      <c r="R32">
        <v>1148</v>
      </c>
      <c r="S32">
        <v>0.85929181259965048</v>
      </c>
      <c r="T32">
        <v>2.2341587127590912</v>
      </c>
    </row>
    <row r="33" spans="1:20" x14ac:dyDescent="0.2">
      <c r="B33">
        <v>804</v>
      </c>
      <c r="C33">
        <v>1146</v>
      </c>
      <c r="D33" s="8">
        <f t="shared" si="9"/>
        <v>0.86280783451369936</v>
      </c>
      <c r="E33" s="2" t="s">
        <v>5</v>
      </c>
      <c r="F33" s="13">
        <f t="shared" si="10"/>
        <v>2.3295811531869885E-3</v>
      </c>
      <c r="G33" s="12">
        <f t="shared" si="2"/>
        <v>1185.3758617584572</v>
      </c>
      <c r="H33" s="2" t="s">
        <v>5</v>
      </c>
      <c r="I33" s="4">
        <f t="shared" si="3"/>
        <v>21.6891</v>
      </c>
      <c r="J33" s="20" t="s">
        <v>72</v>
      </c>
      <c r="K33" s="9">
        <f t="shared" si="4"/>
        <v>-8.9000000000000199</v>
      </c>
      <c r="L33" s="2" t="s">
        <v>5</v>
      </c>
      <c r="M33" s="14">
        <f t="shared" si="5"/>
        <v>2.7</v>
      </c>
      <c r="N33" s="14"/>
      <c r="O33" s="9">
        <f t="shared" si="0"/>
        <v>-11.600000000000019</v>
      </c>
      <c r="P33" s="9">
        <f t="shared" si="1"/>
        <v>-6.2000000000000197</v>
      </c>
      <c r="Q33">
        <v>804</v>
      </c>
      <c r="R33">
        <v>1146</v>
      </c>
      <c r="S33">
        <v>0.86280783451369936</v>
      </c>
      <c r="T33">
        <v>2.3295811531869886</v>
      </c>
    </row>
    <row r="34" spans="1:20" x14ac:dyDescent="0.2">
      <c r="B34">
        <v>806</v>
      </c>
      <c r="C34">
        <v>1144</v>
      </c>
      <c r="D34" s="8">
        <f t="shared" si="9"/>
        <v>0.8575307667565597</v>
      </c>
      <c r="E34" s="2" t="s">
        <v>5</v>
      </c>
      <c r="F34" s="13">
        <f t="shared" si="10"/>
        <v>2.3153330702427115E-3</v>
      </c>
      <c r="G34" s="12">
        <f t="shared" si="2"/>
        <v>1234.6578091822487</v>
      </c>
      <c r="H34" s="2" t="s">
        <v>5</v>
      </c>
      <c r="I34" s="4">
        <f t="shared" si="3"/>
        <v>21.689100000000003</v>
      </c>
      <c r="J34" s="20" t="s">
        <v>72</v>
      </c>
      <c r="K34" s="9">
        <f t="shared" si="4"/>
        <v>-15.199999999999992</v>
      </c>
      <c r="L34" s="2" t="s">
        <v>5</v>
      </c>
      <c r="M34" s="14">
        <f t="shared" si="5"/>
        <v>2.7000000000000006</v>
      </c>
      <c r="N34" s="14"/>
      <c r="O34" s="9">
        <f t="shared" si="0"/>
        <v>-17.899999999999991</v>
      </c>
      <c r="P34" s="9">
        <f t="shared" si="1"/>
        <v>-12.499999999999991</v>
      </c>
      <c r="Q34">
        <v>806</v>
      </c>
      <c r="R34">
        <v>1144</v>
      </c>
      <c r="S34">
        <v>0.8575307667565597</v>
      </c>
      <c r="T34">
        <v>2.3153330702427115</v>
      </c>
    </row>
    <row r="35" spans="1:20" x14ac:dyDescent="0.2">
      <c r="B35">
        <v>808</v>
      </c>
      <c r="C35">
        <v>1142</v>
      </c>
      <c r="D35" s="8">
        <f t="shared" si="9"/>
        <v>0.85860922771167414</v>
      </c>
      <c r="E35" s="2" t="s">
        <v>5</v>
      </c>
      <c r="F35" s="13">
        <f t="shared" si="10"/>
        <v>2.3182449148215203E-3</v>
      </c>
      <c r="G35" s="12">
        <f t="shared" si="2"/>
        <v>1224.5615722542846</v>
      </c>
      <c r="H35" s="2" t="s">
        <v>5</v>
      </c>
      <c r="I35" s="4">
        <f t="shared" si="3"/>
        <v>21.6891</v>
      </c>
      <c r="J35" s="20" t="s">
        <v>72</v>
      </c>
      <c r="K35" s="9">
        <f t="shared" si="4"/>
        <v>-14.19999999999999</v>
      </c>
      <c r="L35" s="2" t="s">
        <v>5</v>
      </c>
      <c r="M35" s="14">
        <f t="shared" si="5"/>
        <v>2.7</v>
      </c>
      <c r="N35" s="14"/>
      <c r="O35" s="9">
        <f t="shared" si="0"/>
        <v>-16.899999999999991</v>
      </c>
      <c r="P35" s="9">
        <f t="shared" si="1"/>
        <v>-11.499999999999989</v>
      </c>
      <c r="Q35">
        <v>808</v>
      </c>
      <c r="R35">
        <v>1142</v>
      </c>
      <c r="S35">
        <v>0.85860922771167414</v>
      </c>
      <c r="T35">
        <v>2.3182449148215203</v>
      </c>
    </row>
    <row r="36" spans="1:20" x14ac:dyDescent="0.2">
      <c r="B36">
        <v>810</v>
      </c>
      <c r="C36">
        <v>1140</v>
      </c>
      <c r="D36" s="8">
        <f t="shared" si="9"/>
        <v>0.85925256642314995</v>
      </c>
      <c r="E36" s="2" t="s">
        <v>5</v>
      </c>
      <c r="F36" s="13">
        <f t="shared" si="10"/>
        <v>2.3199819293425049E-3</v>
      </c>
      <c r="G36" s="12">
        <f t="shared" si="2"/>
        <v>1218.5448599337346</v>
      </c>
      <c r="H36" s="2" t="s">
        <v>5</v>
      </c>
      <c r="I36" s="4">
        <f t="shared" si="3"/>
        <v>21.6891</v>
      </c>
      <c r="J36" s="20" t="s">
        <v>72</v>
      </c>
      <c r="K36" s="9">
        <f t="shared" si="4"/>
        <v>-13.700000000000045</v>
      </c>
      <c r="L36" s="2" t="s">
        <v>5</v>
      </c>
      <c r="M36" s="14">
        <f t="shared" si="5"/>
        <v>2.7</v>
      </c>
      <c r="N36" s="14"/>
      <c r="O36" s="9">
        <f t="shared" si="0"/>
        <v>-16.400000000000045</v>
      </c>
      <c r="P36" s="9">
        <f t="shared" si="1"/>
        <v>-11.000000000000046</v>
      </c>
      <c r="Q36">
        <v>810</v>
      </c>
      <c r="R36">
        <v>1140</v>
      </c>
      <c r="S36">
        <v>0.85925256642314995</v>
      </c>
      <c r="T36">
        <v>2.319981929342505</v>
      </c>
    </row>
    <row r="37" spans="1:20" x14ac:dyDescent="0.2">
      <c r="B37">
        <v>812</v>
      </c>
      <c r="C37">
        <v>1138</v>
      </c>
      <c r="D37" s="8">
        <f t="shared" si="9"/>
        <v>0.85754338989195378</v>
      </c>
      <c r="E37" s="2" t="s">
        <v>5</v>
      </c>
      <c r="F37" s="13">
        <f t="shared" si="10"/>
        <v>2.2296128137190801E-3</v>
      </c>
      <c r="G37" s="12">
        <f t="shared" si="2"/>
        <v>1234.5395616461533</v>
      </c>
      <c r="H37" s="2" t="s">
        <v>5</v>
      </c>
      <c r="I37" s="4">
        <f t="shared" si="3"/>
        <v>20.885800000000003</v>
      </c>
      <c r="J37" s="20" t="s">
        <v>72</v>
      </c>
      <c r="K37" s="9">
        <f t="shared" si="4"/>
        <v>-15.900000000000025</v>
      </c>
      <c r="L37" s="2" t="s">
        <v>5</v>
      </c>
      <c r="M37" s="14">
        <f t="shared" si="5"/>
        <v>2.6000000000000005</v>
      </c>
      <c r="N37" s="14"/>
      <c r="O37" s="9">
        <f t="shared" si="0"/>
        <v>-18.500000000000025</v>
      </c>
      <c r="P37" s="9">
        <f t="shared" si="1"/>
        <v>-13.300000000000026</v>
      </c>
      <c r="Q37">
        <v>812</v>
      </c>
      <c r="R37">
        <v>1138</v>
      </c>
      <c r="S37">
        <v>0.85754338989195378</v>
      </c>
      <c r="T37">
        <v>2.22961281371908</v>
      </c>
    </row>
    <row r="38" spans="1:20" x14ac:dyDescent="0.2">
      <c r="B38">
        <v>814</v>
      </c>
      <c r="C38">
        <v>1136</v>
      </c>
      <c r="D38" s="8">
        <f t="shared" si="9"/>
        <v>0.86088867088111598</v>
      </c>
      <c r="E38" s="2" t="s">
        <v>5</v>
      </c>
      <c r="F38" s="13">
        <f t="shared" si="10"/>
        <v>2.3243994113790133E-3</v>
      </c>
      <c r="G38" s="12">
        <f t="shared" si="2"/>
        <v>1203.2637530232571</v>
      </c>
      <c r="H38" s="2" t="s">
        <v>5</v>
      </c>
      <c r="I38" s="4">
        <f t="shared" si="3"/>
        <v>21.6891</v>
      </c>
      <c r="J38" s="20" t="s">
        <v>72</v>
      </c>
      <c r="K38" s="9">
        <f t="shared" si="4"/>
        <v>-12.299999999999978</v>
      </c>
      <c r="L38" s="2" t="s">
        <v>5</v>
      </c>
      <c r="M38" s="14">
        <f t="shared" si="5"/>
        <v>2.7</v>
      </c>
      <c r="N38" s="14"/>
      <c r="O38" s="9">
        <f t="shared" si="0"/>
        <v>-14.999999999999979</v>
      </c>
      <c r="P38" s="9">
        <f t="shared" si="1"/>
        <v>-9.5999999999999766</v>
      </c>
      <c r="Q38">
        <v>814</v>
      </c>
      <c r="R38">
        <v>1136</v>
      </c>
      <c r="S38">
        <v>0.86088867088111598</v>
      </c>
      <c r="T38">
        <v>2.3243994113790132</v>
      </c>
    </row>
    <row r="39" spans="1:20" x14ac:dyDescent="0.2">
      <c r="B39">
        <v>816</v>
      </c>
      <c r="C39">
        <v>1134</v>
      </c>
      <c r="D39" s="8">
        <f t="shared" si="9"/>
        <v>0.86118414923109798</v>
      </c>
      <c r="E39" s="2" t="s">
        <v>5</v>
      </c>
      <c r="F39" s="13">
        <f t="shared" si="10"/>
        <v>2.2390787880008549E-3</v>
      </c>
      <c r="G39" s="12">
        <f t="shared" si="2"/>
        <v>1200.5071011779025</v>
      </c>
      <c r="H39" s="2" t="s">
        <v>5</v>
      </c>
      <c r="I39" s="4">
        <f t="shared" si="3"/>
        <v>20.885800000000003</v>
      </c>
      <c r="J39" s="20" t="s">
        <v>72</v>
      </c>
      <c r="K39" s="9">
        <f t="shared" si="4"/>
        <v>-12.199999999999989</v>
      </c>
      <c r="L39" s="2" t="s">
        <v>5</v>
      </c>
      <c r="M39" s="14">
        <f t="shared" si="5"/>
        <v>2.6000000000000005</v>
      </c>
      <c r="N39" s="14"/>
      <c r="O39" s="9">
        <f t="shared" si="0"/>
        <v>-14.79999999999999</v>
      </c>
      <c r="P39" s="9">
        <f t="shared" si="1"/>
        <v>-9.5999999999999872</v>
      </c>
      <c r="Q39">
        <v>816</v>
      </c>
      <c r="R39">
        <v>1134</v>
      </c>
      <c r="S39">
        <v>0.86118414923109798</v>
      </c>
      <c r="T39">
        <v>2.2390787880008549</v>
      </c>
    </row>
    <row r="40" spans="1:20" x14ac:dyDescent="0.2">
      <c r="B40">
        <v>818</v>
      </c>
      <c r="C40">
        <v>1132</v>
      </c>
      <c r="D40" s="8">
        <f t="shared" si="9"/>
        <v>0.8589508294009075</v>
      </c>
      <c r="E40" s="2" t="s">
        <v>5</v>
      </c>
      <c r="F40" s="13">
        <f t="shared" si="10"/>
        <v>2.2332721564423596E-3</v>
      </c>
      <c r="G40" s="12">
        <f t="shared" si="2"/>
        <v>1221.3662413027639</v>
      </c>
      <c r="H40" s="2" t="s">
        <v>5</v>
      </c>
      <c r="I40" s="4">
        <f t="shared" si="3"/>
        <v>20.885800000000003</v>
      </c>
      <c r="J40" s="20" t="s">
        <v>72</v>
      </c>
      <c r="K40" s="9">
        <f t="shared" si="4"/>
        <v>-15.000000000000014</v>
      </c>
      <c r="L40" s="2" t="s">
        <v>5</v>
      </c>
      <c r="M40" s="14">
        <f t="shared" si="5"/>
        <v>2.6000000000000005</v>
      </c>
      <c r="N40" s="14"/>
      <c r="O40" s="9">
        <f t="shared" si="0"/>
        <v>-17.600000000000016</v>
      </c>
      <c r="P40" s="9">
        <f t="shared" si="1"/>
        <v>-12.400000000000013</v>
      </c>
      <c r="Q40">
        <v>818</v>
      </c>
      <c r="R40">
        <v>1132</v>
      </c>
      <c r="S40">
        <v>0.8589508294009075</v>
      </c>
      <c r="T40">
        <v>2.2332721564423594</v>
      </c>
    </row>
    <row r="41" spans="1:20" x14ac:dyDescent="0.2">
      <c r="B41">
        <v>820</v>
      </c>
      <c r="C41">
        <v>1130</v>
      </c>
      <c r="D41" s="8">
        <f t="shared" si="9"/>
        <v>0.85706527534579324</v>
      </c>
      <c r="E41" s="2" t="s">
        <v>5</v>
      </c>
      <c r="F41" s="13">
        <f t="shared" si="10"/>
        <v>2.2283697158990627E-3</v>
      </c>
      <c r="G41" s="12">
        <f t="shared" si="2"/>
        <v>1239.0195276310687</v>
      </c>
      <c r="H41" s="2" t="s">
        <v>5</v>
      </c>
      <c r="I41" s="4">
        <f t="shared" si="3"/>
        <v>20.885800000000003</v>
      </c>
      <c r="J41" s="20" t="s">
        <v>72</v>
      </c>
      <c r="K41" s="9">
        <f t="shared" si="4"/>
        <v>-17.39999999999997</v>
      </c>
      <c r="L41" s="2" t="s">
        <v>5</v>
      </c>
      <c r="M41" s="14">
        <f t="shared" si="5"/>
        <v>2.6000000000000005</v>
      </c>
      <c r="N41" s="14"/>
      <c r="O41" s="9">
        <f t="shared" si="0"/>
        <v>-19.999999999999972</v>
      </c>
      <c r="P41" s="9">
        <f t="shared" si="1"/>
        <v>-14.799999999999969</v>
      </c>
      <c r="Q41">
        <v>820</v>
      </c>
      <c r="R41">
        <v>1130</v>
      </c>
      <c r="S41">
        <v>0.85706527534579324</v>
      </c>
      <c r="T41">
        <v>2.2283697158990625</v>
      </c>
    </row>
    <row r="43" spans="1:20" x14ac:dyDescent="0.2">
      <c r="A43" s="1" t="s">
        <v>527</v>
      </c>
    </row>
    <row r="44" spans="1:20" x14ac:dyDescent="0.2">
      <c r="B44" s="330" t="s">
        <v>17</v>
      </c>
      <c r="C44" s="331" t="s">
        <v>15</v>
      </c>
      <c r="D44" s="345" t="s">
        <v>1</v>
      </c>
      <c r="E44" s="345"/>
      <c r="F44" s="345"/>
      <c r="G44" s="345" t="s">
        <v>2</v>
      </c>
      <c r="H44" s="345"/>
      <c r="I44" s="345"/>
      <c r="J44" s="330" t="s">
        <v>3</v>
      </c>
      <c r="K44" s="346" t="s">
        <v>16</v>
      </c>
      <c r="L44" s="345"/>
      <c r="M44" s="345"/>
      <c r="N44" s="279"/>
    </row>
    <row r="45" spans="1:20" x14ac:dyDescent="0.2">
      <c r="B45" s="279">
        <v>770</v>
      </c>
      <c r="C45" s="333">
        <v>1180</v>
      </c>
      <c r="D45" s="279">
        <v>0.84855310283689456</v>
      </c>
      <c r="E45" s="279" t="s">
        <v>5</v>
      </c>
      <c r="F45" s="279">
        <v>1.6134792930583123E-3</v>
      </c>
      <c r="G45" s="275">
        <f>-8033*LN(D45)</f>
        <v>1319.2002413719263</v>
      </c>
      <c r="H45" s="276" t="s">
        <v>5</v>
      </c>
      <c r="I45" s="275">
        <f>F45/D45*8033</f>
        <v>15.274328875595131</v>
      </c>
      <c r="J45" s="277">
        <v>-23.246961357542673</v>
      </c>
      <c r="K45" s="271">
        <f>(EXP(C45/8267)*EXP(-G45/8033)-1)*1000</f>
        <v>-21.25724294591247</v>
      </c>
      <c r="L45" s="273" t="s">
        <v>5</v>
      </c>
      <c r="M45" s="278">
        <f>I45/8.033</f>
        <v>1.9014476379428771</v>
      </c>
      <c r="N45">
        <f t="shared" ref="N45:N55" si="11">1/F45^2</f>
        <v>384125.56112532865</v>
      </c>
    </row>
    <row r="46" spans="1:20" x14ac:dyDescent="0.2">
      <c r="B46" s="279">
        <v>771</v>
      </c>
      <c r="C46" s="333">
        <v>1179</v>
      </c>
      <c r="D46" s="279">
        <v>0.85109694909785638</v>
      </c>
      <c r="E46" s="279" t="s">
        <v>5</v>
      </c>
      <c r="F46" s="279">
        <v>1.6085072198885242E-3</v>
      </c>
      <c r="G46" s="275">
        <f t="shared" ref="G46:G55" si="12">-8033*LN(D46)</f>
        <v>1295.1544300009286</v>
      </c>
      <c r="H46" s="276" t="s">
        <v>5</v>
      </c>
      <c r="I46" s="275">
        <f t="shared" ref="I46:I55" si="13">F46/D46*8033</f>
        <v>15.181746933837127</v>
      </c>
      <c r="J46" s="277">
        <v>-22.781074695898518</v>
      </c>
      <c r="K46" s="271">
        <f t="shared" ref="K46:K55" si="14">(EXP(C46/8267)*EXP(-G46/8033)-1)*1000</f>
        <v>-18.441845157323613</v>
      </c>
      <c r="L46" s="273" t="s">
        <v>5</v>
      </c>
      <c r="M46" s="278">
        <f t="shared" ref="M46:M55" si="15">I46/8.033</f>
        <v>1.8899224366783429</v>
      </c>
      <c r="N46">
        <f t="shared" si="11"/>
        <v>386503.98035653157</v>
      </c>
    </row>
    <row r="47" spans="1:20" x14ac:dyDescent="0.2">
      <c r="B47" s="279">
        <v>772</v>
      </c>
      <c r="C47" s="333">
        <v>1178</v>
      </c>
      <c r="D47" s="279">
        <v>0.85356169786832681</v>
      </c>
      <c r="E47" s="279" t="s">
        <v>5</v>
      </c>
      <c r="F47" s="279">
        <v>1.6148386320679754E-3</v>
      </c>
      <c r="G47" s="275">
        <f t="shared" si="12"/>
        <v>1271.9247462094913</v>
      </c>
      <c r="H47" s="276" t="s">
        <v>5</v>
      </c>
      <c r="I47" s="275">
        <f t="shared" si="13"/>
        <v>15.197493940740474</v>
      </c>
      <c r="J47" s="277">
        <v>-23.013489049348522</v>
      </c>
      <c r="K47" s="271">
        <f t="shared" si="14"/>
        <v>-15.718353754729964</v>
      </c>
      <c r="L47" s="273" t="s">
        <v>5</v>
      </c>
      <c r="M47" s="278">
        <f t="shared" si="15"/>
        <v>1.8918827263463804</v>
      </c>
      <c r="N47">
        <f t="shared" si="11"/>
        <v>383479.13481516088</v>
      </c>
    </row>
    <row r="48" spans="1:20" x14ac:dyDescent="0.2">
      <c r="B48" s="279">
        <v>773</v>
      </c>
      <c r="C48" s="333">
        <v>1177</v>
      </c>
      <c r="D48" s="279">
        <v>0.85049615832807823</v>
      </c>
      <c r="E48" s="279" t="s">
        <v>5</v>
      </c>
      <c r="F48" s="279">
        <v>1.6084573029518353E-3</v>
      </c>
      <c r="G48" s="275">
        <f t="shared" si="12"/>
        <v>1300.8269405830558</v>
      </c>
      <c r="H48" s="276" t="s">
        <v>5</v>
      </c>
      <c r="I48" s="275">
        <f t="shared" si="13"/>
        <v>15.191999855721779</v>
      </c>
      <c r="J48" s="277">
        <v>-22.199148194420481</v>
      </c>
      <c r="K48" s="271">
        <f t="shared" si="14"/>
        <v>-19.371996555815564</v>
      </c>
      <c r="L48" s="273" t="s">
        <v>5</v>
      </c>
      <c r="M48" s="278">
        <f t="shared" si="15"/>
        <v>1.8911987869689755</v>
      </c>
      <c r="N48">
        <f t="shared" si="11"/>
        <v>386527.97029279347</v>
      </c>
    </row>
    <row r="49" spans="2:14" x14ac:dyDescent="0.2">
      <c r="B49" s="279">
        <v>774</v>
      </c>
      <c r="C49" s="333">
        <v>1176</v>
      </c>
      <c r="D49" s="279">
        <v>0.85111697979551182</v>
      </c>
      <c r="E49" s="279" t="s">
        <v>5</v>
      </c>
      <c r="F49" s="279">
        <v>1.6006698608745894E-3</v>
      </c>
      <c r="G49" s="275">
        <f t="shared" si="12"/>
        <v>1294.9653743346082</v>
      </c>
      <c r="H49" s="276" t="s">
        <v>5</v>
      </c>
      <c r="I49" s="275">
        <f t="shared" si="13"/>
        <v>15.107419188717003</v>
      </c>
      <c r="J49" s="277">
        <v>-21.616660161986047</v>
      </c>
      <c r="K49" s="271">
        <f t="shared" si="14"/>
        <v>-18.774884052724094</v>
      </c>
      <c r="L49" s="273" t="s">
        <v>5</v>
      </c>
      <c r="M49" s="278">
        <f t="shared" si="15"/>
        <v>1.8806696363397242</v>
      </c>
      <c r="N49">
        <f t="shared" si="11"/>
        <v>390298.12478501006</v>
      </c>
    </row>
    <row r="50" spans="2:14" x14ac:dyDescent="0.2">
      <c r="B50" s="279">
        <v>775</v>
      </c>
      <c r="C50" s="333">
        <v>1175</v>
      </c>
      <c r="D50" s="279">
        <v>0.85934512552318487</v>
      </c>
      <c r="E50" s="279" t="s">
        <v>5</v>
      </c>
      <c r="F50" s="279">
        <v>1.6184387809207055E-3</v>
      </c>
      <c r="G50" s="275">
        <f t="shared" si="12"/>
        <v>1217.6795879101728</v>
      </c>
      <c r="H50" s="276" t="s">
        <v>5</v>
      </c>
      <c r="I50" s="275">
        <f t="shared" si="13"/>
        <v>15.12886771682196</v>
      </c>
      <c r="J50" s="277">
        <v>-22.082179113890987</v>
      </c>
      <c r="K50" s="271">
        <f t="shared" si="14"/>
        <v>-9.4087541513488979</v>
      </c>
      <c r="L50" s="273" t="s">
        <v>5</v>
      </c>
      <c r="M50" s="278">
        <f t="shared" si="15"/>
        <v>1.8833396883881439</v>
      </c>
      <c r="N50">
        <f t="shared" si="11"/>
        <v>381774.96600715915</v>
      </c>
    </row>
    <row r="51" spans="2:14" x14ac:dyDescent="0.2">
      <c r="B51" s="279">
        <v>776</v>
      </c>
      <c r="C51" s="333">
        <v>1174</v>
      </c>
      <c r="D51" s="279">
        <v>0.86400058503544896</v>
      </c>
      <c r="E51" s="279" t="s">
        <v>5</v>
      </c>
      <c r="F51" s="279">
        <v>1.6281277879566737E-3</v>
      </c>
      <c r="G51" s="275">
        <f t="shared" si="12"/>
        <v>1174.2786649223679</v>
      </c>
      <c r="H51" s="276" t="s">
        <v>5</v>
      </c>
      <c r="I51" s="275">
        <f t="shared" si="13"/>
        <v>15.137432482316379</v>
      </c>
      <c r="J51" s="277">
        <v>-22.865792138037744</v>
      </c>
      <c r="K51" s="271">
        <f t="shared" si="14"/>
        <v>-4.1627419175740421</v>
      </c>
      <c r="L51" s="273" t="s">
        <v>5</v>
      </c>
      <c r="M51" s="278">
        <f t="shared" si="15"/>
        <v>1.8844058860097572</v>
      </c>
      <c r="N51">
        <f t="shared" si="11"/>
        <v>377244.59203653084</v>
      </c>
    </row>
    <row r="52" spans="2:14" x14ac:dyDescent="0.2">
      <c r="B52" s="279">
        <v>777</v>
      </c>
      <c r="C52" s="333">
        <v>1173</v>
      </c>
      <c r="D52" s="279">
        <v>0.8641701304149606</v>
      </c>
      <c r="E52" s="279" t="s">
        <v>5</v>
      </c>
      <c r="F52" s="279">
        <v>1.6373428540096332E-3</v>
      </c>
      <c r="G52" s="275">
        <f t="shared" si="12"/>
        <v>1172.7024803176755</v>
      </c>
      <c r="H52" s="276" t="s">
        <v>5</v>
      </c>
      <c r="I52" s="275">
        <f t="shared" si="13"/>
        <v>15.220122384863767</v>
      </c>
      <c r="J52" s="277">
        <v>-23.148872317054426</v>
      </c>
      <c r="K52" s="271">
        <f t="shared" si="14"/>
        <v>-4.087801518031009</v>
      </c>
      <c r="L52" s="273" t="s">
        <v>5</v>
      </c>
      <c r="M52" s="278">
        <f t="shared" si="15"/>
        <v>1.8946996620022118</v>
      </c>
      <c r="N52">
        <f t="shared" si="11"/>
        <v>373010.22986225103</v>
      </c>
    </row>
    <row r="53" spans="2:14" x14ac:dyDescent="0.2">
      <c r="B53" s="279">
        <v>778</v>
      </c>
      <c r="C53" s="333">
        <v>1172</v>
      </c>
      <c r="D53" s="279">
        <v>0.8624428073599042</v>
      </c>
      <c r="E53" s="279" t="s">
        <v>5</v>
      </c>
      <c r="F53" s="279">
        <v>1.6320174283875864E-3</v>
      </c>
      <c r="G53" s="275">
        <f t="shared" si="12"/>
        <v>1188.7750932660686</v>
      </c>
      <c r="H53" s="276" t="s">
        <v>5</v>
      </c>
      <c r="I53" s="275">
        <f t="shared" si="13"/>
        <v>15.201003348117178</v>
      </c>
      <c r="J53" s="277">
        <v>-22.824528626879893</v>
      </c>
      <c r="K53" s="271">
        <f t="shared" si="14"/>
        <v>-6.1986739629815713</v>
      </c>
      <c r="L53" s="273" t="s">
        <v>5</v>
      </c>
      <c r="M53" s="278">
        <f t="shared" si="15"/>
        <v>1.892319600163971</v>
      </c>
      <c r="N53">
        <f t="shared" si="11"/>
        <v>375448.53617899661</v>
      </c>
    </row>
    <row r="54" spans="2:14" x14ac:dyDescent="0.2">
      <c r="B54" s="279">
        <v>779</v>
      </c>
      <c r="C54" s="333">
        <v>1171</v>
      </c>
      <c r="D54" s="279">
        <v>0.86096407990024193</v>
      </c>
      <c r="E54" s="279" t="s">
        <v>5</v>
      </c>
      <c r="F54" s="279">
        <v>1.6288833804215602E-3</v>
      </c>
      <c r="G54" s="275">
        <f t="shared" si="12"/>
        <v>1202.56013809364</v>
      </c>
      <c r="H54" s="276" t="s">
        <v>5</v>
      </c>
      <c r="I54" s="275">
        <f t="shared" si="13"/>
        <v>15.197870039412681</v>
      </c>
      <c r="J54" s="277">
        <v>-22.94846150881602</v>
      </c>
      <c r="K54" s="271">
        <f t="shared" si="14"/>
        <v>-8.0226258350819535</v>
      </c>
      <c r="L54" s="273" t="s">
        <v>5</v>
      </c>
      <c r="M54" s="278">
        <f t="shared" si="15"/>
        <v>1.8919295455511866</v>
      </c>
      <c r="N54">
        <f t="shared" si="11"/>
        <v>376894.68723316019</v>
      </c>
    </row>
    <row r="55" spans="2:14" x14ac:dyDescent="0.2">
      <c r="B55" s="279">
        <v>780</v>
      </c>
      <c r="C55" s="333">
        <v>1170</v>
      </c>
      <c r="D55" s="279">
        <v>0.86268591154844587</v>
      </c>
      <c r="E55" s="279" t="s">
        <v>5</v>
      </c>
      <c r="F55" s="279">
        <v>1.6197696766606141E-3</v>
      </c>
      <c r="G55" s="275">
        <f t="shared" si="12"/>
        <v>1186.5110813832707</v>
      </c>
      <c r="H55" s="276" t="s">
        <v>5</v>
      </c>
      <c r="I55" s="275">
        <f t="shared" si="13"/>
        <v>15.082673355891497</v>
      </c>
      <c r="J55" s="277">
        <v>-22.03564844880923</v>
      </c>
      <c r="K55" s="271">
        <f t="shared" si="14"/>
        <v>-6.1590074090257518</v>
      </c>
      <c r="L55" s="273" t="s">
        <v>5</v>
      </c>
      <c r="M55" s="278">
        <f t="shared" si="15"/>
        <v>1.8775891143895802</v>
      </c>
      <c r="N55">
        <f t="shared" si="11"/>
        <v>381147.84730007459</v>
      </c>
    </row>
    <row r="56" spans="2:14" x14ac:dyDescent="0.2">
      <c r="B56" s="279"/>
      <c r="C56" s="333"/>
      <c r="D56" s="279"/>
      <c r="E56" s="279"/>
      <c r="F56" s="279"/>
      <c r="G56" s="279"/>
      <c r="H56" s="279"/>
      <c r="I56" s="279"/>
      <c r="J56" s="279"/>
      <c r="K56" s="333"/>
      <c r="L56" s="279"/>
      <c r="M56" s="279"/>
      <c r="N56" s="279"/>
    </row>
    <row r="57" spans="2:14" x14ac:dyDescent="0.2">
      <c r="B57" s="347" t="s">
        <v>331</v>
      </c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38"/>
    </row>
    <row r="58" spans="2:14" x14ac:dyDescent="0.2">
      <c r="B58" s="189" t="s">
        <v>17</v>
      </c>
      <c r="C58" s="189" t="s">
        <v>15</v>
      </c>
      <c r="D58" s="348" t="s">
        <v>1</v>
      </c>
      <c r="E58" s="348"/>
      <c r="F58" s="348"/>
      <c r="G58" s="348" t="s">
        <v>2</v>
      </c>
      <c r="H58" s="348"/>
      <c r="I58" s="348"/>
      <c r="J58" s="189" t="s">
        <v>3</v>
      </c>
      <c r="K58" s="349" t="s">
        <v>16</v>
      </c>
      <c r="L58" s="349"/>
      <c r="M58" s="349"/>
      <c r="N58" s="198"/>
    </row>
    <row r="59" spans="2:14" x14ac:dyDescent="0.2">
      <c r="B59" s="332">
        <f>B13</f>
        <v>770</v>
      </c>
      <c r="C59" s="161">
        <f>1950-B59</f>
        <v>1180</v>
      </c>
      <c r="D59" s="178">
        <f>(D13*N13+D45*N45)/(N45+N13)</f>
        <v>0.8504696852755127</v>
      </c>
      <c r="E59" s="178" t="str">
        <f t="shared" ref="E59:E69" si="16">E13</f>
        <v>±</v>
      </c>
      <c r="F59" s="178">
        <f>1/SQRT(N45+N13)</f>
        <v>9.1269206499146631E-4</v>
      </c>
      <c r="G59" s="165">
        <f>-8033*LN(D59)</f>
        <v>1301.0769844414624</v>
      </c>
      <c r="H59" s="178" t="str">
        <f t="shared" ref="H59:H69" si="17">H13</f>
        <v>±</v>
      </c>
      <c r="I59" s="165">
        <f>F59/D59*8033</f>
        <v>8.6207133364210762</v>
      </c>
      <c r="J59" s="180" t="str">
        <f t="shared" ref="J59:J69" si="18">J13</f>
        <v>--</v>
      </c>
      <c r="K59" s="168">
        <f>(EXP(C59/8267)*EXP(-G59/8033)-1)*1000</f>
        <v>-19.046607955806039</v>
      </c>
      <c r="L59" s="180" t="str">
        <f t="shared" ref="L59:L69" si="19">L13</f>
        <v>±</v>
      </c>
      <c r="M59" s="169">
        <f>I59/8.033</f>
        <v>1.0731623722670331</v>
      </c>
    </row>
    <row r="60" spans="2:14" x14ac:dyDescent="0.2">
      <c r="B60" s="163">
        <v>771</v>
      </c>
      <c r="C60" s="161">
        <f>1950-B60</f>
        <v>1179</v>
      </c>
      <c r="D60" s="339">
        <v>0.85109694909785638</v>
      </c>
      <c r="E60" s="178" t="str">
        <f t="shared" si="16"/>
        <v>±</v>
      </c>
      <c r="F60" s="339">
        <v>1.6085072198885242E-3</v>
      </c>
      <c r="G60" s="165">
        <f>-8033*LN(D60)</f>
        <v>1295.1544300009286</v>
      </c>
      <c r="H60" s="178" t="str">
        <f t="shared" si="17"/>
        <v>±</v>
      </c>
      <c r="I60" s="165">
        <f>F60/D60*8033</f>
        <v>15.181746933837127</v>
      </c>
      <c r="J60" s="180" t="str">
        <f t="shared" si="18"/>
        <v>--</v>
      </c>
      <c r="K60" s="168">
        <f>(EXP(C60/8267)*EXP(-G60/8033)-1)*1000</f>
        <v>-18.441845157323613</v>
      </c>
      <c r="L60" s="180" t="str">
        <f t="shared" si="19"/>
        <v>±</v>
      </c>
      <c r="M60" s="169">
        <f>I60/8.033</f>
        <v>1.8899224366783429</v>
      </c>
    </row>
    <row r="61" spans="2:14" x14ac:dyDescent="0.2">
      <c r="B61" s="332">
        <f>B14</f>
        <v>772</v>
      </c>
      <c r="C61" s="161">
        <f>1950-B61</f>
        <v>1178</v>
      </c>
      <c r="D61" s="178">
        <f>(D14*N14+D47*N47)/(N47+N14)</f>
        <v>0.85279764073739117</v>
      </c>
      <c r="E61" s="178" t="str">
        <f t="shared" si="16"/>
        <v>±</v>
      </c>
      <c r="F61" s="178">
        <f>1/SQRT(N47+N14)</f>
        <v>9.0744958206356852E-4</v>
      </c>
      <c r="G61" s="165">
        <f t="shared" ref="G61:G69" si="20">-8033*LN(D61)</f>
        <v>1279.1186252525993</v>
      </c>
      <c r="H61" s="178" t="str">
        <f t="shared" si="17"/>
        <v>±</v>
      </c>
      <c r="I61" s="165">
        <f t="shared" ref="I61:I69" si="21">F61/D61*8033</f>
        <v>8.5477986154060819</v>
      </c>
      <c r="J61" s="180" t="str">
        <f t="shared" si="18"/>
        <v>--</v>
      </c>
      <c r="K61" s="168">
        <f t="shared" ref="K61:K69" si="22">(EXP(C61/8267)*EXP(-G61/8033)-1)*1000</f>
        <v>-16.599423526886923</v>
      </c>
      <c r="L61" s="180" t="str">
        <f t="shared" si="19"/>
        <v>±</v>
      </c>
      <c r="M61" s="169">
        <f t="shared" ref="M61:M69" si="23">I61/8.033</f>
        <v>1.0640854743440908</v>
      </c>
    </row>
    <row r="62" spans="2:14" x14ac:dyDescent="0.2">
      <c r="B62" s="163">
        <v>773</v>
      </c>
      <c r="C62" s="161">
        <f>1950-B62</f>
        <v>1177</v>
      </c>
      <c r="D62" s="339">
        <v>0.85049615832807823</v>
      </c>
      <c r="E62" s="178" t="str">
        <f t="shared" si="16"/>
        <v>±</v>
      </c>
      <c r="F62" s="339">
        <v>1.6084573029518353E-3</v>
      </c>
      <c r="G62" s="165">
        <f t="shared" si="20"/>
        <v>1300.8269405830558</v>
      </c>
      <c r="H62" s="178" t="str">
        <f t="shared" si="17"/>
        <v>±</v>
      </c>
      <c r="I62" s="165">
        <f t="shared" si="21"/>
        <v>15.191999855721779</v>
      </c>
      <c r="J62" s="180" t="str">
        <f t="shared" si="18"/>
        <v>--</v>
      </c>
      <c r="K62" s="168">
        <f t="shared" si="22"/>
        <v>-19.371996555815564</v>
      </c>
      <c r="L62" s="180" t="str">
        <f t="shared" si="19"/>
        <v>±</v>
      </c>
      <c r="M62" s="169">
        <f t="shared" si="23"/>
        <v>1.8911987869689755</v>
      </c>
    </row>
    <row r="63" spans="2:14" x14ac:dyDescent="0.2">
      <c r="B63" s="332">
        <f t="shared" ref="B63:B69" si="24">B15</f>
        <v>774</v>
      </c>
      <c r="C63" s="161">
        <f t="shared" ref="C63:C69" si="25">1950-B63</f>
        <v>1176</v>
      </c>
      <c r="D63" s="178">
        <f t="shared" ref="D63:D69" si="26">(D15*N15+D49*N49)/(N49+N15)</f>
        <v>0.85134465649050861</v>
      </c>
      <c r="E63" s="178" t="str">
        <f t="shared" si="16"/>
        <v>±</v>
      </c>
      <c r="F63" s="178">
        <f t="shared" ref="F63:F69" si="27">1/SQRT(N49+N15)</f>
        <v>1.0844128104250286E-3</v>
      </c>
      <c r="G63" s="165">
        <f>-8033*LN(D63)</f>
        <v>1292.8168067982467</v>
      </c>
      <c r="H63" s="178" t="str">
        <f t="shared" si="17"/>
        <v>±</v>
      </c>
      <c r="I63" s="165">
        <f t="shared" si="21"/>
        <v>10.232152207372634</v>
      </c>
      <c r="J63" s="180" t="str">
        <f t="shared" si="18"/>
        <v>--</v>
      </c>
      <c r="K63" s="168">
        <f t="shared" si="22"/>
        <v>-18.512402987547418</v>
      </c>
      <c r="L63" s="180" t="str">
        <f t="shared" si="19"/>
        <v>±</v>
      </c>
      <c r="M63" s="169">
        <f t="shared" si="23"/>
        <v>1.2737647463429147</v>
      </c>
    </row>
    <row r="64" spans="2:14" x14ac:dyDescent="0.2">
      <c r="B64" s="332">
        <f t="shared" si="24"/>
        <v>775</v>
      </c>
      <c r="C64" s="161">
        <f t="shared" si="25"/>
        <v>1175</v>
      </c>
      <c r="D64" s="178">
        <f t="shared" si="26"/>
        <v>0.86046732181335051</v>
      </c>
      <c r="E64" s="178" t="str">
        <f t="shared" si="16"/>
        <v>±</v>
      </c>
      <c r="F64" s="178">
        <f t="shared" si="27"/>
        <v>1.2748842815392763E-3</v>
      </c>
      <c r="G64" s="165">
        <f t="shared" si="20"/>
        <v>1207.1963470285925</v>
      </c>
      <c r="H64" s="178" t="str">
        <f t="shared" si="17"/>
        <v>±</v>
      </c>
      <c r="I64" s="165">
        <f t="shared" si="21"/>
        <v>11.901841213473158</v>
      </c>
      <c r="J64" s="180" t="str">
        <f t="shared" si="18"/>
        <v>--</v>
      </c>
      <c r="K64" s="168">
        <f t="shared" si="22"/>
        <v>-8.1151669904452319</v>
      </c>
      <c r="L64" s="180" t="str">
        <f t="shared" si="19"/>
        <v>±</v>
      </c>
      <c r="M64" s="169">
        <f t="shared" si="23"/>
        <v>1.4816184754728194</v>
      </c>
    </row>
    <row r="65" spans="2:13" x14ac:dyDescent="0.2">
      <c r="B65" s="332">
        <f t="shared" si="24"/>
        <v>776</v>
      </c>
      <c r="C65" s="161">
        <f t="shared" si="25"/>
        <v>1174</v>
      </c>
      <c r="D65" s="178">
        <f t="shared" si="26"/>
        <v>0.86428953314102319</v>
      </c>
      <c r="E65" s="178" t="str">
        <f t="shared" si="16"/>
        <v>±</v>
      </c>
      <c r="F65" s="178">
        <f t="shared" si="27"/>
        <v>1.1256480798702592E-3</v>
      </c>
      <c r="G65" s="165">
        <f t="shared" si="20"/>
        <v>1171.5926342272978</v>
      </c>
      <c r="H65" s="178" t="str">
        <f t="shared" si="17"/>
        <v>±</v>
      </c>
      <c r="I65" s="165">
        <f t="shared" si="21"/>
        <v>10.462154959502888</v>
      </c>
      <c r="J65" s="180" t="str">
        <f t="shared" si="18"/>
        <v>--</v>
      </c>
      <c r="K65" s="168">
        <f t="shared" si="22"/>
        <v>-3.8297036139351981</v>
      </c>
      <c r="L65" s="180" t="str">
        <f t="shared" si="19"/>
        <v>±</v>
      </c>
      <c r="M65" s="169">
        <f t="shared" si="23"/>
        <v>1.3023969823855208</v>
      </c>
    </row>
    <row r="66" spans="2:13" x14ac:dyDescent="0.2">
      <c r="B66" s="332">
        <f t="shared" si="24"/>
        <v>777</v>
      </c>
      <c r="C66" s="161">
        <f t="shared" si="25"/>
        <v>1173</v>
      </c>
      <c r="D66" s="178">
        <f t="shared" si="26"/>
        <v>0.86473126535649714</v>
      </c>
      <c r="E66" s="178" t="str">
        <f t="shared" si="16"/>
        <v>±</v>
      </c>
      <c r="F66" s="178">
        <f t="shared" si="27"/>
        <v>1.2859667855316954E-3</v>
      </c>
      <c r="G66" s="165">
        <f t="shared" si="20"/>
        <v>1167.4880740424944</v>
      </c>
      <c r="H66" s="178" t="str">
        <f t="shared" si="17"/>
        <v>±</v>
      </c>
      <c r="I66" s="165">
        <f t="shared" si="21"/>
        <v>11.946105804231973</v>
      </c>
      <c r="J66" s="180" t="str">
        <f t="shared" si="18"/>
        <v>--</v>
      </c>
      <c r="K66" s="168">
        <f t="shared" si="22"/>
        <v>-3.4411219886166799</v>
      </c>
      <c r="L66" s="180" t="str">
        <f t="shared" si="19"/>
        <v>±</v>
      </c>
      <c r="M66" s="169">
        <f t="shared" si="23"/>
        <v>1.4871288191500029</v>
      </c>
    </row>
    <row r="67" spans="2:13" x14ac:dyDescent="0.2">
      <c r="B67" s="332">
        <f t="shared" si="24"/>
        <v>778</v>
      </c>
      <c r="C67" s="161">
        <f t="shared" si="25"/>
        <v>1172</v>
      </c>
      <c r="D67" s="178">
        <f t="shared" si="26"/>
        <v>0.86374171143774858</v>
      </c>
      <c r="E67" s="178" t="str">
        <f t="shared" si="16"/>
        <v>±</v>
      </c>
      <c r="F67" s="178">
        <f t="shared" si="27"/>
        <v>1.1143439979554891E-3</v>
      </c>
      <c r="G67" s="165">
        <f t="shared" si="20"/>
        <v>1176.6858892290645</v>
      </c>
      <c r="H67" s="178" t="str">
        <f t="shared" si="17"/>
        <v>±</v>
      </c>
      <c r="I67" s="165">
        <f t="shared" si="21"/>
        <v>10.363659896285553</v>
      </c>
      <c r="J67" s="180" t="str">
        <f t="shared" si="18"/>
        <v>--</v>
      </c>
      <c r="K67" s="168">
        <f t="shared" si="22"/>
        <v>-4.7019340238912966</v>
      </c>
      <c r="L67" s="180" t="str">
        <f t="shared" si="19"/>
        <v>±</v>
      </c>
      <c r="M67" s="169">
        <f t="shared" si="23"/>
        <v>1.2901356773665571</v>
      </c>
    </row>
    <row r="68" spans="2:13" x14ac:dyDescent="0.2">
      <c r="B68" s="332">
        <f t="shared" si="24"/>
        <v>779</v>
      </c>
      <c r="C68" s="161">
        <f t="shared" si="25"/>
        <v>1171</v>
      </c>
      <c r="D68" s="178">
        <f t="shared" si="26"/>
        <v>0.86186667395633576</v>
      </c>
      <c r="E68" s="178" t="str">
        <f t="shared" si="16"/>
        <v>±</v>
      </c>
      <c r="F68" s="178">
        <f t="shared" si="27"/>
        <v>1.2805520824725109E-3</v>
      </c>
      <c r="G68" s="165">
        <f t="shared" si="20"/>
        <v>1194.1431317223173</v>
      </c>
      <c r="H68" s="178" t="str">
        <f t="shared" si="17"/>
        <v>±</v>
      </c>
      <c r="I68" s="165">
        <f t="shared" si="21"/>
        <v>11.935343585431205</v>
      </c>
      <c r="J68" s="180" t="str">
        <f t="shared" si="18"/>
        <v>--</v>
      </c>
      <c r="K68" s="168">
        <f t="shared" si="22"/>
        <v>-6.9826836323775288</v>
      </c>
      <c r="L68" s="180" t="str">
        <f t="shared" si="19"/>
        <v>±</v>
      </c>
      <c r="M68" s="169">
        <f t="shared" si="23"/>
        <v>1.4857890682722776</v>
      </c>
    </row>
    <row r="69" spans="2:13" x14ac:dyDescent="0.2">
      <c r="B69" s="332">
        <f t="shared" si="24"/>
        <v>780</v>
      </c>
      <c r="C69" s="161">
        <f t="shared" si="25"/>
        <v>1170</v>
      </c>
      <c r="D69" s="178">
        <f t="shared" si="26"/>
        <v>0.86277475896500877</v>
      </c>
      <c r="E69" s="178" t="str">
        <f t="shared" si="16"/>
        <v>±</v>
      </c>
      <c r="F69" s="178">
        <f t="shared" si="27"/>
        <v>1.1090431629519123E-3</v>
      </c>
      <c r="G69" s="165">
        <f t="shared" si="20"/>
        <v>1185.6838109504208</v>
      </c>
      <c r="H69" s="178" t="str">
        <f t="shared" si="17"/>
        <v>±</v>
      </c>
      <c r="I69" s="165">
        <f t="shared" si="21"/>
        <v>10.325920682566037</v>
      </c>
      <c r="J69" s="180" t="str">
        <f t="shared" si="18"/>
        <v>--</v>
      </c>
      <c r="K69" s="168">
        <f t="shared" si="22"/>
        <v>-6.0566524227161356</v>
      </c>
      <c r="L69" s="180" t="str">
        <f t="shared" si="19"/>
        <v>±</v>
      </c>
      <c r="M69" s="169">
        <f t="shared" si="23"/>
        <v>1.2854376549939048</v>
      </c>
    </row>
  </sheetData>
  <mergeCells count="10">
    <mergeCell ref="D3:F3"/>
    <mergeCell ref="G3:I3"/>
    <mergeCell ref="K3:M3"/>
    <mergeCell ref="B57:M57"/>
    <mergeCell ref="D58:F58"/>
    <mergeCell ref="G58:I58"/>
    <mergeCell ref="K58:M58"/>
    <mergeCell ref="D44:F44"/>
    <mergeCell ref="G44:I44"/>
    <mergeCell ref="K44:M44"/>
  </mergeCells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"/>
  <sheetViews>
    <sheetView workbookViewId="0">
      <selection activeCell="O1" sqref="O1:AQ1048576"/>
    </sheetView>
  </sheetViews>
  <sheetFormatPr baseColWidth="10" defaultColWidth="11" defaultRowHeight="16" x14ac:dyDescent="0.2"/>
  <cols>
    <col min="1" max="1" width="13.1640625" customWidth="1"/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  <col min="15" max="42" width="0" hidden="1" customWidth="1"/>
    <col min="43" max="43" width="11" hidden="1" customWidth="1"/>
  </cols>
  <sheetData>
    <row r="1" spans="1:35" s="225" customFormat="1" ht="14" x14ac:dyDescent="0.2"/>
    <row r="2" spans="1:35" s="225" customFormat="1" ht="14" x14ac:dyDescent="0.2">
      <c r="A2" s="227"/>
      <c r="H2" s="227"/>
    </row>
    <row r="4" spans="1:35" x14ac:dyDescent="0.2">
      <c r="A4" s="1" t="s">
        <v>300</v>
      </c>
      <c r="F4" s="19"/>
      <c r="G4" s="19"/>
      <c r="O4" s="153" t="s">
        <v>301</v>
      </c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</row>
    <row r="5" spans="1:35" x14ac:dyDescent="0.2"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</row>
    <row r="6" spans="1:35" x14ac:dyDescent="0.2">
      <c r="A6" s="148"/>
      <c r="B6" s="148" t="s">
        <v>17</v>
      </c>
      <c r="C6" s="149" t="s">
        <v>15</v>
      </c>
      <c r="D6" s="345" t="s">
        <v>1</v>
      </c>
      <c r="E6" s="345"/>
      <c r="F6" s="345"/>
      <c r="G6" s="345" t="s">
        <v>2</v>
      </c>
      <c r="H6" s="345"/>
      <c r="I6" s="345"/>
      <c r="J6" s="148" t="s">
        <v>3</v>
      </c>
      <c r="K6" s="346" t="s">
        <v>16</v>
      </c>
      <c r="L6" s="345"/>
      <c r="M6" s="345"/>
      <c r="O6" s="154" t="s">
        <v>302</v>
      </c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</row>
    <row r="7" spans="1:35" x14ac:dyDescent="0.2">
      <c r="A7" t="str">
        <f>"ETH-"&amp;O9</f>
        <v>ETH-61154.1.1</v>
      </c>
      <c r="B7">
        <v>770</v>
      </c>
      <c r="C7">
        <f>1950-B7</f>
        <v>1180</v>
      </c>
      <c r="D7" s="26">
        <f>U9</f>
        <v>0.8481555156701005</v>
      </c>
      <c r="E7" s="2" t="s">
        <v>5</v>
      </c>
      <c r="F7" s="13">
        <f>V9</f>
        <v>2.0605186548831532E-3</v>
      </c>
      <c r="G7" s="12">
        <f>-8033*LN(D7)</f>
        <v>1322.964962944596</v>
      </c>
      <c r="H7" s="66" t="s">
        <v>5</v>
      </c>
      <c r="I7" s="12">
        <f>F7/D7*8033</f>
        <v>19.515461550231208</v>
      </c>
      <c r="J7" s="5">
        <f>Y9</f>
        <v>-21.464775277161063</v>
      </c>
      <c r="K7" s="9">
        <f>(EXP(C7/8267)*EXP(-G7/8033)-1)*1000</f>
        <v>-21.715830108573584</v>
      </c>
      <c r="L7" s="2" t="s">
        <v>5</v>
      </c>
      <c r="M7" s="14">
        <f>I7/8.033</f>
        <v>2.4294113718699375</v>
      </c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</row>
    <row r="8" spans="1:35" ht="16.25" customHeight="1" x14ac:dyDescent="0.2">
      <c r="A8" t="str">
        <f t="shared" ref="A8:A17" si="0">"ETH-"&amp;O10</f>
        <v>ETH-61155.1.1</v>
      </c>
      <c r="B8">
        <v>771</v>
      </c>
      <c r="C8">
        <f t="shared" ref="C8:C17" si="1">1950-B8</f>
        <v>1179</v>
      </c>
      <c r="D8" s="26">
        <f t="shared" ref="D8:D17" si="2">U10</f>
        <v>0.85020496899178299</v>
      </c>
      <c r="E8" s="2" t="s">
        <v>5</v>
      </c>
      <c r="F8" s="13">
        <f t="shared" ref="F8:F17" si="3">V10</f>
        <v>2.0769557646141338E-3</v>
      </c>
      <c r="G8" s="12">
        <f t="shared" ref="G8:G17" si="4">-8033*LN(D8)</f>
        <v>1303.5777166291721</v>
      </c>
      <c r="H8" s="66" t="s">
        <v>5</v>
      </c>
      <c r="I8" s="12">
        <f t="shared" ref="I8:I17" si="5">F8/D8*8033</f>
        <v>19.623721650239595</v>
      </c>
      <c r="J8" s="5">
        <f t="shared" ref="J8:J17" si="6">Y10</f>
        <v>-20.880447663285786</v>
      </c>
      <c r="K8" s="9">
        <f t="shared" ref="K8:K17" si="7">(EXP(C8/8267)*EXP(-G8/8033)-1)*1000</f>
        <v>-19.470553282763149</v>
      </c>
      <c r="L8" s="2" t="s">
        <v>5</v>
      </c>
      <c r="M8" s="14">
        <f t="shared" ref="M8:M17" si="8">I8/8.033</f>
        <v>2.4428882920751396</v>
      </c>
      <c r="O8" s="60" t="s">
        <v>166</v>
      </c>
      <c r="P8" s="60" t="s">
        <v>167</v>
      </c>
      <c r="Q8" s="60" t="s">
        <v>168</v>
      </c>
      <c r="R8" s="60" t="s">
        <v>169</v>
      </c>
      <c r="S8" s="60" t="s">
        <v>170</v>
      </c>
      <c r="T8" s="60" t="s">
        <v>303</v>
      </c>
      <c r="U8" s="60" t="s">
        <v>153</v>
      </c>
      <c r="V8" s="60" t="s">
        <v>178</v>
      </c>
      <c r="W8" s="60" t="s">
        <v>179</v>
      </c>
      <c r="X8" s="60" t="s">
        <v>180</v>
      </c>
      <c r="Y8" s="60" t="s">
        <v>181</v>
      </c>
      <c r="Z8" s="155" t="s">
        <v>171</v>
      </c>
      <c r="AA8" s="155" t="s">
        <v>172</v>
      </c>
      <c r="AB8" s="155" t="s">
        <v>173</v>
      </c>
      <c r="AC8" s="155" t="s">
        <v>174</v>
      </c>
      <c r="AD8" s="60" t="s">
        <v>175</v>
      </c>
      <c r="AE8" s="155" t="s">
        <v>176</v>
      </c>
      <c r="AF8" s="60" t="s">
        <v>177</v>
      </c>
      <c r="AG8" s="155" t="s">
        <v>182</v>
      </c>
      <c r="AH8" s="60" t="s">
        <v>296</v>
      </c>
      <c r="AI8" s="60" t="s">
        <v>297</v>
      </c>
    </row>
    <row r="9" spans="1:35" x14ac:dyDescent="0.2">
      <c r="A9" t="str">
        <f t="shared" si="0"/>
        <v>ETH-61156.1.1</v>
      </c>
      <c r="B9">
        <v>772</v>
      </c>
      <c r="C9">
        <f t="shared" si="1"/>
        <v>1178</v>
      </c>
      <c r="D9" s="26">
        <f t="shared" si="2"/>
        <v>0.85033371730000651</v>
      </c>
      <c r="E9" s="2" t="s">
        <v>5</v>
      </c>
      <c r="F9" s="13">
        <f t="shared" si="3"/>
        <v>2.0783270368627729E-3</v>
      </c>
      <c r="G9" s="12">
        <f t="shared" si="4"/>
        <v>1302.3613548136218</v>
      </c>
      <c r="H9" s="66" t="s">
        <v>5</v>
      </c>
      <c r="I9" s="12">
        <f t="shared" si="5"/>
        <v>19.633704682591592</v>
      </c>
      <c r="J9" s="5">
        <f t="shared" si="6"/>
        <v>-20.707788321590037</v>
      </c>
      <c r="K9" s="9">
        <f t="shared" si="7"/>
        <v>-19.440688104746862</v>
      </c>
      <c r="L9" s="2" t="s">
        <v>5</v>
      </c>
      <c r="M9" s="14">
        <f t="shared" si="8"/>
        <v>2.4441310447642963</v>
      </c>
      <c r="O9" s="156" t="s">
        <v>304</v>
      </c>
      <c r="P9" s="156" t="s">
        <v>305</v>
      </c>
      <c r="Q9" s="156" t="s">
        <v>216</v>
      </c>
      <c r="R9" s="156" t="s">
        <v>300</v>
      </c>
      <c r="S9" s="156" t="s">
        <v>306</v>
      </c>
      <c r="T9" s="157">
        <v>61154</v>
      </c>
      <c r="U9" s="34">
        <v>0.8481555156701005</v>
      </c>
      <c r="V9" s="34">
        <v>2.0605186548831532E-3</v>
      </c>
      <c r="W9" s="32">
        <v>1322.9527738144034</v>
      </c>
      <c r="X9" s="32">
        <v>19.515281744636752</v>
      </c>
      <c r="Y9" s="36">
        <v>-21.464775277161063</v>
      </c>
      <c r="Z9" s="32">
        <v>252517</v>
      </c>
      <c r="AA9" s="33">
        <v>44.558246482617228</v>
      </c>
      <c r="AB9" s="33">
        <v>17.790847667151144</v>
      </c>
      <c r="AC9" s="54">
        <v>0.85282162200184175</v>
      </c>
      <c r="AD9" s="35">
        <v>0.19901880003768999</v>
      </c>
      <c r="AE9" s="54">
        <v>1.0320818514423684</v>
      </c>
      <c r="AF9" s="55">
        <v>0.11820729608542643</v>
      </c>
      <c r="AG9" s="55">
        <v>0.926164750782282</v>
      </c>
      <c r="AH9" s="32">
        <v>-656</v>
      </c>
      <c r="AI9" s="32">
        <v>-763</v>
      </c>
    </row>
    <row r="10" spans="1:35" x14ac:dyDescent="0.2">
      <c r="A10" t="str">
        <f t="shared" si="0"/>
        <v>ETH-61157.1.1</v>
      </c>
      <c r="B10">
        <v>773</v>
      </c>
      <c r="C10">
        <f t="shared" si="1"/>
        <v>1177</v>
      </c>
      <c r="D10" s="26">
        <f t="shared" si="2"/>
        <v>0.85154959684501985</v>
      </c>
      <c r="E10" s="2" t="s">
        <v>5</v>
      </c>
      <c r="F10" s="13">
        <f t="shared" si="3"/>
        <v>2.0682869010753909E-3</v>
      </c>
      <c r="G10" s="12">
        <f t="shared" si="4"/>
        <v>1290.8832916988654</v>
      </c>
      <c r="H10" s="66" t="s">
        <v>5</v>
      </c>
      <c r="I10" s="12">
        <f t="shared" si="5"/>
        <v>19.510958302247225</v>
      </c>
      <c r="J10" s="5">
        <f t="shared" si="6"/>
        <v>-22.573540995649232</v>
      </c>
      <c r="K10" s="9">
        <f t="shared" si="7"/>
        <v>-18.157374597204456</v>
      </c>
      <c r="L10" s="2" t="s">
        <v>5</v>
      </c>
      <c r="M10" s="14">
        <f t="shared" si="8"/>
        <v>2.4288507783203319</v>
      </c>
      <c r="O10" s="156" t="s">
        <v>307</v>
      </c>
      <c r="P10" s="156" t="s">
        <v>305</v>
      </c>
      <c r="Q10" s="156" t="s">
        <v>217</v>
      </c>
      <c r="R10" s="156" t="s">
        <v>300</v>
      </c>
      <c r="S10" s="156" t="s">
        <v>306</v>
      </c>
      <c r="T10" s="157">
        <v>61155</v>
      </c>
      <c r="U10" s="34">
        <v>0.85020496899178299</v>
      </c>
      <c r="V10" s="34">
        <v>2.0769557646141338E-3</v>
      </c>
      <c r="W10" s="32">
        <v>1303.5657061232635</v>
      </c>
      <c r="X10" s="32">
        <v>19.623540847191322</v>
      </c>
      <c r="Y10" s="36">
        <v>-20.880447663285786</v>
      </c>
      <c r="Z10" s="32">
        <v>248486</v>
      </c>
      <c r="AA10" s="33">
        <v>43.721884172512446</v>
      </c>
      <c r="AB10" s="33">
        <v>17.456639951503558</v>
      </c>
      <c r="AC10" s="54">
        <v>0.85512385405391467</v>
      </c>
      <c r="AD10" s="35">
        <v>0.20062628867955731</v>
      </c>
      <c r="AE10" s="54">
        <v>1.0316575310330869</v>
      </c>
      <c r="AF10" s="55">
        <v>0.11376545952385005</v>
      </c>
      <c r="AG10" s="55">
        <v>0.95856855199069313</v>
      </c>
      <c r="AH10" s="32">
        <v>-663</v>
      </c>
      <c r="AI10" s="32">
        <v>-766</v>
      </c>
    </row>
    <row r="11" spans="1:35" x14ac:dyDescent="0.2">
      <c r="A11" t="str">
        <f t="shared" si="0"/>
        <v>ETH-61158.1.1</v>
      </c>
      <c r="B11">
        <v>774</v>
      </c>
      <c r="C11">
        <f t="shared" si="1"/>
        <v>1176</v>
      </c>
      <c r="D11" s="26">
        <f t="shared" si="2"/>
        <v>0.85336572945317812</v>
      </c>
      <c r="E11" s="2" t="s">
        <v>5</v>
      </c>
      <c r="F11" s="13">
        <f t="shared" si="3"/>
        <v>2.0741323305424851E-3</v>
      </c>
      <c r="G11" s="12">
        <f t="shared" si="4"/>
        <v>1273.7692467554532</v>
      </c>
      <c r="H11" s="66" t="s">
        <v>5</v>
      </c>
      <c r="I11" s="12">
        <f t="shared" si="5"/>
        <v>19.524459954495928</v>
      </c>
      <c r="J11" s="5">
        <f t="shared" si="6"/>
        <v>-22.512964411394719</v>
      </c>
      <c r="K11" s="9">
        <f t="shared" si="7"/>
        <v>-16.182373627059544</v>
      </c>
      <c r="L11" s="2" t="s">
        <v>5</v>
      </c>
      <c r="M11" s="14">
        <f t="shared" si="8"/>
        <v>2.4305315516613879</v>
      </c>
      <c r="O11" s="156" t="s">
        <v>308</v>
      </c>
      <c r="P11" s="156" t="s">
        <v>305</v>
      </c>
      <c r="Q11" s="156" t="s">
        <v>218</v>
      </c>
      <c r="R11" s="156" t="s">
        <v>300</v>
      </c>
      <c r="S11" s="156" t="s">
        <v>306</v>
      </c>
      <c r="T11" s="157">
        <v>61156</v>
      </c>
      <c r="U11" s="34">
        <v>0.85033371730000651</v>
      </c>
      <c r="V11" s="34">
        <v>2.0783270368627729E-3</v>
      </c>
      <c r="W11" s="32">
        <v>1302.3493555146561</v>
      </c>
      <c r="X11" s="32">
        <v>19.633523787564709</v>
      </c>
      <c r="Y11" s="36">
        <v>-20.707788321590037</v>
      </c>
      <c r="Z11" s="32">
        <v>247494</v>
      </c>
      <c r="AA11" s="33">
        <v>43.557127168876377</v>
      </c>
      <c r="AB11" s="33">
        <v>17.390807746710113</v>
      </c>
      <c r="AC11" s="54">
        <v>0.85494031119843017</v>
      </c>
      <c r="AD11" s="35">
        <v>0.20102787050598497</v>
      </c>
      <c r="AE11" s="54">
        <v>1.0315460147774289</v>
      </c>
      <c r="AF11" s="55">
        <v>0.10449484917061191</v>
      </c>
      <c r="AG11" s="55">
        <v>0.78920985340413485</v>
      </c>
      <c r="AH11" s="32">
        <v>-663</v>
      </c>
      <c r="AI11" s="32">
        <v>-766</v>
      </c>
    </row>
    <row r="12" spans="1:35" x14ac:dyDescent="0.2">
      <c r="A12" t="str">
        <f t="shared" si="0"/>
        <v>ETH-61159.1.1</v>
      </c>
      <c r="B12">
        <v>775</v>
      </c>
      <c r="C12">
        <f t="shared" si="1"/>
        <v>1175</v>
      </c>
      <c r="D12" s="26">
        <f t="shared" si="2"/>
        <v>0.86413463061248308</v>
      </c>
      <c r="E12" s="2" t="s">
        <v>5</v>
      </c>
      <c r="F12" s="13">
        <f t="shared" si="3"/>
        <v>2.0832488247405291E-3</v>
      </c>
      <c r="G12" s="12">
        <f t="shared" si="4"/>
        <v>1173.0324798869326</v>
      </c>
      <c r="H12" s="66" t="s">
        <v>5</v>
      </c>
      <c r="I12" s="12">
        <f t="shared" si="5"/>
        <v>19.365891860252596</v>
      </c>
      <c r="J12" s="5">
        <f t="shared" si="6"/>
        <v>-21.224685446681214</v>
      </c>
      <c r="K12" s="9">
        <f t="shared" si="7"/>
        <v>-3.8877572055433518</v>
      </c>
      <c r="L12" s="2" t="s">
        <v>5</v>
      </c>
      <c r="M12" s="14">
        <f t="shared" si="8"/>
        <v>2.4107919656731727</v>
      </c>
      <c r="O12" s="156" t="s">
        <v>309</v>
      </c>
      <c r="P12" s="156" t="s">
        <v>305</v>
      </c>
      <c r="Q12" s="156" t="s">
        <v>219</v>
      </c>
      <c r="R12" s="156" t="s">
        <v>300</v>
      </c>
      <c r="S12" s="156" t="s">
        <v>306</v>
      </c>
      <c r="T12" s="157">
        <v>61157</v>
      </c>
      <c r="U12" s="34">
        <v>0.85154959684501985</v>
      </c>
      <c r="V12" s="34">
        <v>2.0682869010753909E-3</v>
      </c>
      <c r="W12" s="32">
        <v>1290.871398152969</v>
      </c>
      <c r="X12" s="32">
        <v>19.51077853814342</v>
      </c>
      <c r="Y12" s="36">
        <v>-22.573540995649232</v>
      </c>
      <c r="Z12" s="32">
        <v>252463</v>
      </c>
      <c r="AA12" s="33">
        <v>44.474662829184432</v>
      </c>
      <c r="AB12" s="33">
        <v>17.757449612460832</v>
      </c>
      <c r="AC12" s="54">
        <v>0.85404605199824513</v>
      </c>
      <c r="AD12" s="35">
        <v>0.19904005583970957</v>
      </c>
      <c r="AE12" s="54">
        <v>1.030725705751885</v>
      </c>
      <c r="AF12" s="55">
        <v>9.7033513463791354E-2</v>
      </c>
      <c r="AG12" s="55">
        <v>0.88460104531836281</v>
      </c>
      <c r="AH12" s="32">
        <v>-668</v>
      </c>
      <c r="AI12" s="32">
        <v>-767</v>
      </c>
    </row>
    <row r="13" spans="1:35" x14ac:dyDescent="0.2">
      <c r="A13" t="str">
        <f t="shared" si="0"/>
        <v>ETH-61160.1.1</v>
      </c>
      <c r="B13">
        <v>776</v>
      </c>
      <c r="C13">
        <f t="shared" si="1"/>
        <v>1174</v>
      </c>
      <c r="D13" s="26">
        <f t="shared" si="2"/>
        <v>0.86946802489013053</v>
      </c>
      <c r="E13" s="2" t="s">
        <v>5</v>
      </c>
      <c r="F13" s="13">
        <f t="shared" si="3"/>
        <v>2.0804669174926999E-3</v>
      </c>
      <c r="G13" s="12">
        <f t="shared" si="4"/>
        <v>1123.6055927471018</v>
      </c>
      <c r="H13" s="66" t="s">
        <v>5</v>
      </c>
      <c r="I13" s="12">
        <f t="shared" si="5"/>
        <v>19.221397762534973</v>
      </c>
      <c r="J13" s="5">
        <f t="shared" si="6"/>
        <v>-22.057798776154769</v>
      </c>
      <c r="K13" s="9">
        <f t="shared" si="7"/>
        <v>2.13896714133055</v>
      </c>
      <c r="L13" s="2" t="s">
        <v>5</v>
      </c>
      <c r="M13" s="14">
        <f t="shared" si="8"/>
        <v>2.3928044021579704</v>
      </c>
      <c r="O13" s="156" t="s">
        <v>310</v>
      </c>
      <c r="P13" s="156" t="s">
        <v>305</v>
      </c>
      <c r="Q13" s="156" t="s">
        <v>298</v>
      </c>
      <c r="R13" s="156" t="s">
        <v>300</v>
      </c>
      <c r="S13" s="156" t="s">
        <v>306</v>
      </c>
      <c r="T13" s="157">
        <v>61158</v>
      </c>
      <c r="U13" s="34">
        <v>0.85336572945317812</v>
      </c>
      <c r="V13" s="34">
        <v>2.0741323305424851E-3</v>
      </c>
      <c r="W13" s="32">
        <v>1273.7575108897129</v>
      </c>
      <c r="X13" s="32">
        <v>19.524280065994727</v>
      </c>
      <c r="Y13" s="36">
        <v>-22.512964411394719</v>
      </c>
      <c r="Z13" s="32">
        <v>251777</v>
      </c>
      <c r="AA13" s="33">
        <v>44.26532361470462</v>
      </c>
      <c r="AB13" s="33">
        <v>17.673797430002502</v>
      </c>
      <c r="AC13" s="54">
        <v>0.85579159140932659</v>
      </c>
      <c r="AD13" s="35">
        <v>0.19931102604566711</v>
      </c>
      <c r="AE13" s="54">
        <v>1.0306569063077382</v>
      </c>
      <c r="AF13" s="55">
        <v>0.1280544871435538</v>
      </c>
      <c r="AG13" s="55">
        <v>0.85422873293352497</v>
      </c>
      <c r="AH13" s="32">
        <v>-679</v>
      </c>
      <c r="AI13" s="32">
        <v>-769</v>
      </c>
    </row>
    <row r="14" spans="1:35" x14ac:dyDescent="0.2">
      <c r="A14" t="str">
        <f t="shared" si="0"/>
        <v>ETH-61161.1.1</v>
      </c>
      <c r="B14">
        <v>777</v>
      </c>
      <c r="C14">
        <f t="shared" si="1"/>
        <v>1173</v>
      </c>
      <c r="D14" s="26">
        <f t="shared" si="2"/>
        <v>0.86796165885626198</v>
      </c>
      <c r="E14" s="2" t="s">
        <v>5</v>
      </c>
      <c r="F14" s="13">
        <f t="shared" si="3"/>
        <v>2.0929189113489885E-3</v>
      </c>
      <c r="G14" s="12">
        <f t="shared" si="4"/>
        <v>1137.5349523008142</v>
      </c>
      <c r="H14" s="66" t="s">
        <v>5</v>
      </c>
      <c r="I14" s="12">
        <f t="shared" si="5"/>
        <v>19.370000325844611</v>
      </c>
      <c r="J14" s="5">
        <f t="shared" si="6"/>
        <v>-18.461799502927477</v>
      </c>
      <c r="K14" s="9">
        <f t="shared" si="7"/>
        <v>0.28174250192969374</v>
      </c>
      <c r="L14" s="2" t="s">
        <v>5</v>
      </c>
      <c r="M14" s="14">
        <f t="shared" si="8"/>
        <v>2.4113034141472194</v>
      </c>
      <c r="O14" s="156" t="s">
        <v>311</v>
      </c>
      <c r="P14" s="156" t="s">
        <v>305</v>
      </c>
      <c r="Q14" s="156" t="s">
        <v>299</v>
      </c>
      <c r="R14" s="156" t="s">
        <v>300</v>
      </c>
      <c r="S14" s="156" t="s">
        <v>306</v>
      </c>
      <c r="T14" s="157">
        <v>61159</v>
      </c>
      <c r="U14" s="34">
        <v>0.86413463061248308</v>
      </c>
      <c r="V14" s="34">
        <v>2.0832488247405291E-3</v>
      </c>
      <c r="W14" s="32">
        <v>1173.0216721588233</v>
      </c>
      <c r="X14" s="32">
        <v>19.365713432717634</v>
      </c>
      <c r="Y14" s="36">
        <v>-21.224685446681214</v>
      </c>
      <c r="Z14" s="32">
        <v>257163</v>
      </c>
      <c r="AA14" s="33">
        <v>44.528983191989084</v>
      </c>
      <c r="AB14" s="33">
        <v>17.779160953488471</v>
      </c>
      <c r="AC14" s="54">
        <v>0.86907746814902442</v>
      </c>
      <c r="AD14" s="35">
        <v>0.19721319796619582</v>
      </c>
      <c r="AE14" s="54">
        <v>1.0324142769120626</v>
      </c>
      <c r="AF14" s="55">
        <v>0.13706331795473914</v>
      </c>
      <c r="AG14" s="55">
        <v>0.83810368026394699</v>
      </c>
      <c r="AH14" s="32">
        <v>-774</v>
      </c>
      <c r="AI14" s="32">
        <v>-940</v>
      </c>
    </row>
    <row r="15" spans="1:35" x14ac:dyDescent="0.2">
      <c r="A15" t="str">
        <f t="shared" si="0"/>
        <v>ETH-61162.1.1</v>
      </c>
      <c r="B15">
        <v>778</v>
      </c>
      <c r="C15">
        <f t="shared" si="1"/>
        <v>1172</v>
      </c>
      <c r="D15" s="26">
        <f t="shared" si="2"/>
        <v>0.86556699951543448</v>
      </c>
      <c r="E15" s="2" t="s">
        <v>5</v>
      </c>
      <c r="F15" s="13">
        <f t="shared" si="3"/>
        <v>2.0779340681431791E-3</v>
      </c>
      <c r="G15" s="12">
        <f t="shared" si="4"/>
        <v>1159.7281945383686</v>
      </c>
      <c r="H15" s="66" t="s">
        <v>5</v>
      </c>
      <c r="I15" s="12">
        <f t="shared" si="5"/>
        <v>19.284520295642938</v>
      </c>
      <c r="J15" s="5">
        <f t="shared" si="6"/>
        <v>-24.395884355048693</v>
      </c>
      <c r="K15" s="9">
        <f t="shared" si="7"/>
        <v>-2.5986366266335104</v>
      </c>
      <c r="L15" s="2" t="s">
        <v>5</v>
      </c>
      <c r="M15" s="14">
        <f t="shared" si="8"/>
        <v>2.4006623049474594</v>
      </c>
      <c r="O15" s="156" t="s">
        <v>312</v>
      </c>
      <c r="P15" s="156" t="s">
        <v>305</v>
      </c>
      <c r="Q15" s="156" t="s">
        <v>220</v>
      </c>
      <c r="R15" s="156" t="s">
        <v>300</v>
      </c>
      <c r="S15" s="156" t="s">
        <v>306</v>
      </c>
      <c r="T15" s="157">
        <v>61160</v>
      </c>
      <c r="U15" s="34">
        <v>0.86946802489013053</v>
      </c>
      <c r="V15" s="34">
        <v>2.0804669174926999E-3</v>
      </c>
      <c r="W15" s="32">
        <v>1123.5952404133373</v>
      </c>
      <c r="X15" s="32">
        <v>19.221220666295562</v>
      </c>
      <c r="Y15" s="36">
        <v>-22.057798776154769</v>
      </c>
      <c r="Z15" s="32">
        <v>262915</v>
      </c>
      <c r="AA15" s="33">
        <v>45.269060796234101</v>
      </c>
      <c r="AB15" s="33">
        <v>18.074892133682877</v>
      </c>
      <c r="AC15" s="54">
        <v>0.87408436391729838</v>
      </c>
      <c r="AD15" s="35">
        <v>0.19504447603537889</v>
      </c>
      <c r="AE15" s="54">
        <v>1.0327714007767097</v>
      </c>
      <c r="AF15" s="55">
        <v>0.18402599093513389</v>
      </c>
      <c r="AG15" s="55">
        <v>0.89803148110797792</v>
      </c>
      <c r="AH15" s="32">
        <v>-887</v>
      </c>
      <c r="AI15" s="32">
        <v>-978</v>
      </c>
    </row>
    <row r="16" spans="1:35" x14ac:dyDescent="0.2">
      <c r="A16" t="str">
        <f t="shared" si="0"/>
        <v>ETH-61163.1.1</v>
      </c>
      <c r="B16">
        <v>779</v>
      </c>
      <c r="C16">
        <f t="shared" si="1"/>
        <v>1171</v>
      </c>
      <c r="D16" s="26">
        <f t="shared" si="2"/>
        <v>0.86237390301166472</v>
      </c>
      <c r="E16" s="2" t="s">
        <v>5</v>
      </c>
      <c r="F16" s="13">
        <f t="shared" si="3"/>
        <v>2.0990079989960516E-3</v>
      </c>
      <c r="G16" s="12">
        <f t="shared" si="4"/>
        <v>1189.4169105981639</v>
      </c>
      <c r="H16" s="66" t="s">
        <v>5</v>
      </c>
      <c r="I16" s="12">
        <f t="shared" si="5"/>
        <v>19.552228096247497</v>
      </c>
      <c r="J16" s="5">
        <f t="shared" si="6"/>
        <v>-21.162899222356479</v>
      </c>
      <c r="K16" s="9">
        <f t="shared" si="7"/>
        <v>-6.3982693018009851</v>
      </c>
      <c r="L16" s="2" t="s">
        <v>5</v>
      </c>
      <c r="M16" s="14">
        <f t="shared" si="8"/>
        <v>2.4339883102511513</v>
      </c>
      <c r="O16" s="156" t="s">
        <v>313</v>
      </c>
      <c r="P16" s="156" t="s">
        <v>305</v>
      </c>
      <c r="Q16" s="156" t="s">
        <v>221</v>
      </c>
      <c r="R16" s="156" t="s">
        <v>300</v>
      </c>
      <c r="S16" s="156" t="s">
        <v>306</v>
      </c>
      <c r="T16" s="157">
        <v>61161</v>
      </c>
      <c r="U16" s="34">
        <v>0.86796165885626198</v>
      </c>
      <c r="V16" s="34">
        <v>2.0929189113489885E-3</v>
      </c>
      <c r="W16" s="32">
        <v>1137.5244716289744</v>
      </c>
      <c r="X16" s="32">
        <v>19.369821860456323</v>
      </c>
      <c r="Y16" s="36">
        <v>-18.461799502927477</v>
      </c>
      <c r="Z16" s="32">
        <v>256641</v>
      </c>
      <c r="AA16" s="33">
        <v>44.005618152663715</v>
      </c>
      <c r="AB16" s="33">
        <v>17.570021007778834</v>
      </c>
      <c r="AC16" s="54">
        <v>0.87777937646235371</v>
      </c>
      <c r="AD16" s="35">
        <v>0.19741384273770884</v>
      </c>
      <c r="AE16" s="54">
        <v>1.0352664534101863</v>
      </c>
      <c r="AF16" s="55">
        <v>0.25966213260121296</v>
      </c>
      <c r="AG16" s="55">
        <v>0.84199668638637037</v>
      </c>
      <c r="AH16" s="32">
        <v>-779</v>
      </c>
      <c r="AI16" s="32">
        <v>-979</v>
      </c>
    </row>
    <row r="17" spans="1:35" x14ac:dyDescent="0.2">
      <c r="A17" t="str">
        <f t="shared" si="0"/>
        <v>ETH-61164.1.1</v>
      </c>
      <c r="B17">
        <v>780</v>
      </c>
      <c r="C17">
        <f t="shared" si="1"/>
        <v>1170</v>
      </c>
      <c r="D17" s="26">
        <f t="shared" si="2"/>
        <v>0.86459883297512563</v>
      </c>
      <c r="E17" s="2" t="s">
        <v>5</v>
      </c>
      <c r="F17" s="13">
        <f t="shared" si="3"/>
        <v>2.1110663939624377E-3</v>
      </c>
      <c r="G17" s="12">
        <f t="shared" si="4"/>
        <v>1168.7184109488644</v>
      </c>
      <c r="H17" s="66" t="s">
        <v>5</v>
      </c>
      <c r="I17" s="12">
        <f t="shared" si="5"/>
        <v>19.613947759270392</v>
      </c>
      <c r="J17" s="5">
        <f t="shared" si="6"/>
        <v>-21.806068884623443</v>
      </c>
      <c r="K17" s="9">
        <f t="shared" si="7"/>
        <v>-3.955262449255148</v>
      </c>
      <c r="L17" s="2" t="s">
        <v>5</v>
      </c>
      <c r="M17" s="14">
        <f t="shared" si="8"/>
        <v>2.4416715746633129</v>
      </c>
      <c r="O17" s="156" t="s">
        <v>314</v>
      </c>
      <c r="P17" s="156" t="s">
        <v>305</v>
      </c>
      <c r="Q17" s="156" t="s">
        <v>222</v>
      </c>
      <c r="R17" s="156" t="s">
        <v>300</v>
      </c>
      <c r="S17" s="156" t="s">
        <v>306</v>
      </c>
      <c r="T17" s="157">
        <v>61162</v>
      </c>
      <c r="U17" s="34">
        <v>0.86556699951543448</v>
      </c>
      <c r="V17" s="34">
        <v>2.0779340681431791E-3</v>
      </c>
      <c r="W17" s="32">
        <v>1159.717509389217</v>
      </c>
      <c r="X17" s="32">
        <v>19.284342617824421</v>
      </c>
      <c r="Y17" s="36">
        <v>-24.395884355048693</v>
      </c>
      <c r="Z17" s="32">
        <v>261176</v>
      </c>
      <c r="AA17" s="33">
        <v>45.247310277386468</v>
      </c>
      <c r="AB17" s="33">
        <v>18.066195695415665</v>
      </c>
      <c r="AC17" s="54">
        <v>0.86755819825128255</v>
      </c>
      <c r="AD17" s="35">
        <v>0.19569313983626105</v>
      </c>
      <c r="AE17" s="54">
        <v>1.0318958774498166</v>
      </c>
      <c r="AF17" s="55">
        <v>0.1854069193866785</v>
      </c>
      <c r="AG17" s="55">
        <v>0.99199253612511451</v>
      </c>
      <c r="AH17" s="32">
        <v>-776</v>
      </c>
      <c r="AI17" s="32">
        <v>-960</v>
      </c>
    </row>
    <row r="18" spans="1:35" x14ac:dyDescent="0.2">
      <c r="O18" s="156" t="s">
        <v>315</v>
      </c>
      <c r="P18" s="156" t="s">
        <v>305</v>
      </c>
      <c r="Q18" s="156" t="s">
        <v>223</v>
      </c>
      <c r="R18" s="156" t="s">
        <v>300</v>
      </c>
      <c r="S18" s="156" t="s">
        <v>306</v>
      </c>
      <c r="T18" s="157">
        <v>61163</v>
      </c>
      <c r="U18" s="34">
        <v>0.86237390301166472</v>
      </c>
      <c r="V18" s="34">
        <v>2.0990079989960516E-3</v>
      </c>
      <c r="W18" s="32">
        <v>1189.405951912195</v>
      </c>
      <c r="X18" s="32">
        <v>19.552047951904676</v>
      </c>
      <c r="Y18" s="36">
        <v>-21.162899222356479</v>
      </c>
      <c r="Z18" s="32">
        <v>250048</v>
      </c>
      <c r="AA18" s="33">
        <v>40.641174353799137</v>
      </c>
      <c r="AB18" s="33">
        <v>16.225590761936107</v>
      </c>
      <c r="AC18" s="54">
        <v>0.86413634358200975</v>
      </c>
      <c r="AD18" s="35">
        <v>0.19999801146149462</v>
      </c>
      <c r="AE18" s="54">
        <v>1.028552501040193</v>
      </c>
      <c r="AF18" s="55">
        <v>0.18525415552029117</v>
      </c>
      <c r="AG18" s="55">
        <v>0.76301236191013377</v>
      </c>
      <c r="AH18" s="32">
        <v>-774</v>
      </c>
      <c r="AI18" s="32">
        <v>-887</v>
      </c>
    </row>
    <row r="19" spans="1:35" x14ac:dyDescent="0.2">
      <c r="O19" s="156" t="s">
        <v>316</v>
      </c>
      <c r="P19" s="156" t="s">
        <v>305</v>
      </c>
      <c r="Q19" s="156" t="s">
        <v>224</v>
      </c>
      <c r="R19" s="156" t="s">
        <v>300</v>
      </c>
      <c r="S19" s="156" t="s">
        <v>306</v>
      </c>
      <c r="T19" s="157">
        <v>61164</v>
      </c>
      <c r="U19" s="34">
        <v>0.86459883297512563</v>
      </c>
      <c r="V19" s="34">
        <v>2.1110663939624377E-3</v>
      </c>
      <c r="W19" s="32">
        <v>1168.7076429684048</v>
      </c>
      <c r="X19" s="32">
        <v>19.613767046273807</v>
      </c>
      <c r="Y19" s="36">
        <v>-21.806068884623443</v>
      </c>
      <c r="Z19" s="32">
        <v>247921</v>
      </c>
      <c r="AA19" s="33">
        <v>43.029754002459697</v>
      </c>
      <c r="AB19" s="33">
        <v>17.180060764757314</v>
      </c>
      <c r="AC19" s="54">
        <v>0.86706147412389423</v>
      </c>
      <c r="AD19" s="35">
        <v>0.20085479308551085</v>
      </c>
      <c r="AE19" s="54">
        <v>1.0299287096950831</v>
      </c>
      <c r="AF19" s="55">
        <v>0.15303950369952124</v>
      </c>
      <c r="AG19" s="55">
        <v>0.85902745036967099</v>
      </c>
      <c r="AH19" s="32">
        <v>-775</v>
      </c>
      <c r="AI19" s="32">
        <v>-944</v>
      </c>
    </row>
    <row r="21" spans="1:35" x14ac:dyDescent="0.2">
      <c r="A21" s="192" t="s">
        <v>330</v>
      </c>
      <c r="B21" s="171"/>
      <c r="C21" s="171"/>
      <c r="D21" s="193"/>
      <c r="E21" s="171"/>
      <c r="F21" s="194"/>
      <c r="G21" s="190"/>
      <c r="H21" s="190"/>
      <c r="I21" s="190"/>
      <c r="J21" s="195"/>
      <c r="K21" s="195"/>
      <c r="L21" s="171"/>
      <c r="M21" s="195"/>
    </row>
    <row r="22" spans="1:35" x14ac:dyDescent="0.2">
      <c r="A22" s="191"/>
      <c r="B22" s="191" t="s">
        <v>17</v>
      </c>
      <c r="C22" s="191" t="s">
        <v>15</v>
      </c>
      <c r="D22" s="353" t="s">
        <v>1</v>
      </c>
      <c r="E22" s="353"/>
      <c r="F22" s="353"/>
      <c r="G22" s="353" t="s">
        <v>2</v>
      </c>
      <c r="H22" s="353"/>
      <c r="I22" s="353"/>
      <c r="J22" s="191" t="s">
        <v>3</v>
      </c>
      <c r="K22" s="353" t="s">
        <v>16</v>
      </c>
      <c r="L22" s="353"/>
      <c r="M22" s="353"/>
    </row>
    <row r="23" spans="1:35" x14ac:dyDescent="0.2">
      <c r="A23" s="187" t="s">
        <v>333</v>
      </c>
      <c r="B23" s="187">
        <f t="shared" ref="B23:M23" si="9">B7</f>
        <v>770</v>
      </c>
      <c r="C23" s="187">
        <v>1180</v>
      </c>
      <c r="D23" s="196">
        <f t="shared" si="9"/>
        <v>0.8481555156701005</v>
      </c>
      <c r="E23" s="187" t="str">
        <f t="shared" si="9"/>
        <v>±</v>
      </c>
      <c r="F23" s="178">
        <f t="shared" si="9"/>
        <v>2.0605186548831532E-3</v>
      </c>
      <c r="G23" s="179">
        <f t="shared" si="9"/>
        <v>1322.964962944596</v>
      </c>
      <c r="H23" s="179" t="str">
        <f t="shared" si="9"/>
        <v>±</v>
      </c>
      <c r="I23" s="179">
        <f t="shared" si="9"/>
        <v>19.515461550231208</v>
      </c>
      <c r="J23" s="180">
        <f t="shared" si="9"/>
        <v>-21.464775277161063</v>
      </c>
      <c r="K23" s="180">
        <f t="shared" si="9"/>
        <v>-21.715830108573584</v>
      </c>
      <c r="L23" s="187" t="str">
        <f t="shared" si="9"/>
        <v>±</v>
      </c>
      <c r="M23" s="180">
        <f t="shared" si="9"/>
        <v>2.4294113718699375</v>
      </c>
    </row>
    <row r="24" spans="1:35" x14ac:dyDescent="0.2">
      <c r="A24" s="187" t="s">
        <v>334</v>
      </c>
      <c r="B24" s="187">
        <f t="shared" ref="B24:M24" si="10">B8</f>
        <v>771</v>
      </c>
      <c r="C24" s="187">
        <v>1179</v>
      </c>
      <c r="D24" s="196">
        <f t="shared" si="10"/>
        <v>0.85020496899178299</v>
      </c>
      <c r="E24" s="187" t="str">
        <f t="shared" si="10"/>
        <v>±</v>
      </c>
      <c r="F24" s="178">
        <f t="shared" si="10"/>
        <v>2.0769557646141338E-3</v>
      </c>
      <c r="G24" s="179">
        <f t="shared" si="10"/>
        <v>1303.5777166291721</v>
      </c>
      <c r="H24" s="179" t="str">
        <f t="shared" si="10"/>
        <v>±</v>
      </c>
      <c r="I24" s="179">
        <f t="shared" si="10"/>
        <v>19.623721650239595</v>
      </c>
      <c r="J24" s="180">
        <f t="shared" si="10"/>
        <v>-20.880447663285786</v>
      </c>
      <c r="K24" s="180">
        <f t="shared" si="10"/>
        <v>-19.470553282763149</v>
      </c>
      <c r="L24" s="187" t="str">
        <f t="shared" si="10"/>
        <v>±</v>
      </c>
      <c r="M24" s="180">
        <f t="shared" si="10"/>
        <v>2.4428882920751396</v>
      </c>
    </row>
    <row r="25" spans="1:35" x14ac:dyDescent="0.2">
      <c r="A25" s="187" t="s">
        <v>335</v>
      </c>
      <c r="B25" s="187">
        <f t="shared" ref="B25:M25" si="11">B9</f>
        <v>772</v>
      </c>
      <c r="C25" s="187">
        <v>1178</v>
      </c>
      <c r="D25" s="196">
        <f t="shared" si="11"/>
        <v>0.85033371730000651</v>
      </c>
      <c r="E25" s="187" t="str">
        <f t="shared" si="11"/>
        <v>±</v>
      </c>
      <c r="F25" s="178">
        <f t="shared" si="11"/>
        <v>2.0783270368627729E-3</v>
      </c>
      <c r="G25" s="179">
        <f t="shared" si="11"/>
        <v>1302.3613548136218</v>
      </c>
      <c r="H25" s="179" t="str">
        <f t="shared" si="11"/>
        <v>±</v>
      </c>
      <c r="I25" s="179">
        <f t="shared" si="11"/>
        <v>19.633704682591592</v>
      </c>
      <c r="J25" s="197">
        <f t="shared" si="11"/>
        <v>-20.707788321590037</v>
      </c>
      <c r="K25" s="180">
        <f t="shared" si="11"/>
        <v>-19.440688104746862</v>
      </c>
      <c r="L25" s="187" t="str">
        <f t="shared" si="11"/>
        <v>±</v>
      </c>
      <c r="M25" s="180">
        <f t="shared" si="11"/>
        <v>2.4441310447642963</v>
      </c>
    </row>
    <row r="26" spans="1:35" x14ac:dyDescent="0.2">
      <c r="A26" s="187" t="s">
        <v>336</v>
      </c>
      <c r="B26" s="187">
        <f t="shared" ref="B26:M26" si="12">B10</f>
        <v>773</v>
      </c>
      <c r="C26" s="187">
        <v>1177</v>
      </c>
      <c r="D26" s="196">
        <f t="shared" si="12"/>
        <v>0.85154959684501985</v>
      </c>
      <c r="E26" s="187" t="str">
        <f t="shared" si="12"/>
        <v>±</v>
      </c>
      <c r="F26" s="178">
        <f t="shared" si="12"/>
        <v>2.0682869010753909E-3</v>
      </c>
      <c r="G26" s="179">
        <f t="shared" si="12"/>
        <v>1290.8832916988654</v>
      </c>
      <c r="H26" s="179" t="str">
        <f t="shared" si="12"/>
        <v>±</v>
      </c>
      <c r="I26" s="179">
        <f t="shared" si="12"/>
        <v>19.510958302247225</v>
      </c>
      <c r="J26" s="197">
        <f t="shared" si="12"/>
        <v>-22.573540995649232</v>
      </c>
      <c r="K26" s="180">
        <f t="shared" si="12"/>
        <v>-18.157374597204456</v>
      </c>
      <c r="L26" s="187" t="str">
        <f t="shared" si="12"/>
        <v>±</v>
      </c>
      <c r="M26" s="180">
        <f t="shared" si="12"/>
        <v>2.4288507783203319</v>
      </c>
    </row>
    <row r="27" spans="1:35" x14ac:dyDescent="0.2">
      <c r="A27" s="187" t="s">
        <v>337</v>
      </c>
      <c r="B27" s="187">
        <f t="shared" ref="B27:M27" si="13">B11</f>
        <v>774</v>
      </c>
      <c r="C27" s="187">
        <v>1176</v>
      </c>
      <c r="D27" s="196">
        <f t="shared" si="13"/>
        <v>0.85336572945317812</v>
      </c>
      <c r="E27" s="187" t="str">
        <f t="shared" si="13"/>
        <v>±</v>
      </c>
      <c r="F27" s="178">
        <f t="shared" si="13"/>
        <v>2.0741323305424851E-3</v>
      </c>
      <c r="G27" s="179">
        <f t="shared" si="13"/>
        <v>1273.7692467554532</v>
      </c>
      <c r="H27" s="179" t="str">
        <f t="shared" si="13"/>
        <v>±</v>
      </c>
      <c r="I27" s="179">
        <f t="shared" si="13"/>
        <v>19.524459954495928</v>
      </c>
      <c r="J27" s="197">
        <f t="shared" si="13"/>
        <v>-22.512964411394719</v>
      </c>
      <c r="K27" s="180">
        <f t="shared" si="13"/>
        <v>-16.182373627059544</v>
      </c>
      <c r="L27" s="187" t="str">
        <f t="shared" si="13"/>
        <v>±</v>
      </c>
      <c r="M27" s="180">
        <f t="shared" si="13"/>
        <v>2.4305315516613879</v>
      </c>
    </row>
    <row r="28" spans="1:35" x14ac:dyDescent="0.2">
      <c r="A28" s="187" t="s">
        <v>338</v>
      </c>
      <c r="B28" s="187">
        <f t="shared" ref="B28:M28" si="14">B12</f>
        <v>775</v>
      </c>
      <c r="C28" s="187">
        <v>1175</v>
      </c>
      <c r="D28" s="196">
        <f t="shared" si="14"/>
        <v>0.86413463061248308</v>
      </c>
      <c r="E28" s="187" t="str">
        <f t="shared" si="14"/>
        <v>±</v>
      </c>
      <c r="F28" s="178">
        <f t="shared" si="14"/>
        <v>2.0832488247405291E-3</v>
      </c>
      <c r="G28" s="179">
        <f t="shared" si="14"/>
        <v>1173.0324798869326</v>
      </c>
      <c r="H28" s="179" t="str">
        <f t="shared" si="14"/>
        <v>±</v>
      </c>
      <c r="I28" s="179">
        <f t="shared" si="14"/>
        <v>19.365891860252596</v>
      </c>
      <c r="J28" s="197">
        <f t="shared" si="14"/>
        <v>-21.224685446681214</v>
      </c>
      <c r="K28" s="180">
        <f t="shared" si="14"/>
        <v>-3.8877572055433518</v>
      </c>
      <c r="L28" s="187" t="str">
        <f t="shared" si="14"/>
        <v>±</v>
      </c>
      <c r="M28" s="180">
        <f t="shared" si="14"/>
        <v>2.4107919656731727</v>
      </c>
    </row>
    <row r="29" spans="1:35" x14ac:dyDescent="0.2">
      <c r="A29" s="187" t="s">
        <v>339</v>
      </c>
      <c r="B29" s="187">
        <f t="shared" ref="B29:M29" si="15">B13</f>
        <v>776</v>
      </c>
      <c r="C29" s="187">
        <v>1174</v>
      </c>
      <c r="D29" s="196">
        <f t="shared" si="15"/>
        <v>0.86946802489013053</v>
      </c>
      <c r="E29" s="187" t="str">
        <f t="shared" si="15"/>
        <v>±</v>
      </c>
      <c r="F29" s="178">
        <f t="shared" si="15"/>
        <v>2.0804669174926999E-3</v>
      </c>
      <c r="G29" s="179">
        <f t="shared" si="15"/>
        <v>1123.6055927471018</v>
      </c>
      <c r="H29" s="179" t="str">
        <f t="shared" si="15"/>
        <v>±</v>
      </c>
      <c r="I29" s="179">
        <f t="shared" si="15"/>
        <v>19.221397762534973</v>
      </c>
      <c r="J29" s="197">
        <f t="shared" si="15"/>
        <v>-22.057798776154769</v>
      </c>
      <c r="K29" s="180">
        <f t="shared" si="15"/>
        <v>2.13896714133055</v>
      </c>
      <c r="L29" s="187" t="str">
        <f t="shared" si="15"/>
        <v>±</v>
      </c>
      <c r="M29" s="180">
        <f t="shared" si="15"/>
        <v>2.3928044021579704</v>
      </c>
    </row>
    <row r="30" spans="1:35" x14ac:dyDescent="0.2">
      <c r="A30" s="187" t="s">
        <v>340</v>
      </c>
      <c r="B30" s="187">
        <f t="shared" ref="B30:M30" si="16">B14</f>
        <v>777</v>
      </c>
      <c r="C30" s="187">
        <v>1173</v>
      </c>
      <c r="D30" s="196">
        <f t="shared" si="16"/>
        <v>0.86796165885626198</v>
      </c>
      <c r="E30" s="187" t="str">
        <f t="shared" si="16"/>
        <v>±</v>
      </c>
      <c r="F30" s="178">
        <f t="shared" si="16"/>
        <v>2.0929189113489885E-3</v>
      </c>
      <c r="G30" s="179">
        <f t="shared" si="16"/>
        <v>1137.5349523008142</v>
      </c>
      <c r="H30" s="179" t="str">
        <f t="shared" si="16"/>
        <v>±</v>
      </c>
      <c r="I30" s="179">
        <f t="shared" si="16"/>
        <v>19.370000325844611</v>
      </c>
      <c r="J30" s="197">
        <f t="shared" si="16"/>
        <v>-18.461799502927477</v>
      </c>
      <c r="K30" s="180">
        <f t="shared" si="16"/>
        <v>0.28174250192969374</v>
      </c>
      <c r="L30" s="187" t="str">
        <f t="shared" si="16"/>
        <v>±</v>
      </c>
      <c r="M30" s="180">
        <f t="shared" si="16"/>
        <v>2.4113034141472194</v>
      </c>
    </row>
    <row r="31" spans="1:35" x14ac:dyDescent="0.2">
      <c r="A31" s="187" t="s">
        <v>341</v>
      </c>
      <c r="B31" s="187">
        <f t="shared" ref="B31:M31" si="17">B15</f>
        <v>778</v>
      </c>
      <c r="C31" s="187">
        <v>1172</v>
      </c>
      <c r="D31" s="196">
        <f t="shared" si="17"/>
        <v>0.86556699951543448</v>
      </c>
      <c r="E31" s="187" t="str">
        <f t="shared" si="17"/>
        <v>±</v>
      </c>
      <c r="F31" s="178">
        <f t="shared" si="17"/>
        <v>2.0779340681431791E-3</v>
      </c>
      <c r="G31" s="179">
        <f t="shared" si="17"/>
        <v>1159.7281945383686</v>
      </c>
      <c r="H31" s="179" t="str">
        <f t="shared" si="17"/>
        <v>±</v>
      </c>
      <c r="I31" s="179">
        <f t="shared" si="17"/>
        <v>19.284520295642938</v>
      </c>
      <c r="J31" s="180">
        <f t="shared" si="17"/>
        <v>-24.395884355048693</v>
      </c>
      <c r="K31" s="180">
        <f t="shared" si="17"/>
        <v>-2.5986366266335104</v>
      </c>
      <c r="L31" s="187" t="str">
        <f t="shared" si="17"/>
        <v>±</v>
      </c>
      <c r="M31" s="180">
        <f t="shared" si="17"/>
        <v>2.4006623049474594</v>
      </c>
    </row>
    <row r="32" spans="1:35" x14ac:dyDescent="0.2">
      <c r="A32" s="187" t="s">
        <v>342</v>
      </c>
      <c r="B32" s="187">
        <f t="shared" ref="B32:M32" si="18">B16</f>
        <v>779</v>
      </c>
      <c r="C32" s="187">
        <v>1171</v>
      </c>
      <c r="D32" s="196">
        <f t="shared" si="18"/>
        <v>0.86237390301166472</v>
      </c>
      <c r="E32" s="187" t="str">
        <f t="shared" si="18"/>
        <v>±</v>
      </c>
      <c r="F32" s="178">
        <f t="shared" si="18"/>
        <v>2.0990079989960516E-3</v>
      </c>
      <c r="G32" s="179">
        <f t="shared" si="18"/>
        <v>1189.4169105981639</v>
      </c>
      <c r="H32" s="179" t="str">
        <f t="shared" si="18"/>
        <v>±</v>
      </c>
      <c r="I32" s="179">
        <f t="shared" si="18"/>
        <v>19.552228096247497</v>
      </c>
      <c r="J32" s="180">
        <f t="shared" si="18"/>
        <v>-21.162899222356479</v>
      </c>
      <c r="K32" s="180">
        <f t="shared" si="18"/>
        <v>-6.3982693018009851</v>
      </c>
      <c r="L32" s="187" t="str">
        <f t="shared" si="18"/>
        <v>±</v>
      </c>
      <c r="M32" s="180">
        <f t="shared" si="18"/>
        <v>2.4339883102511513</v>
      </c>
    </row>
    <row r="33" spans="1:13" x14ac:dyDescent="0.2">
      <c r="A33" s="187" t="s">
        <v>343</v>
      </c>
      <c r="B33" s="187">
        <f t="shared" ref="B33:M33" si="19">B17</f>
        <v>780</v>
      </c>
      <c r="C33" s="187">
        <v>1170</v>
      </c>
      <c r="D33" s="196">
        <f t="shared" si="19"/>
        <v>0.86459883297512563</v>
      </c>
      <c r="E33" s="187" t="str">
        <f t="shared" si="19"/>
        <v>±</v>
      </c>
      <c r="F33" s="178">
        <f t="shared" si="19"/>
        <v>2.1110663939624377E-3</v>
      </c>
      <c r="G33" s="179">
        <f t="shared" si="19"/>
        <v>1168.7184109488644</v>
      </c>
      <c r="H33" s="179" t="str">
        <f t="shared" si="19"/>
        <v>±</v>
      </c>
      <c r="I33" s="179">
        <f t="shared" si="19"/>
        <v>19.613947759270392</v>
      </c>
      <c r="J33" s="180">
        <f t="shared" si="19"/>
        <v>-21.806068884623443</v>
      </c>
      <c r="K33" s="180">
        <f t="shared" si="19"/>
        <v>-3.955262449255148</v>
      </c>
      <c r="L33" s="187" t="str">
        <f t="shared" si="19"/>
        <v>±</v>
      </c>
      <c r="M33" s="180">
        <f t="shared" si="19"/>
        <v>2.4416715746633129</v>
      </c>
    </row>
    <row r="41" spans="1:13" x14ac:dyDescent="0.2">
      <c r="A41" s="23"/>
      <c r="B41" s="23"/>
      <c r="C41" s="23"/>
      <c r="D41" s="23"/>
      <c r="E41" s="24"/>
      <c r="F41" s="25"/>
      <c r="G41" s="26"/>
      <c r="H41" s="27"/>
      <c r="I41" s="24"/>
      <c r="J41" s="24"/>
      <c r="K41" s="28"/>
      <c r="L41" s="24"/>
      <c r="M41" s="24"/>
    </row>
    <row r="42" spans="1:13" x14ac:dyDescent="0.2">
      <c r="A42" s="23"/>
      <c r="B42" s="23"/>
      <c r="C42" s="23"/>
      <c r="D42" s="23"/>
      <c r="E42" s="24"/>
      <c r="F42" s="25"/>
      <c r="G42" s="26"/>
      <c r="H42" s="27"/>
      <c r="I42" s="24"/>
      <c r="J42" s="24"/>
      <c r="K42" s="28"/>
      <c r="L42" s="24"/>
      <c r="M42" s="24"/>
    </row>
    <row r="43" spans="1:13" x14ac:dyDescent="0.2">
      <c r="A43" s="23"/>
      <c r="B43" s="23"/>
      <c r="C43" s="23"/>
      <c r="D43" s="23"/>
      <c r="E43" s="24"/>
      <c r="F43" s="25"/>
      <c r="G43" s="26"/>
      <c r="H43" s="27"/>
      <c r="I43" s="24"/>
      <c r="J43" s="24"/>
      <c r="K43" s="28"/>
      <c r="L43" s="24"/>
      <c r="M43" s="24"/>
    </row>
    <row r="44" spans="1:13" x14ac:dyDescent="0.2">
      <c r="A44" s="23"/>
      <c r="B44" s="23"/>
      <c r="C44" s="23"/>
      <c r="D44" s="23"/>
      <c r="E44" s="24"/>
      <c r="F44" s="25"/>
      <c r="G44" s="26"/>
      <c r="H44" s="27"/>
      <c r="I44" s="24"/>
      <c r="J44" s="24"/>
      <c r="K44" s="28"/>
      <c r="L44" s="24"/>
      <c r="M44" s="24"/>
    </row>
    <row r="45" spans="1:13" x14ac:dyDescent="0.2">
      <c r="A45" s="23"/>
      <c r="B45" s="23"/>
      <c r="C45" s="23"/>
      <c r="D45" s="23"/>
      <c r="E45" s="24"/>
      <c r="F45" s="25"/>
      <c r="G45" s="26"/>
      <c r="H45" s="27"/>
      <c r="I45" s="24"/>
      <c r="J45" s="24"/>
      <c r="K45" s="28"/>
      <c r="L45" s="24"/>
      <c r="M45" s="24"/>
    </row>
    <row r="46" spans="1:13" x14ac:dyDescent="0.2">
      <c r="A46" s="23"/>
      <c r="B46" s="23"/>
      <c r="C46" s="23"/>
      <c r="D46" s="23"/>
      <c r="E46" s="24"/>
      <c r="F46" s="25"/>
      <c r="G46" s="26"/>
      <c r="H46" s="27"/>
      <c r="I46" s="24"/>
      <c r="J46" s="24"/>
      <c r="K46" s="28"/>
      <c r="L46" s="24"/>
      <c r="M46" s="24"/>
    </row>
    <row r="47" spans="1:13" x14ac:dyDescent="0.2">
      <c r="A47" s="23"/>
      <c r="B47" s="23"/>
      <c r="C47" s="23"/>
      <c r="D47" s="23"/>
      <c r="E47" s="24"/>
      <c r="F47" s="25"/>
      <c r="G47" s="26"/>
      <c r="H47" s="27"/>
      <c r="I47" s="24"/>
      <c r="J47" s="24"/>
      <c r="K47" s="28"/>
      <c r="L47" s="24"/>
      <c r="M47" s="24"/>
    </row>
    <row r="48" spans="1:13" x14ac:dyDescent="0.2">
      <c r="A48" s="23"/>
      <c r="B48" s="23"/>
      <c r="C48" s="23"/>
      <c r="D48" s="23"/>
      <c r="E48" s="24"/>
      <c r="F48" s="25"/>
      <c r="G48" s="26"/>
      <c r="H48" s="27"/>
      <c r="I48" s="24"/>
      <c r="J48" s="24"/>
      <c r="K48" s="28"/>
      <c r="L48" s="24"/>
      <c r="M48" s="24"/>
    </row>
    <row r="49" spans="1:13" x14ac:dyDescent="0.2">
      <c r="A49" s="23"/>
      <c r="B49" s="23"/>
      <c r="C49" s="23"/>
      <c r="D49" s="23"/>
      <c r="E49" s="24"/>
      <c r="F49" s="25"/>
      <c r="G49" s="26"/>
      <c r="H49" s="27"/>
      <c r="I49" s="24"/>
      <c r="J49" s="24"/>
      <c r="K49" s="28"/>
      <c r="L49" s="24"/>
      <c r="M49" s="24"/>
    </row>
    <row r="50" spans="1:13" x14ac:dyDescent="0.2">
      <c r="A50" s="23"/>
      <c r="B50" s="23"/>
      <c r="C50" s="23"/>
      <c r="D50" s="23"/>
      <c r="E50" s="24"/>
      <c r="F50" s="25"/>
      <c r="G50" s="26"/>
      <c r="H50" s="27"/>
      <c r="I50" s="24"/>
      <c r="J50" s="24"/>
      <c r="K50" s="28"/>
      <c r="L50" s="24"/>
      <c r="M50" s="24"/>
    </row>
    <row r="51" spans="1:13" x14ac:dyDescent="0.2">
      <c r="A51" s="23"/>
      <c r="B51" s="23"/>
      <c r="C51" s="23"/>
      <c r="D51" s="23"/>
      <c r="E51" s="24"/>
      <c r="F51" s="25"/>
      <c r="G51" s="26"/>
      <c r="H51" s="27"/>
      <c r="I51" s="24"/>
      <c r="J51" s="24"/>
      <c r="K51" s="28"/>
      <c r="L51" s="24"/>
      <c r="M51" s="24"/>
    </row>
  </sheetData>
  <mergeCells count="6">
    <mergeCell ref="D6:F6"/>
    <mergeCell ref="G6:I6"/>
    <mergeCell ref="K6:M6"/>
    <mergeCell ref="D22:F22"/>
    <mergeCell ref="G22:I22"/>
    <mergeCell ref="K22:M22"/>
  </mergeCells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B5" sqref="B5:B14"/>
    </sheetView>
  </sheetViews>
  <sheetFormatPr baseColWidth="10" defaultColWidth="9" defaultRowHeight="16" x14ac:dyDescent="0.2"/>
  <cols>
    <col min="1" max="1" width="10.6640625" customWidth="1"/>
  </cols>
  <sheetData>
    <row r="1" spans="1:20" s="264" customFormat="1" ht="15" x14ac:dyDescent="0.2">
      <c r="A1" s="263"/>
      <c r="B1" s="263"/>
      <c r="C1" s="263"/>
      <c r="D1" s="263"/>
      <c r="F1" s="265"/>
      <c r="G1" s="265"/>
      <c r="R1" s="266"/>
      <c r="S1" s="266"/>
    </row>
    <row r="2" spans="1:20" s="231" customFormat="1" ht="15" x14ac:dyDescent="0.2">
      <c r="A2" s="267"/>
      <c r="B2" s="267"/>
      <c r="C2" s="267"/>
      <c r="D2" s="230"/>
      <c r="R2" s="232"/>
      <c r="S2" s="232"/>
    </row>
    <row r="4" spans="1:20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95" t="s">
        <v>17</v>
      </c>
      <c r="J4" s="296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95" t="s">
        <v>3</v>
      </c>
      <c r="R4" s="346" t="s">
        <v>16</v>
      </c>
      <c r="S4" s="345"/>
      <c r="T4" s="345"/>
    </row>
    <row r="5" spans="1:20" x14ac:dyDescent="0.2">
      <c r="A5" s="156" t="s">
        <v>587</v>
      </c>
      <c r="B5" s="156" t="s">
        <v>217</v>
      </c>
      <c r="C5" s="34">
        <v>0.8501312014305572</v>
      </c>
      <c r="D5" s="34">
        <v>1.9153826894884565E-3</v>
      </c>
      <c r="E5" s="32">
        <v>1304.2627087164233</v>
      </c>
      <c r="F5" s="32">
        <v>18.098532741141803</v>
      </c>
      <c r="G5" s="36">
        <v>-16.235824745235995</v>
      </c>
      <c r="I5" s="270">
        <v>771</v>
      </c>
      <c r="J5" s="271">
        <f>1950-I5</f>
        <v>1179</v>
      </c>
      <c r="K5" s="272">
        <f>C5</f>
        <v>0.8501312014305572</v>
      </c>
      <c r="L5" s="273" t="s">
        <v>5</v>
      </c>
      <c r="M5" s="274">
        <f>D5</f>
        <v>1.9153826894884565E-3</v>
      </c>
      <c r="N5" s="275">
        <f>-8033*LN(K5)</f>
        <v>1304.2747256442203</v>
      </c>
      <c r="O5" s="276" t="s">
        <v>5</v>
      </c>
      <c r="P5" s="275">
        <f>M5/K5*8033</f>
        <v>18.098699493407072</v>
      </c>
      <c r="Q5" s="277">
        <f>G5</f>
        <v>-16.235824745235995</v>
      </c>
      <c r="R5" s="271">
        <f>(EXP(J5/8267)*EXP(-N5/8033)-1)*1000</f>
        <v>-19.55562837480851</v>
      </c>
      <c r="S5" s="273" t="s">
        <v>5</v>
      </c>
      <c r="T5" s="278">
        <f>P5/8.033</f>
        <v>2.2530436316951414</v>
      </c>
    </row>
    <row r="6" spans="1:20" x14ac:dyDescent="0.2">
      <c r="A6" s="156" t="s">
        <v>588</v>
      </c>
      <c r="B6" s="156" t="s">
        <v>218</v>
      </c>
      <c r="C6" s="34">
        <v>0.84851992675390642</v>
      </c>
      <c r="D6" s="34">
        <v>1.9320015642400948E-3</v>
      </c>
      <c r="E6" s="32">
        <v>1319.5021582903762</v>
      </c>
      <c r="F6" s="32">
        <v>18.290231124698167</v>
      </c>
      <c r="G6" s="36">
        <v>-17.561590390895109</v>
      </c>
      <c r="I6" s="270">
        <v>772</v>
      </c>
      <c r="J6" s="271">
        <f t="shared" ref="J6:J14" si="0">1950-I6</f>
        <v>1178</v>
      </c>
      <c r="K6" s="272">
        <f t="shared" ref="K6:K14" si="1">C6</f>
        <v>0.84851992675390642</v>
      </c>
      <c r="L6" s="273" t="s">
        <v>5</v>
      </c>
      <c r="M6" s="274">
        <f t="shared" ref="M6:M14" si="2">D6</f>
        <v>1.9320015642400948E-3</v>
      </c>
      <c r="N6" s="275">
        <f t="shared" ref="N6:N14" si="3">-8033*LN(K6)</f>
        <v>1319.5143156280494</v>
      </c>
      <c r="O6" s="276" t="s">
        <v>5</v>
      </c>
      <c r="P6" s="275">
        <f t="shared" ref="P6:P14" si="4">M6/K6*8033</f>
        <v>18.29039964319168</v>
      </c>
      <c r="Q6" s="277">
        <f t="shared" ref="Q6:Q14" si="5">G6</f>
        <v>-17.561590390895109</v>
      </c>
      <c r="R6" s="271">
        <f t="shared" ref="R6:R14" si="6">(EXP(J6/8267)*EXP(-N6/8033)-1)*1000</f>
        <v>-21.53225424357208</v>
      </c>
      <c r="S6" s="273" t="s">
        <v>5</v>
      </c>
      <c r="T6" s="278">
        <f t="shared" ref="T6:T14" si="7">P6/8.033</f>
        <v>2.2769077110907108</v>
      </c>
    </row>
    <row r="7" spans="1:20" x14ac:dyDescent="0.2">
      <c r="A7" s="156" t="s">
        <v>589</v>
      </c>
      <c r="B7" s="156" t="s">
        <v>219</v>
      </c>
      <c r="C7" s="34">
        <v>0.84975910291067169</v>
      </c>
      <c r="D7" s="34">
        <v>1.8996535802400054E-3</v>
      </c>
      <c r="E7" s="32">
        <v>1307.7794531917477</v>
      </c>
      <c r="F7" s="32">
        <v>17.957767749280961</v>
      </c>
      <c r="G7" s="36">
        <v>-16.715566734484931</v>
      </c>
      <c r="I7" s="270">
        <v>773</v>
      </c>
      <c r="J7" s="271">
        <f t="shared" si="0"/>
        <v>1177</v>
      </c>
      <c r="K7" s="272">
        <f t="shared" si="1"/>
        <v>0.84975910291067169</v>
      </c>
      <c r="L7" s="273" t="s">
        <v>5</v>
      </c>
      <c r="M7" s="274">
        <f t="shared" si="2"/>
        <v>1.8996535802400054E-3</v>
      </c>
      <c r="N7" s="275">
        <f t="shared" si="3"/>
        <v>1307.7915025213488</v>
      </c>
      <c r="O7" s="276" t="s">
        <v>5</v>
      </c>
      <c r="P7" s="275">
        <f t="shared" si="4"/>
        <v>17.957933204596827</v>
      </c>
      <c r="Q7" s="277">
        <f t="shared" si="5"/>
        <v>-16.715566734484931</v>
      </c>
      <c r="R7" s="271">
        <f t="shared" si="6"/>
        <v>-20.22182659363725</v>
      </c>
      <c r="S7" s="273" t="s">
        <v>5</v>
      </c>
      <c r="T7" s="278">
        <f t="shared" si="7"/>
        <v>2.2355201300381959</v>
      </c>
    </row>
    <row r="8" spans="1:20" x14ac:dyDescent="0.2">
      <c r="A8" s="156" t="s">
        <v>590</v>
      </c>
      <c r="B8" s="156" t="s">
        <v>298</v>
      </c>
      <c r="C8" s="34">
        <v>0.85639627740344948</v>
      </c>
      <c r="D8" s="34">
        <v>1.9580659973480441E-3</v>
      </c>
      <c r="E8" s="32">
        <v>1245.2808073667334</v>
      </c>
      <c r="F8" s="32">
        <v>18.366496505573071</v>
      </c>
      <c r="G8" s="36">
        <v>-17.918578475009106</v>
      </c>
      <c r="I8" s="220">
        <v>774</v>
      </c>
      <c r="J8" s="271">
        <f t="shared" si="0"/>
        <v>1176</v>
      </c>
      <c r="K8" s="272">
        <f t="shared" si="1"/>
        <v>0.85639627740344948</v>
      </c>
      <c r="L8" s="273" t="s">
        <v>5</v>
      </c>
      <c r="M8" s="274">
        <f t="shared" si="2"/>
        <v>1.9580659973480441E-3</v>
      </c>
      <c r="N8" s="275">
        <f t="shared" si="3"/>
        <v>1245.2922808601097</v>
      </c>
      <c r="O8" s="276" t="s">
        <v>5</v>
      </c>
      <c r="P8" s="275">
        <f t="shared" si="4"/>
        <v>18.366665726743715</v>
      </c>
      <c r="Q8" s="277">
        <f t="shared" si="5"/>
        <v>-17.918578475009106</v>
      </c>
      <c r="R8" s="271">
        <f t="shared" si="6"/>
        <v>-12.688553347967924</v>
      </c>
      <c r="S8" s="273" t="s">
        <v>5</v>
      </c>
      <c r="T8" s="278">
        <f t="shared" si="7"/>
        <v>2.286401808383383</v>
      </c>
    </row>
    <row r="9" spans="1:20" x14ac:dyDescent="0.2">
      <c r="A9" s="156" t="s">
        <v>591</v>
      </c>
      <c r="B9" s="156" t="s">
        <v>299</v>
      </c>
      <c r="C9" s="34">
        <v>0.86506603945232108</v>
      </c>
      <c r="D9" s="34">
        <v>1.9834087398246754E-3</v>
      </c>
      <c r="E9" s="32">
        <v>1164.3680333671139</v>
      </c>
      <c r="F9" s="32">
        <v>18.417756430539086</v>
      </c>
      <c r="G9" s="36">
        <v>-18.290515098045688</v>
      </c>
      <c r="I9" s="220">
        <v>775</v>
      </c>
      <c r="J9" s="271">
        <f t="shared" si="0"/>
        <v>1175</v>
      </c>
      <c r="K9" s="69">
        <f t="shared" si="1"/>
        <v>0.86506603945232108</v>
      </c>
      <c r="L9" s="2" t="s">
        <v>5</v>
      </c>
      <c r="M9" s="13">
        <f t="shared" si="2"/>
        <v>1.9834087398246754E-3</v>
      </c>
      <c r="N9" s="12">
        <f t="shared" si="3"/>
        <v>1164.3787613642364</v>
      </c>
      <c r="O9" s="66" t="s">
        <v>5</v>
      </c>
      <c r="P9" s="12">
        <f t="shared" si="4"/>
        <v>18.417926123997109</v>
      </c>
      <c r="Q9" s="5">
        <f t="shared" si="5"/>
        <v>-18.290515098045688</v>
      </c>
      <c r="R9" s="9">
        <f t="shared" si="6"/>
        <v>-2.8140960935566506</v>
      </c>
      <c r="S9" s="2" t="s">
        <v>5</v>
      </c>
      <c r="T9" s="14">
        <f t="shared" si="7"/>
        <v>2.292783035478291</v>
      </c>
    </row>
    <row r="10" spans="1:20" x14ac:dyDescent="0.2">
      <c r="A10" s="156" t="s">
        <v>592</v>
      </c>
      <c r="B10" s="156" t="s">
        <v>220</v>
      </c>
      <c r="C10" s="34">
        <v>0.86235642195825279</v>
      </c>
      <c r="D10" s="34">
        <v>1.963330969302607E-3</v>
      </c>
      <c r="E10" s="32">
        <v>1189.5687878132308</v>
      </c>
      <c r="F10" s="32">
        <v>18.288600820693652</v>
      </c>
      <c r="G10" s="36">
        <v>-18.202472343326171</v>
      </c>
      <c r="I10" s="220">
        <v>776</v>
      </c>
      <c r="J10" s="271">
        <f t="shared" si="0"/>
        <v>1174</v>
      </c>
      <c r="K10" s="69">
        <f t="shared" si="1"/>
        <v>0.86235642195825279</v>
      </c>
      <c r="L10" s="2" t="s">
        <v>5</v>
      </c>
      <c r="M10" s="13">
        <f t="shared" si="2"/>
        <v>1.963330969302607E-3</v>
      </c>
      <c r="N10" s="12">
        <f t="shared" si="3"/>
        <v>1189.579747999501</v>
      </c>
      <c r="O10" s="66" t="s">
        <v>5</v>
      </c>
      <c r="P10" s="12">
        <f t="shared" si="4"/>
        <v>18.288769324166232</v>
      </c>
      <c r="Q10" s="5">
        <f t="shared" si="5"/>
        <v>-18.202472343326171</v>
      </c>
      <c r="R10" s="9">
        <f t="shared" si="6"/>
        <v>-6.0577856004069286</v>
      </c>
      <c r="S10" s="2" t="s">
        <v>5</v>
      </c>
      <c r="T10" s="14">
        <f t="shared" si="7"/>
        <v>2.2767047583924103</v>
      </c>
    </row>
    <row r="11" spans="1:20" x14ac:dyDescent="0.2">
      <c r="A11" s="156" t="s">
        <v>593</v>
      </c>
      <c r="B11" s="156" t="s">
        <v>221</v>
      </c>
      <c r="C11" s="34">
        <v>0.86542169196185414</v>
      </c>
      <c r="D11" s="34">
        <v>1.9244990476968132E-3</v>
      </c>
      <c r="E11" s="32">
        <v>1161.0661546251993</v>
      </c>
      <c r="F11" s="32">
        <v>17.863382161220883</v>
      </c>
      <c r="G11" s="36">
        <v>-15.0063168693374</v>
      </c>
      <c r="I11" s="220">
        <v>777</v>
      </c>
      <c r="J11" s="271">
        <f t="shared" si="0"/>
        <v>1173</v>
      </c>
      <c r="K11" s="69">
        <f t="shared" si="1"/>
        <v>0.86542169196185414</v>
      </c>
      <c r="L11" s="2" t="s">
        <v>5</v>
      </c>
      <c r="M11" s="13">
        <f t="shared" si="2"/>
        <v>1.9244990476968132E-3</v>
      </c>
      <c r="N11" s="12">
        <f t="shared" si="3"/>
        <v>1161.0768522002004</v>
      </c>
      <c r="O11" s="66" t="s">
        <v>5</v>
      </c>
      <c r="P11" s="12">
        <f t="shared" si="4"/>
        <v>17.863546746907655</v>
      </c>
      <c r="Q11" s="5">
        <f t="shared" si="5"/>
        <v>-15.0063168693374</v>
      </c>
      <c r="R11" s="9">
        <f t="shared" si="6"/>
        <v>-2.6454403812213867</v>
      </c>
      <c r="S11" s="2" t="s">
        <v>5</v>
      </c>
      <c r="T11" s="14">
        <f t="shared" si="7"/>
        <v>2.2237702909134391</v>
      </c>
    </row>
    <row r="12" spans="1:20" x14ac:dyDescent="0.2">
      <c r="A12" s="156" t="s">
        <v>594</v>
      </c>
      <c r="B12" s="156" t="s">
        <v>222</v>
      </c>
      <c r="C12" s="34">
        <v>0.86455758939371941</v>
      </c>
      <c r="D12" s="34">
        <v>1.9388815684605459E-3</v>
      </c>
      <c r="E12" s="32">
        <v>1169.0908432765937</v>
      </c>
      <c r="F12" s="32">
        <v>18.014869489333829</v>
      </c>
      <c r="G12" s="36">
        <v>-18.424062818111821</v>
      </c>
      <c r="I12" s="220">
        <v>778</v>
      </c>
      <c r="J12" s="271">
        <f t="shared" si="0"/>
        <v>1172</v>
      </c>
      <c r="K12" s="69">
        <f t="shared" si="1"/>
        <v>0.86455758939371941</v>
      </c>
      <c r="L12" s="2" t="s">
        <v>5</v>
      </c>
      <c r="M12" s="13">
        <f t="shared" si="2"/>
        <v>1.9388815684605459E-3</v>
      </c>
      <c r="N12" s="12">
        <f t="shared" si="3"/>
        <v>1169.1016147876994</v>
      </c>
      <c r="O12" s="66" t="s">
        <v>5</v>
      </c>
      <c r="P12" s="12">
        <f t="shared" si="4"/>
        <v>18.015035470761102</v>
      </c>
      <c r="Q12" s="5">
        <f t="shared" si="5"/>
        <v>-18.424062818111821</v>
      </c>
      <c r="R12" s="9">
        <f t="shared" si="6"/>
        <v>-3.7617898339128431</v>
      </c>
      <c r="S12" s="2" t="s">
        <v>5</v>
      </c>
      <c r="T12" s="14">
        <f t="shared" si="7"/>
        <v>2.242628590907644</v>
      </c>
    </row>
    <row r="13" spans="1:20" x14ac:dyDescent="0.2">
      <c r="A13" s="156" t="s">
        <v>595</v>
      </c>
      <c r="B13" s="156" t="s">
        <v>223</v>
      </c>
      <c r="C13" s="34">
        <v>0.86272807871285162</v>
      </c>
      <c r="D13" s="34">
        <v>1.9538958202354028E-3</v>
      </c>
      <c r="E13" s="32">
        <v>1186.1075182375525</v>
      </c>
      <c r="F13" s="32">
        <v>18.192870847127718</v>
      </c>
      <c r="G13" s="36">
        <v>-18.68310819044472</v>
      </c>
      <c r="I13" s="220">
        <v>779</v>
      </c>
      <c r="J13" s="271">
        <f t="shared" si="0"/>
        <v>1171</v>
      </c>
      <c r="K13" s="69">
        <f t="shared" si="1"/>
        <v>0.86272807871285162</v>
      </c>
      <c r="L13" s="2" t="s">
        <v>5</v>
      </c>
      <c r="M13" s="13">
        <f t="shared" si="2"/>
        <v>1.9538958202354028E-3</v>
      </c>
      <c r="N13" s="12">
        <f t="shared" si="3"/>
        <v>1186.1184465331412</v>
      </c>
      <c r="O13" s="66" t="s">
        <v>5</v>
      </c>
      <c r="P13" s="12">
        <f t="shared" si="4"/>
        <v>18.1930384685846</v>
      </c>
      <c r="Q13" s="5">
        <f t="shared" si="5"/>
        <v>-18.68310819044472</v>
      </c>
      <c r="R13" s="9">
        <f t="shared" si="6"/>
        <v>-5.9901985236366917</v>
      </c>
      <c r="S13" s="2" t="s">
        <v>5</v>
      </c>
      <c r="T13" s="14">
        <f t="shared" si="7"/>
        <v>2.2647875598885348</v>
      </c>
    </row>
    <row r="14" spans="1:20" x14ac:dyDescent="0.2">
      <c r="A14" s="156" t="s">
        <v>596</v>
      </c>
      <c r="B14" s="156" t="s">
        <v>224</v>
      </c>
      <c r="C14" s="34">
        <v>0.8626838418339875</v>
      </c>
      <c r="D14" s="34">
        <v>1.95193737680392E-3</v>
      </c>
      <c r="E14" s="32">
        <v>1186.5194217021126</v>
      </c>
      <c r="F14" s="32">
        <v>18.175567595821654</v>
      </c>
      <c r="G14" s="36">
        <v>-19.568447016123592</v>
      </c>
      <c r="I14" s="220">
        <v>780</v>
      </c>
      <c r="J14" s="271">
        <f t="shared" si="0"/>
        <v>1170</v>
      </c>
      <c r="K14" s="69">
        <f t="shared" si="1"/>
        <v>0.8626838418339875</v>
      </c>
      <c r="L14" s="2" t="s">
        <v>5</v>
      </c>
      <c r="M14" s="13">
        <f t="shared" si="2"/>
        <v>1.95193737680392E-3</v>
      </c>
      <c r="N14" s="12">
        <f t="shared" si="3"/>
        <v>1186.5303537928066</v>
      </c>
      <c r="O14" s="66" t="s">
        <v>5</v>
      </c>
      <c r="P14" s="12">
        <f t="shared" si="4"/>
        <v>18.175735057853661</v>
      </c>
      <c r="Q14" s="5">
        <f t="shared" si="5"/>
        <v>-19.568447016123592</v>
      </c>
      <c r="R14" s="9">
        <f t="shared" si="6"/>
        <v>-6.1613917844329791</v>
      </c>
      <c r="S14" s="2" t="s">
        <v>5</v>
      </c>
      <c r="T14" s="14">
        <f t="shared" si="7"/>
        <v>2.262633518965973</v>
      </c>
    </row>
    <row r="15" spans="1:20" x14ac:dyDescent="0.2">
      <c r="A15" s="156"/>
      <c r="B15" s="156"/>
      <c r="C15" s="34"/>
      <c r="D15" s="34"/>
      <c r="E15" s="32"/>
      <c r="F15" s="32"/>
      <c r="G15" s="36"/>
      <c r="I15" s="220"/>
      <c r="J15" s="9"/>
      <c r="K15" s="69"/>
      <c r="L15" s="2"/>
      <c r="M15" s="13"/>
      <c r="N15" s="12"/>
      <c r="O15" s="66"/>
      <c r="P15" s="12"/>
      <c r="Q15" s="5"/>
      <c r="R15" s="9"/>
      <c r="S15" s="2"/>
      <c r="T15" s="14"/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5"/>
  <sheetViews>
    <sheetView workbookViewId="0">
      <selection activeCell="I5" sqref="I5:I15"/>
    </sheetView>
  </sheetViews>
  <sheetFormatPr baseColWidth="10" defaultColWidth="8.6640625" defaultRowHeight="16" x14ac:dyDescent="0.2"/>
  <cols>
    <col min="1" max="1" width="9.6640625" bestFit="1" customWidth="1"/>
  </cols>
  <sheetData>
    <row r="3" spans="1:20" x14ac:dyDescent="0.2">
      <c r="I3" s="223"/>
    </row>
    <row r="4" spans="1:20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317" t="s">
        <v>17</v>
      </c>
      <c r="J4" s="318" t="s">
        <v>15</v>
      </c>
      <c r="K4" s="345" t="s">
        <v>1</v>
      </c>
      <c r="L4" s="345"/>
      <c r="M4" s="345"/>
      <c r="N4" s="345" t="s">
        <v>2</v>
      </c>
      <c r="O4" s="345"/>
      <c r="P4" s="345"/>
      <c r="Q4" s="317" t="s">
        <v>3</v>
      </c>
      <c r="R4" s="346" t="s">
        <v>16</v>
      </c>
      <c r="S4" s="345"/>
      <c r="T4" s="345"/>
    </row>
    <row r="5" spans="1:20" x14ac:dyDescent="0.2">
      <c r="A5" s="258" t="s">
        <v>678</v>
      </c>
      <c r="B5" s="156" t="s">
        <v>216</v>
      </c>
      <c r="C5" s="34">
        <v>0.84729620687965257</v>
      </c>
      <c r="D5" s="34">
        <v>2.6705553043329163E-3</v>
      </c>
      <c r="E5" s="32">
        <v>1331.0954586384598</v>
      </c>
      <c r="F5" s="32">
        <v>25.318622852768375</v>
      </c>
      <c r="G5" s="36">
        <v>-20.085461204714107</v>
      </c>
      <c r="I5" s="270">
        <v>770</v>
      </c>
      <c r="J5" s="271">
        <f>1950-I5</f>
        <v>1180</v>
      </c>
      <c r="K5" s="34">
        <f>C5</f>
        <v>0.84729620687965257</v>
      </c>
      <c r="L5" s="273" t="s">
        <v>5</v>
      </c>
      <c r="M5" s="274">
        <f>D5</f>
        <v>2.6705553043329163E-3</v>
      </c>
      <c r="N5" s="275">
        <f>-8033*LN(K5)</f>
        <v>1331.1077227919243</v>
      </c>
      <c r="O5" s="276" t="s">
        <v>5</v>
      </c>
      <c r="P5" s="275">
        <f>M5/K5*8033</f>
        <v>25.318856127905899</v>
      </c>
      <c r="Q5" s="277">
        <f>G5</f>
        <v>-20.085461204714107</v>
      </c>
      <c r="R5" s="271">
        <f>(EXP(J5/8267)*EXP(-N5/8033)-1)*1000</f>
        <v>-22.706978749609807</v>
      </c>
      <c r="S5" s="273" t="s">
        <v>5</v>
      </c>
      <c r="T5" s="278">
        <f>P5/8.033</f>
        <v>3.151855611590427</v>
      </c>
    </row>
    <row r="6" spans="1:20" x14ac:dyDescent="0.2">
      <c r="A6" s="258" t="s">
        <v>679</v>
      </c>
      <c r="B6" s="156" t="s">
        <v>217</v>
      </c>
      <c r="C6" s="34">
        <v>0.85188794146783264</v>
      </c>
      <c r="D6" s="34">
        <v>2.6118072071783746E-3</v>
      </c>
      <c r="E6" s="32">
        <v>1287.6803244703649</v>
      </c>
      <c r="F6" s="32">
        <v>24.628185197737171</v>
      </c>
      <c r="G6" s="36">
        <v>-18.748161644081883</v>
      </c>
      <c r="I6" s="270">
        <v>771</v>
      </c>
      <c r="J6" s="271">
        <f t="shared" ref="J6:J14" si="0">1950-I6</f>
        <v>1179</v>
      </c>
      <c r="K6" s="34">
        <f>C6</f>
        <v>0.85188794146783264</v>
      </c>
      <c r="L6" s="273" t="s">
        <v>5</v>
      </c>
      <c r="M6" s="274">
        <f t="shared" ref="M6:M15" si="1">D6</f>
        <v>2.6118072071783746E-3</v>
      </c>
      <c r="N6" s="275">
        <f t="shared" ref="N6:N15" si="2">-8033*LN(K6)</f>
        <v>1287.6921886150512</v>
      </c>
      <c r="O6" s="276" t="s">
        <v>5</v>
      </c>
      <c r="P6" s="275">
        <f t="shared" ref="P6:P15" si="3">M6/K6*8033</f>
        <v>24.628412111472663</v>
      </c>
      <c r="Q6" s="277">
        <f t="shared" ref="Q6:Q15" si="4">G6</f>
        <v>-18.748161644081883</v>
      </c>
      <c r="R6" s="271">
        <f t="shared" ref="R6:R15" si="5">(EXP(J6/8267)*EXP(-N6/8033)-1)*1000</f>
        <v>-17.529604769208508</v>
      </c>
      <c r="S6" s="273" t="s">
        <v>5</v>
      </c>
      <c r="T6" s="278">
        <f t="shared" ref="T6:T15" si="6">P6/8.033</f>
        <v>3.065904657223038</v>
      </c>
    </row>
    <row r="7" spans="1:20" x14ac:dyDescent="0.2">
      <c r="A7" s="258" t="s">
        <v>680</v>
      </c>
      <c r="B7" s="156" t="s">
        <v>218</v>
      </c>
      <c r="C7" s="34">
        <v>0.84781790752860731</v>
      </c>
      <c r="D7" s="34">
        <v>2.6039384349966933E-3</v>
      </c>
      <c r="E7" s="32">
        <v>1326.1509150261547</v>
      </c>
      <c r="F7" s="32">
        <v>24.671860006603115</v>
      </c>
      <c r="G7" s="36">
        <v>-19.530468087625486</v>
      </c>
      <c r="I7" s="270">
        <v>772</v>
      </c>
      <c r="J7" s="271">
        <f t="shared" si="0"/>
        <v>1178</v>
      </c>
      <c r="K7" s="34">
        <f t="shared" ref="K7:K15" si="7">C7</f>
        <v>0.84781790752860731</v>
      </c>
      <c r="L7" s="273" t="s">
        <v>5</v>
      </c>
      <c r="M7" s="274">
        <f t="shared" si="1"/>
        <v>2.6039384349966933E-3</v>
      </c>
      <c r="N7" s="275">
        <f t="shared" si="2"/>
        <v>1326.1631336226749</v>
      </c>
      <c r="O7" s="276" t="s">
        <v>5</v>
      </c>
      <c r="P7" s="275">
        <f t="shared" si="3"/>
        <v>24.67208732273992</v>
      </c>
      <c r="Q7" s="277">
        <f t="shared" si="4"/>
        <v>-19.530468087625486</v>
      </c>
      <c r="R7" s="271">
        <f t="shared" si="5"/>
        <v>-22.341785224752385</v>
      </c>
      <c r="S7" s="273" t="s">
        <v>5</v>
      </c>
      <c r="T7" s="278">
        <f t="shared" si="6"/>
        <v>3.0713416311141444</v>
      </c>
    </row>
    <row r="8" spans="1:20" x14ac:dyDescent="0.2">
      <c r="A8" s="258" t="s">
        <v>681</v>
      </c>
      <c r="B8" s="156" t="s">
        <v>219</v>
      </c>
      <c r="C8" s="34">
        <v>0.8475101563267583</v>
      </c>
      <c r="D8" s="34">
        <v>2.5732555162881181E-3</v>
      </c>
      <c r="E8" s="32">
        <v>1329.0673330422687</v>
      </c>
      <c r="F8" s="32">
        <v>24.389998109456929</v>
      </c>
      <c r="G8" s="36">
        <v>-18.391137656359135</v>
      </c>
      <c r="I8" s="270">
        <v>773</v>
      </c>
      <c r="J8" s="271">
        <f t="shared" si="0"/>
        <v>1177</v>
      </c>
      <c r="K8" s="34">
        <f t="shared" si="7"/>
        <v>0.8475101563267583</v>
      </c>
      <c r="L8" s="273" t="s">
        <v>5</v>
      </c>
      <c r="M8" s="274">
        <f t="shared" si="1"/>
        <v>2.5732555162881181E-3</v>
      </c>
      <c r="N8" s="275">
        <f t="shared" si="2"/>
        <v>1329.0795785094372</v>
      </c>
      <c r="O8" s="276" t="s">
        <v>5</v>
      </c>
      <c r="P8" s="275">
        <f t="shared" si="3"/>
        <v>24.390222828636812</v>
      </c>
      <c r="Q8" s="277">
        <f t="shared" si="4"/>
        <v>-18.391137656359135</v>
      </c>
      <c r="R8" s="271">
        <f t="shared" si="5"/>
        <v>-22.814877693093095</v>
      </c>
      <c r="S8" s="273" t="s">
        <v>5</v>
      </c>
      <c r="T8" s="278">
        <f t="shared" si="6"/>
        <v>3.0362533086812915</v>
      </c>
    </row>
    <row r="9" spans="1:20" x14ac:dyDescent="0.2">
      <c r="A9" s="258" t="s">
        <v>682</v>
      </c>
      <c r="B9" s="156" t="s">
        <v>298</v>
      </c>
      <c r="C9" s="34">
        <v>0.85396135996074185</v>
      </c>
      <c r="D9" s="34">
        <v>2.6775273035111362E-3</v>
      </c>
      <c r="E9" s="32">
        <v>1268.1526610548667</v>
      </c>
      <c r="F9" s="32">
        <v>25.186594696676849</v>
      </c>
      <c r="G9" s="36">
        <v>-18.33344052218866</v>
      </c>
      <c r="I9" s="270">
        <v>774</v>
      </c>
      <c r="J9" s="271">
        <f t="shared" si="0"/>
        <v>1176</v>
      </c>
      <c r="K9" s="34">
        <f t="shared" si="7"/>
        <v>0.85396135996074185</v>
      </c>
      <c r="L9" s="2" t="s">
        <v>5</v>
      </c>
      <c r="M9" s="274">
        <f t="shared" si="1"/>
        <v>2.6775273035111362E-3</v>
      </c>
      <c r="N9" s="275">
        <f t="shared" si="2"/>
        <v>1268.1643452798787</v>
      </c>
      <c r="O9" s="66" t="s">
        <v>5</v>
      </c>
      <c r="P9" s="275">
        <f t="shared" si="3"/>
        <v>25.186826755362496</v>
      </c>
      <c r="Q9" s="277">
        <f t="shared" si="4"/>
        <v>-18.33344052218866</v>
      </c>
      <c r="R9" s="271">
        <f t="shared" si="5"/>
        <v>-15.495690565012765</v>
      </c>
      <c r="S9" s="2" t="s">
        <v>5</v>
      </c>
      <c r="T9" s="278">
        <f t="shared" si="6"/>
        <v>3.1354197380010578</v>
      </c>
    </row>
    <row r="10" spans="1:20" x14ac:dyDescent="0.2">
      <c r="A10" s="258" t="s">
        <v>683</v>
      </c>
      <c r="B10" s="156" t="s">
        <v>299</v>
      </c>
      <c r="C10" s="34">
        <v>0.86187732732705047</v>
      </c>
      <c r="D10" s="34">
        <v>2.6419676897049701E-3</v>
      </c>
      <c r="E10" s="32">
        <v>1194.0328366283463</v>
      </c>
      <c r="F10" s="32">
        <v>24.623841747764335</v>
      </c>
      <c r="G10" s="36">
        <v>-18.676529068969995</v>
      </c>
      <c r="I10" s="270">
        <v>775</v>
      </c>
      <c r="J10" s="271">
        <f t="shared" si="0"/>
        <v>1175</v>
      </c>
      <c r="K10" s="34">
        <f t="shared" si="7"/>
        <v>0.86187732732705047</v>
      </c>
      <c r="L10" s="2" t="s">
        <v>5</v>
      </c>
      <c r="M10" s="274">
        <f t="shared" si="1"/>
        <v>2.6419676897049701E-3</v>
      </c>
      <c r="N10" s="275">
        <f t="shared" si="2"/>
        <v>1194.043837944484</v>
      </c>
      <c r="O10" s="66" t="s">
        <v>5</v>
      </c>
      <c r="P10" s="275">
        <f t="shared" si="3"/>
        <v>24.624068621481104</v>
      </c>
      <c r="Q10" s="277">
        <f t="shared" si="4"/>
        <v>-18.676529068969995</v>
      </c>
      <c r="R10" s="271">
        <f t="shared" si="5"/>
        <v>-6.4898140594920051</v>
      </c>
      <c r="S10" s="2" t="s">
        <v>5</v>
      </c>
      <c r="T10" s="278">
        <f t="shared" si="6"/>
        <v>3.0653639513856725</v>
      </c>
    </row>
    <row r="11" spans="1:20" x14ac:dyDescent="0.2">
      <c r="A11" s="258" t="s">
        <v>684</v>
      </c>
      <c r="B11" s="156" t="s">
        <v>220</v>
      </c>
      <c r="C11" s="34">
        <v>0.86184429842596288</v>
      </c>
      <c r="D11" s="34">
        <v>2.5559160170950538E-3</v>
      </c>
      <c r="E11" s="32">
        <v>1194.3406806722685</v>
      </c>
      <c r="F11" s="32">
        <v>23.822730201227962</v>
      </c>
      <c r="G11" s="36">
        <v>-15.734776247727345</v>
      </c>
      <c r="I11" s="270">
        <v>776</v>
      </c>
      <c r="J11" s="271">
        <f t="shared" si="0"/>
        <v>1174</v>
      </c>
      <c r="K11" s="34">
        <f t="shared" si="7"/>
        <v>0.86184429842596288</v>
      </c>
      <c r="L11" s="2" t="s">
        <v>5</v>
      </c>
      <c r="M11" s="274">
        <f t="shared" si="1"/>
        <v>2.5559160170950538E-3</v>
      </c>
      <c r="N11" s="275">
        <f t="shared" si="2"/>
        <v>1194.3516848247516</v>
      </c>
      <c r="O11" s="66" t="s">
        <v>5</v>
      </c>
      <c r="P11" s="275">
        <f t="shared" si="3"/>
        <v>23.82294969384003</v>
      </c>
      <c r="Q11" s="277">
        <f t="shared" si="4"/>
        <v>-15.734776247727345</v>
      </c>
      <c r="R11" s="271">
        <f t="shared" si="5"/>
        <v>-6.648053365299833</v>
      </c>
      <c r="S11" s="2" t="s">
        <v>5</v>
      </c>
      <c r="T11" s="278">
        <f t="shared" si="6"/>
        <v>2.9656354654350841</v>
      </c>
    </row>
    <row r="12" spans="1:20" x14ac:dyDescent="0.2">
      <c r="A12" s="258" t="s">
        <v>685</v>
      </c>
      <c r="B12" s="156" t="s">
        <v>221</v>
      </c>
      <c r="C12" s="34">
        <v>0.86034843092786528</v>
      </c>
      <c r="D12" s="34">
        <v>3.0622066402403404E-3</v>
      </c>
      <c r="E12" s="32">
        <v>1208.2952116804224</v>
      </c>
      <c r="F12" s="32">
        <v>28.591299079239235</v>
      </c>
      <c r="G12" s="36">
        <v>-16.790498935207786</v>
      </c>
      <c r="I12" s="270">
        <v>777</v>
      </c>
      <c r="J12" s="271">
        <f t="shared" si="0"/>
        <v>1173</v>
      </c>
      <c r="K12" s="34">
        <f t="shared" si="7"/>
        <v>0.86034843092786528</v>
      </c>
      <c r="L12" s="2" t="s">
        <v>5</v>
      </c>
      <c r="M12" s="274">
        <f t="shared" si="1"/>
        <v>3.0622066402403404E-3</v>
      </c>
      <c r="N12" s="275">
        <f t="shared" si="2"/>
        <v>1208.3063444040827</v>
      </c>
      <c r="O12" s="66" t="s">
        <v>5</v>
      </c>
      <c r="P12" s="275">
        <f t="shared" si="3"/>
        <v>28.591562507438454</v>
      </c>
      <c r="Q12" s="277">
        <f t="shared" si="4"/>
        <v>-16.790498935207786</v>
      </c>
      <c r="R12" s="271">
        <f t="shared" si="5"/>
        <v>-8.4921161363838991</v>
      </c>
      <c r="S12" s="2" t="s">
        <v>5</v>
      </c>
      <c r="T12" s="278">
        <f t="shared" si="6"/>
        <v>3.5592633521023846</v>
      </c>
    </row>
    <row r="13" spans="1:20" x14ac:dyDescent="0.2">
      <c r="A13" s="258" t="s">
        <v>686</v>
      </c>
      <c r="B13" s="156" t="s">
        <v>222</v>
      </c>
      <c r="C13" s="34">
        <v>0.86198787968404533</v>
      </c>
      <c r="D13" s="34">
        <v>2.6294256806460971E-3</v>
      </c>
      <c r="E13" s="32">
        <v>1193.002525326576</v>
      </c>
      <c r="F13" s="32">
        <v>24.503803802112291</v>
      </c>
      <c r="G13" s="36">
        <v>-15.914754571420108</v>
      </c>
      <c r="I13" s="270">
        <v>778</v>
      </c>
      <c r="J13" s="271">
        <f t="shared" si="0"/>
        <v>1172</v>
      </c>
      <c r="K13" s="34">
        <f t="shared" si="7"/>
        <v>0.86198787968404533</v>
      </c>
      <c r="L13" s="2" t="s">
        <v>5</v>
      </c>
      <c r="M13" s="274">
        <f t="shared" si="1"/>
        <v>2.6294256806460971E-3</v>
      </c>
      <c r="N13" s="275">
        <f t="shared" si="2"/>
        <v>1193.0135171498589</v>
      </c>
      <c r="O13" s="66" t="s">
        <v>5</v>
      </c>
      <c r="P13" s="275">
        <f t="shared" si="3"/>
        <v>24.504029569849941</v>
      </c>
      <c r="Q13" s="277">
        <f t="shared" si="4"/>
        <v>-15.914754571420108</v>
      </c>
      <c r="R13" s="271">
        <f t="shared" si="5"/>
        <v>-6.7228915965003022</v>
      </c>
      <c r="S13" s="2" t="s">
        <v>5</v>
      </c>
      <c r="T13" s="278">
        <f t="shared" si="6"/>
        <v>3.0504207107991963</v>
      </c>
    </row>
    <row r="14" spans="1:20" x14ac:dyDescent="0.2">
      <c r="A14" s="258" t="s">
        <v>687</v>
      </c>
      <c r="B14" s="156" t="s">
        <v>223</v>
      </c>
      <c r="C14" s="34">
        <v>0.86279939521100524</v>
      </c>
      <c r="D14" s="34">
        <v>2.6718232355742769E-3</v>
      </c>
      <c r="E14" s="32">
        <v>1185.4435124070167</v>
      </c>
      <c r="F14" s="32">
        <v>24.87549066853251</v>
      </c>
      <c r="G14" s="36">
        <v>-18.302456673528923</v>
      </c>
      <c r="I14" s="270">
        <v>779</v>
      </c>
      <c r="J14" s="271">
        <f t="shared" si="0"/>
        <v>1171</v>
      </c>
      <c r="K14" s="34">
        <f t="shared" si="7"/>
        <v>0.86279939521100524</v>
      </c>
      <c r="L14" s="2" t="s">
        <v>5</v>
      </c>
      <c r="M14" s="274">
        <f t="shared" si="1"/>
        <v>2.6718232355742769E-3</v>
      </c>
      <c r="N14" s="275">
        <f t="shared" si="2"/>
        <v>1185.4544345847351</v>
      </c>
      <c r="O14" s="66" t="s">
        <v>5</v>
      </c>
      <c r="P14" s="275">
        <f t="shared" si="3"/>
        <v>24.875719860836547</v>
      </c>
      <c r="Q14" s="277">
        <f t="shared" si="4"/>
        <v>-18.302456673528923</v>
      </c>
      <c r="R14" s="271">
        <f t="shared" si="5"/>
        <v>-5.9080297616352917</v>
      </c>
      <c r="S14" s="2" t="s">
        <v>5</v>
      </c>
      <c r="T14" s="278">
        <f t="shared" si="6"/>
        <v>3.0966911316863626</v>
      </c>
    </row>
    <row r="15" spans="1:20" x14ac:dyDescent="0.2">
      <c r="A15" s="258" t="s">
        <v>688</v>
      </c>
      <c r="B15" s="156" t="s">
        <v>224</v>
      </c>
      <c r="C15" s="34">
        <v>0.86157479949501936</v>
      </c>
      <c r="D15" s="34">
        <v>2.6930269481275611E-3</v>
      </c>
      <c r="E15" s="32">
        <v>1196.8529714857705</v>
      </c>
      <c r="F15" s="32">
        <v>25.10854097714736</v>
      </c>
      <c r="G15" s="36">
        <v>-19.061041030105308</v>
      </c>
      <c r="I15" s="270">
        <v>780</v>
      </c>
      <c r="J15" s="271">
        <f>1950-I15</f>
        <v>1170</v>
      </c>
      <c r="K15" s="34">
        <f t="shared" si="7"/>
        <v>0.86157479949501936</v>
      </c>
      <c r="L15" s="2" t="s">
        <v>5</v>
      </c>
      <c r="M15" s="274">
        <f t="shared" si="1"/>
        <v>2.6930269481275611E-3</v>
      </c>
      <c r="N15" s="275">
        <f t="shared" si="2"/>
        <v>1196.863998785444</v>
      </c>
      <c r="O15" s="66" t="s">
        <v>5</v>
      </c>
      <c r="P15" s="275">
        <f t="shared" si="3"/>
        <v>25.108772316678881</v>
      </c>
      <c r="Q15" s="277">
        <f t="shared" si="4"/>
        <v>-19.061041030105308</v>
      </c>
      <c r="R15" s="271">
        <f t="shared" si="5"/>
        <v>-7.4390430410846697</v>
      </c>
      <c r="S15" s="2" t="s">
        <v>5</v>
      </c>
      <c r="T15" s="278">
        <f t="shared" si="6"/>
        <v>3.1257030146494316</v>
      </c>
    </row>
  </sheetData>
  <mergeCells count="3">
    <mergeCell ref="K4:M4"/>
    <mergeCell ref="N4:P4"/>
    <mergeCell ref="R4:T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A16" workbookViewId="0">
      <selection activeCell="D24" sqref="D24"/>
    </sheetView>
  </sheetViews>
  <sheetFormatPr baseColWidth="10" defaultColWidth="11" defaultRowHeight="16" x14ac:dyDescent="0.2"/>
  <cols>
    <col min="1" max="1" width="13.1640625" customWidth="1"/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</cols>
  <sheetData>
    <row r="1" spans="1:35" s="225" customFormat="1" ht="14" x14ac:dyDescent="0.2"/>
    <row r="2" spans="1:35" s="225" customFormat="1" ht="14" x14ac:dyDescent="0.2">
      <c r="A2" s="227"/>
      <c r="H2" s="227"/>
    </row>
    <row r="4" spans="1:35" x14ac:dyDescent="0.2">
      <c r="A4" s="1" t="s">
        <v>344</v>
      </c>
      <c r="F4" s="19"/>
      <c r="G4" s="19"/>
      <c r="O4" s="153" t="s">
        <v>301</v>
      </c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</row>
    <row r="5" spans="1:35" x14ac:dyDescent="0.2"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</row>
    <row r="6" spans="1:35" x14ac:dyDescent="0.2">
      <c r="A6" s="206"/>
      <c r="B6" s="206" t="s">
        <v>17</v>
      </c>
      <c r="C6" s="207" t="s">
        <v>15</v>
      </c>
      <c r="D6" s="345" t="s">
        <v>1</v>
      </c>
      <c r="E6" s="345"/>
      <c r="F6" s="345"/>
      <c r="G6" s="345" t="s">
        <v>2</v>
      </c>
      <c r="H6" s="345"/>
      <c r="I6" s="345"/>
      <c r="J6" s="206" t="s">
        <v>3</v>
      </c>
      <c r="K6" s="346" t="s">
        <v>16</v>
      </c>
      <c r="L6" s="345"/>
      <c r="M6" s="345"/>
      <c r="O6" s="154" t="s">
        <v>302</v>
      </c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</row>
    <row r="7" spans="1:35" x14ac:dyDescent="0.2">
      <c r="A7" t="str">
        <f>"ETH-"&amp;O9</f>
        <v>ETH-61412.1.1</v>
      </c>
      <c r="B7">
        <v>770</v>
      </c>
      <c r="C7">
        <f>1950-B7</f>
        <v>1180</v>
      </c>
      <c r="D7" s="26">
        <f>U9</f>
        <v>0.85127666956539272</v>
      </c>
      <c r="E7" s="2" t="s">
        <v>5</v>
      </c>
      <c r="F7" s="13">
        <f>V9</f>
        <v>1.5658538142837442E-3</v>
      </c>
      <c r="G7" s="12">
        <f>-8033*LN(D7)</f>
        <v>1293.4583340261609</v>
      </c>
      <c r="H7" s="66" t="s">
        <v>5</v>
      </c>
      <c r="I7" s="12">
        <f>F7/D7*8033</f>
        <v>14.776046542615921</v>
      </c>
      <c r="J7" s="5">
        <f>Y9</f>
        <v>-23.126273686298269</v>
      </c>
      <c r="K7" s="9">
        <f>(EXP(C7/8267)*EXP(-G7/8033)-1)*1000</f>
        <v>-18.115811726158281</v>
      </c>
      <c r="L7" s="2" t="s">
        <v>5</v>
      </c>
      <c r="M7" s="14">
        <f t="shared" ref="M7:M17" si="0">I7/8.033</f>
        <v>1.8394182176790641</v>
      </c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</row>
    <row r="8" spans="1:35" ht="16.25" customHeight="1" x14ac:dyDescent="0.2">
      <c r="A8" t="str">
        <f t="shared" ref="A8:A17" si="1">"ETH-"&amp;O10</f>
        <v>ETH-61413.1.1</v>
      </c>
      <c r="B8">
        <v>771</v>
      </c>
      <c r="C8">
        <f t="shared" ref="C8:C17" si="2">1950-B8</f>
        <v>1179</v>
      </c>
      <c r="D8" s="26">
        <f t="shared" ref="D8:D17" si="3">U10</f>
        <v>0.85209521864409299</v>
      </c>
      <c r="E8" s="2" t="s">
        <v>5</v>
      </c>
      <c r="F8" s="13">
        <f t="shared" ref="F8:F17" si="4">V10</f>
        <v>1.5382343373707083E-3</v>
      </c>
      <c r="G8" s="12">
        <f t="shared" ref="G8:G17" si="5">-8033*LN(D8)</f>
        <v>1285.7378763846386</v>
      </c>
      <c r="H8" s="66" t="s">
        <v>5</v>
      </c>
      <c r="I8" s="12">
        <f t="shared" ref="I8:I17" si="6">F8/D8*8033</f>
        <v>14.501473734075811</v>
      </c>
      <c r="J8" s="5">
        <f t="shared" ref="J8:J17" si="7">Y10</f>
        <v>-21.941197173082074</v>
      </c>
      <c r="K8" s="9">
        <f t="shared" ref="K8:K17" si="8">(EXP(C8/8267)*EXP(-G8/8033)-1)*1000</f>
        <v>-17.290554913740543</v>
      </c>
      <c r="L8" s="2" t="s">
        <v>5</v>
      </c>
      <c r="M8" s="14">
        <f t="shared" si="0"/>
        <v>1.8052376116115787</v>
      </c>
      <c r="O8" s="60" t="s">
        <v>166</v>
      </c>
      <c r="P8" s="60" t="s">
        <v>167</v>
      </c>
      <c r="Q8" s="60" t="s">
        <v>168</v>
      </c>
      <c r="R8" s="60" t="s">
        <v>169</v>
      </c>
      <c r="S8" s="60" t="s">
        <v>170</v>
      </c>
      <c r="T8" s="60" t="s">
        <v>303</v>
      </c>
      <c r="U8" s="60" t="s">
        <v>153</v>
      </c>
      <c r="V8" s="60" t="s">
        <v>178</v>
      </c>
      <c r="W8" s="60" t="s">
        <v>179</v>
      </c>
      <c r="X8" s="60" t="s">
        <v>180</v>
      </c>
      <c r="Y8" s="60" t="s">
        <v>181</v>
      </c>
      <c r="Z8" s="155" t="s">
        <v>171</v>
      </c>
      <c r="AA8" s="155" t="s">
        <v>172</v>
      </c>
      <c r="AB8" s="155" t="s">
        <v>173</v>
      </c>
      <c r="AC8" s="155" t="s">
        <v>174</v>
      </c>
      <c r="AD8" s="60" t="s">
        <v>175</v>
      </c>
      <c r="AE8" s="155" t="s">
        <v>176</v>
      </c>
      <c r="AF8" s="60" t="s">
        <v>177</v>
      </c>
      <c r="AG8" s="155" t="s">
        <v>182</v>
      </c>
      <c r="AH8" s="60" t="s">
        <v>296</v>
      </c>
      <c r="AI8" s="60" t="s">
        <v>297</v>
      </c>
    </row>
    <row r="9" spans="1:35" x14ac:dyDescent="0.2">
      <c r="A9" t="str">
        <f t="shared" si="1"/>
        <v>ETH-61414.1.1</v>
      </c>
      <c r="B9">
        <v>772</v>
      </c>
      <c r="C9">
        <f t="shared" si="2"/>
        <v>1178</v>
      </c>
      <c r="D9" s="26">
        <f t="shared" si="3"/>
        <v>0.84805132405815309</v>
      </c>
      <c r="E9" s="2" t="s">
        <v>5</v>
      </c>
      <c r="F9" s="13">
        <f t="shared" si="4"/>
        <v>1.5607022913241497E-3</v>
      </c>
      <c r="G9" s="12">
        <f t="shared" si="5"/>
        <v>1323.9518369510236</v>
      </c>
      <c r="H9" s="66" t="s">
        <v>5</v>
      </c>
      <c r="I9" s="12">
        <f t="shared" si="6"/>
        <v>14.783446650626527</v>
      </c>
      <c r="J9" s="5">
        <f t="shared" si="7"/>
        <v>-22.988125007381011</v>
      </c>
      <c r="K9" s="9">
        <f t="shared" si="8"/>
        <v>-22.072621781106804</v>
      </c>
      <c r="L9" s="2" t="s">
        <v>5</v>
      </c>
      <c r="M9" s="14">
        <f t="shared" si="0"/>
        <v>1.8403394311747203</v>
      </c>
      <c r="O9" s="156" t="s">
        <v>345</v>
      </c>
      <c r="P9" s="156" t="s">
        <v>346</v>
      </c>
      <c r="Q9" s="156" t="s">
        <v>216</v>
      </c>
      <c r="R9" s="156" t="s">
        <v>347</v>
      </c>
      <c r="S9" s="156" t="s">
        <v>306</v>
      </c>
      <c r="T9" s="157">
        <v>61412</v>
      </c>
      <c r="U9" s="34">
        <v>0.85127666956539272</v>
      </c>
      <c r="V9" s="34">
        <v>1.5658538142837442E-3</v>
      </c>
      <c r="W9" s="32">
        <v>1293.4464167551266</v>
      </c>
      <c r="X9" s="32">
        <v>14.775910403594795</v>
      </c>
      <c r="Y9" s="36">
        <v>-23.126273686298269</v>
      </c>
      <c r="Z9" s="32">
        <v>521747</v>
      </c>
      <c r="AA9" s="33">
        <v>56.697461117131397</v>
      </c>
      <c r="AB9" s="33">
        <v>26.323400385599136</v>
      </c>
      <c r="AC9" s="54">
        <v>0.96181309061632891</v>
      </c>
      <c r="AD9" s="35">
        <v>0.13846395099514913</v>
      </c>
      <c r="AE9" s="54">
        <v>1.0709054151207538</v>
      </c>
      <c r="AF9" s="55">
        <v>3.8029562530006188E-2</v>
      </c>
      <c r="AG9" s="55">
        <v>1.3402661834111791</v>
      </c>
      <c r="AH9" s="32">
        <v>-669</v>
      </c>
      <c r="AI9" s="32">
        <v>-766</v>
      </c>
    </row>
    <row r="10" spans="1:35" x14ac:dyDescent="0.2">
      <c r="A10" t="str">
        <f t="shared" si="1"/>
        <v>ETH-61415.1.1</v>
      </c>
      <c r="B10">
        <v>773</v>
      </c>
      <c r="C10">
        <f t="shared" si="2"/>
        <v>1177</v>
      </c>
      <c r="D10" s="26">
        <f t="shared" si="3"/>
        <v>0.85160573133115747</v>
      </c>
      <c r="E10" s="2" t="s">
        <v>5</v>
      </c>
      <c r="F10" s="13">
        <f t="shared" si="4"/>
        <v>1.5532859109609676E-3</v>
      </c>
      <c r="G10" s="12">
        <f t="shared" si="5"/>
        <v>1290.3537706154423</v>
      </c>
      <c r="H10" s="66" t="s">
        <v>5</v>
      </c>
      <c r="I10" s="12">
        <f t="shared" si="6"/>
        <v>14.651786928730058</v>
      </c>
      <c r="J10" s="5">
        <f t="shared" si="7"/>
        <v>-22.871084938222431</v>
      </c>
      <c r="K10" s="9">
        <f t="shared" si="8"/>
        <v>-18.092651143104877</v>
      </c>
      <c r="L10" s="2" t="s">
        <v>5</v>
      </c>
      <c r="M10" s="14">
        <f t="shared" si="0"/>
        <v>1.8239495740981027</v>
      </c>
      <c r="O10" s="156" t="s">
        <v>348</v>
      </c>
      <c r="P10" s="156" t="s">
        <v>346</v>
      </c>
      <c r="Q10" s="156" t="s">
        <v>217</v>
      </c>
      <c r="R10" s="156" t="s">
        <v>347</v>
      </c>
      <c r="S10" s="156" t="s">
        <v>306</v>
      </c>
      <c r="T10" s="157">
        <v>61413</v>
      </c>
      <c r="U10" s="34">
        <v>0.85209521864409299</v>
      </c>
      <c r="V10" s="34">
        <v>1.5382343373707083E-3</v>
      </c>
      <c r="W10" s="32">
        <v>1285.7260302459972</v>
      </c>
      <c r="X10" s="32">
        <v>14.501340124829699</v>
      </c>
      <c r="Y10" s="36">
        <v>-21.941197173082074</v>
      </c>
      <c r="Z10" s="32">
        <v>559903</v>
      </c>
      <c r="AA10" s="33">
        <v>61.71823195640934</v>
      </c>
      <c r="AB10" s="33">
        <v>28.142338911575045</v>
      </c>
      <c r="AC10" s="54">
        <v>0.96541643388407861</v>
      </c>
      <c r="AD10" s="35">
        <v>0.13366422641593714</v>
      </c>
      <c r="AE10" s="54">
        <v>1.0722045644592508</v>
      </c>
      <c r="AF10" s="55">
        <v>2.5534064291427971E-2</v>
      </c>
      <c r="AG10" s="55">
        <v>1.7974106039099529</v>
      </c>
      <c r="AH10" s="32">
        <v>-672</v>
      </c>
      <c r="AI10" s="32">
        <v>-767</v>
      </c>
    </row>
    <row r="11" spans="1:35" x14ac:dyDescent="0.2">
      <c r="A11" t="str">
        <f t="shared" si="1"/>
        <v>ETH-61416.1.1</v>
      </c>
      <c r="B11">
        <v>774</v>
      </c>
      <c r="C11">
        <f t="shared" si="2"/>
        <v>1176</v>
      </c>
      <c r="D11" s="26">
        <f t="shared" si="3"/>
        <v>0.85586472394587609</v>
      </c>
      <c r="E11" s="2" t="s">
        <v>5</v>
      </c>
      <c r="F11" s="13">
        <f t="shared" si="4"/>
        <v>1.5529711478791737E-3</v>
      </c>
      <c r="G11" s="12">
        <f t="shared" si="5"/>
        <v>1250.2798021065685</v>
      </c>
      <c r="H11" s="66" t="s">
        <v>5</v>
      </c>
      <c r="I11" s="12">
        <f t="shared" si="6"/>
        <v>14.575921733750892</v>
      </c>
      <c r="J11" s="5">
        <f t="shared" si="7"/>
        <v>-23.208404977704266</v>
      </c>
      <c r="K11" s="9">
        <f t="shared" si="8"/>
        <v>-13.301364060738452</v>
      </c>
      <c r="L11" s="2" t="s">
        <v>5</v>
      </c>
      <c r="M11" s="14">
        <f t="shared" si="0"/>
        <v>1.8145053820180372</v>
      </c>
      <c r="O11" s="156" t="s">
        <v>349</v>
      </c>
      <c r="P11" s="156" t="s">
        <v>346</v>
      </c>
      <c r="Q11" s="156" t="s">
        <v>218</v>
      </c>
      <c r="R11" s="156" t="s">
        <v>347</v>
      </c>
      <c r="S11" s="156" t="s">
        <v>306</v>
      </c>
      <c r="T11" s="157">
        <v>61414</v>
      </c>
      <c r="U11" s="34">
        <v>0.84805132405815309</v>
      </c>
      <c r="V11" s="34">
        <v>1.5607022913241497E-3</v>
      </c>
      <c r="W11" s="32">
        <v>1323.9396387282729</v>
      </c>
      <c r="X11" s="32">
        <v>14.783310443424547</v>
      </c>
      <c r="Y11" s="36">
        <v>-22.988125007381011</v>
      </c>
      <c r="Z11" s="32">
        <v>521381</v>
      </c>
      <c r="AA11" s="33">
        <v>56.902590906389328</v>
      </c>
      <c r="AB11" s="33">
        <v>26.393997480544702</v>
      </c>
      <c r="AC11" s="54">
        <v>0.95852730807537145</v>
      </c>
      <c r="AD11" s="35">
        <v>0.13851252510025916</v>
      </c>
      <c r="AE11" s="54">
        <v>1.0710568616837632</v>
      </c>
      <c r="AF11" s="55">
        <v>4.1243855072588986E-2</v>
      </c>
      <c r="AG11" s="55">
        <v>1.4169041121959074</v>
      </c>
      <c r="AH11" s="32">
        <v>-656</v>
      </c>
      <c r="AI11" s="32">
        <v>-762</v>
      </c>
    </row>
    <row r="12" spans="1:35" x14ac:dyDescent="0.2">
      <c r="A12" t="str">
        <f t="shared" si="1"/>
        <v>ETH-61417.1.1</v>
      </c>
      <c r="B12">
        <v>775</v>
      </c>
      <c r="C12">
        <f t="shared" si="2"/>
        <v>1175</v>
      </c>
      <c r="D12" s="26">
        <f t="shared" si="3"/>
        <v>0.8683201137189418</v>
      </c>
      <c r="E12" s="2" t="s">
        <v>5</v>
      </c>
      <c r="F12" s="13">
        <f t="shared" si="4"/>
        <v>1.5644616618290131E-3</v>
      </c>
      <c r="G12" s="12">
        <f t="shared" si="5"/>
        <v>1134.2181312660057</v>
      </c>
      <c r="H12" s="66" t="s">
        <v>5</v>
      </c>
      <c r="I12" s="12">
        <f t="shared" si="6"/>
        <v>14.473142255852729</v>
      </c>
      <c r="J12" s="5">
        <f t="shared" si="7"/>
        <v>-22.537538551411163</v>
      </c>
      <c r="K12" s="9">
        <f t="shared" si="8"/>
        <v>0.9369666472640592</v>
      </c>
      <c r="L12" s="2" t="s">
        <v>5</v>
      </c>
      <c r="M12" s="14">
        <f t="shared" si="0"/>
        <v>1.8017107252399762</v>
      </c>
      <c r="O12" s="156" t="s">
        <v>350</v>
      </c>
      <c r="P12" s="156" t="s">
        <v>346</v>
      </c>
      <c r="Q12" s="156" t="s">
        <v>219</v>
      </c>
      <c r="R12" s="156" t="s">
        <v>347</v>
      </c>
      <c r="S12" s="156" t="s">
        <v>306</v>
      </c>
      <c r="T12" s="157">
        <v>61415</v>
      </c>
      <c r="U12" s="34">
        <v>0.85160573133115747</v>
      </c>
      <c r="V12" s="34">
        <v>1.5532859109609676E-3</v>
      </c>
      <c r="W12" s="32">
        <v>1290.3418819482854</v>
      </c>
      <c r="X12" s="32">
        <v>14.651651934574179</v>
      </c>
      <c r="Y12" s="36">
        <v>-22.871084938222431</v>
      </c>
      <c r="Z12" s="32">
        <v>537992</v>
      </c>
      <c r="AA12" s="33">
        <v>58.543957608062684</v>
      </c>
      <c r="AB12" s="33">
        <v>27.114746966876151</v>
      </c>
      <c r="AC12" s="54">
        <v>0.96277151455143128</v>
      </c>
      <c r="AD12" s="35">
        <v>0.13635808210411751</v>
      </c>
      <c r="AE12" s="54">
        <v>1.0711851677692599</v>
      </c>
      <c r="AF12" s="55">
        <v>3.4535698155743068E-2</v>
      </c>
      <c r="AG12" s="55">
        <v>1.4671350248855717</v>
      </c>
      <c r="AH12" s="32">
        <v>-670</v>
      </c>
      <c r="AI12" s="32">
        <v>-766</v>
      </c>
    </row>
    <row r="13" spans="1:35" x14ac:dyDescent="0.2">
      <c r="A13" t="str">
        <f t="shared" si="1"/>
        <v>ETH-61418.1.1</v>
      </c>
      <c r="B13">
        <v>776</v>
      </c>
      <c r="C13">
        <f t="shared" si="2"/>
        <v>1174</v>
      </c>
      <c r="D13" s="26">
        <f t="shared" si="3"/>
        <v>0.86742658834674391</v>
      </c>
      <c r="E13" s="2" t="s">
        <v>5</v>
      </c>
      <c r="F13" s="13">
        <f t="shared" si="4"/>
        <v>1.5714808613389974E-3</v>
      </c>
      <c r="G13" s="12">
        <f t="shared" si="5"/>
        <v>1142.4885660481611</v>
      </c>
      <c r="H13" s="66" t="s">
        <v>5</v>
      </c>
      <c r="I13" s="12">
        <f t="shared" si="6"/>
        <v>14.553053743944016</v>
      </c>
      <c r="J13" s="5">
        <f t="shared" si="7"/>
        <v>-23.576131067588491</v>
      </c>
      <c r="K13" s="9">
        <f t="shared" si="8"/>
        <v>-0.21396942506313188</v>
      </c>
      <c r="L13" s="2" t="s">
        <v>5</v>
      </c>
      <c r="M13" s="14">
        <f t="shared" si="0"/>
        <v>1.8116586261600918</v>
      </c>
      <c r="O13" s="156" t="s">
        <v>351</v>
      </c>
      <c r="P13" s="156" t="s">
        <v>346</v>
      </c>
      <c r="Q13" s="156" t="s">
        <v>298</v>
      </c>
      <c r="R13" s="156" t="s">
        <v>347</v>
      </c>
      <c r="S13" s="156" t="s">
        <v>306</v>
      </c>
      <c r="T13" s="157">
        <v>61416</v>
      </c>
      <c r="U13" s="34">
        <v>0.85586472394587609</v>
      </c>
      <c r="V13" s="34">
        <v>1.5529711478791737E-3</v>
      </c>
      <c r="W13" s="32">
        <v>1250.2682826606936</v>
      </c>
      <c r="X13" s="32">
        <v>14.575787438578558</v>
      </c>
      <c r="Y13" s="36">
        <v>-23.208404977704266</v>
      </c>
      <c r="Z13" s="32">
        <v>547311</v>
      </c>
      <c r="AA13" s="33">
        <v>59.687564299296007</v>
      </c>
      <c r="AB13" s="33">
        <v>27.483876007496303</v>
      </c>
      <c r="AC13" s="54">
        <v>0.96680425839108641</v>
      </c>
      <c r="AD13" s="35">
        <v>0.13519260224218399</v>
      </c>
      <c r="AE13" s="54">
        <v>1.0708153780541931</v>
      </c>
      <c r="AF13" s="55">
        <v>4.3009001978039398E-2</v>
      </c>
      <c r="AG13" s="55">
        <v>1.387011237714781</v>
      </c>
      <c r="AH13" s="32">
        <v>-686</v>
      </c>
      <c r="AI13" s="32">
        <v>-774</v>
      </c>
    </row>
    <row r="14" spans="1:35" x14ac:dyDescent="0.2">
      <c r="A14" t="str">
        <f t="shared" si="1"/>
        <v>ETH-61419.1.1</v>
      </c>
      <c r="B14">
        <v>777</v>
      </c>
      <c r="C14">
        <f t="shared" si="2"/>
        <v>1173</v>
      </c>
      <c r="D14" s="26">
        <f t="shared" si="3"/>
        <v>0.86698511153141233</v>
      </c>
      <c r="E14" s="2" t="s">
        <v>5</v>
      </c>
      <c r="F14" s="13">
        <f t="shared" si="4"/>
        <v>1.5735165790121684E-3</v>
      </c>
      <c r="G14" s="12">
        <f t="shared" si="5"/>
        <v>1146.5780026385605</v>
      </c>
      <c r="H14" s="66" t="s">
        <v>5</v>
      </c>
      <c r="I14" s="12">
        <f t="shared" si="6"/>
        <v>14.579326116544019</v>
      </c>
      <c r="J14" s="5">
        <f t="shared" si="7"/>
        <v>-22.464330434485369</v>
      </c>
      <c r="K14" s="9">
        <f t="shared" si="8"/>
        <v>-0.84367870737045436</v>
      </c>
      <c r="L14" s="2" t="s">
        <v>5</v>
      </c>
      <c r="M14" s="14">
        <f t="shared" si="0"/>
        <v>1.8149291816935167</v>
      </c>
      <c r="O14" s="156" t="s">
        <v>352</v>
      </c>
      <c r="P14" s="156" t="s">
        <v>346</v>
      </c>
      <c r="Q14" s="156" t="s">
        <v>299</v>
      </c>
      <c r="R14" s="156" t="s">
        <v>347</v>
      </c>
      <c r="S14" s="156" t="s">
        <v>306</v>
      </c>
      <c r="T14" s="157">
        <v>61417</v>
      </c>
      <c r="U14" s="34">
        <v>0.8683201137189418</v>
      </c>
      <c r="V14" s="34">
        <v>1.5644616618290131E-3</v>
      </c>
      <c r="W14" s="32">
        <v>1134.2076811536776</v>
      </c>
      <c r="X14" s="32">
        <v>14.473008907638532</v>
      </c>
      <c r="Y14" s="36">
        <v>-22.537538551411163</v>
      </c>
      <c r="Z14" s="32">
        <v>561466</v>
      </c>
      <c r="AA14" s="33">
        <v>60.581399110974466</v>
      </c>
      <c r="AB14" s="33">
        <v>27.73592093220855</v>
      </c>
      <c r="AC14" s="54">
        <v>0.98229568308870607</v>
      </c>
      <c r="AD14" s="35">
        <v>0.13347810994739592</v>
      </c>
      <c r="AE14" s="54">
        <v>1.0715508205882562</v>
      </c>
      <c r="AF14" s="55">
        <v>2.9394950192423691E-2</v>
      </c>
      <c r="AG14" s="55">
        <v>1.5300139607320089</v>
      </c>
      <c r="AH14" s="32">
        <v>-884</v>
      </c>
      <c r="AI14" s="32">
        <v>-970</v>
      </c>
    </row>
    <row r="15" spans="1:35" x14ac:dyDescent="0.2">
      <c r="A15" t="str">
        <f t="shared" si="1"/>
        <v>ETH-61420.1.1</v>
      </c>
      <c r="B15">
        <v>778</v>
      </c>
      <c r="C15">
        <f t="shared" si="2"/>
        <v>1172</v>
      </c>
      <c r="D15" s="26">
        <f t="shared" si="3"/>
        <v>0.8645884351890496</v>
      </c>
      <c r="E15" s="2" t="s">
        <v>5</v>
      </c>
      <c r="F15" s="13">
        <f t="shared" si="4"/>
        <v>1.5702099254632374E-3</v>
      </c>
      <c r="G15" s="12">
        <f t="shared" si="5"/>
        <v>1168.8150175074338</v>
      </c>
      <c r="H15" s="66" t="s">
        <v>5</v>
      </c>
      <c r="I15" s="12">
        <f t="shared" si="6"/>
        <v>14.589018101413926</v>
      </c>
      <c r="J15" s="5">
        <f t="shared" si="7"/>
        <v>-22.712991925600392</v>
      </c>
      <c r="K15" s="9">
        <f t="shared" si="8"/>
        <v>-3.7262459206930387</v>
      </c>
      <c r="L15" s="2" t="s">
        <v>5</v>
      </c>
      <c r="M15" s="14">
        <f t="shared" si="0"/>
        <v>1.8161357029022689</v>
      </c>
      <c r="O15" s="156" t="s">
        <v>353</v>
      </c>
      <c r="P15" s="156" t="s">
        <v>346</v>
      </c>
      <c r="Q15" s="156" t="s">
        <v>220</v>
      </c>
      <c r="R15" s="156" t="s">
        <v>347</v>
      </c>
      <c r="S15" s="156" t="s">
        <v>306</v>
      </c>
      <c r="T15" s="157">
        <v>61418</v>
      </c>
      <c r="U15" s="34">
        <v>0.86742658834674391</v>
      </c>
      <c r="V15" s="34">
        <v>1.5714808613389974E-3</v>
      </c>
      <c r="W15" s="32">
        <v>1142.4780397362292</v>
      </c>
      <c r="X15" s="32">
        <v>14.552919659465777</v>
      </c>
      <c r="Y15" s="36">
        <v>-23.576131067588491</v>
      </c>
      <c r="Z15" s="32">
        <v>550713</v>
      </c>
      <c r="AA15" s="33">
        <v>59.298265723460759</v>
      </c>
      <c r="AB15" s="33">
        <v>27.301767731593202</v>
      </c>
      <c r="AC15" s="54">
        <v>0.97923342833951943</v>
      </c>
      <c r="AD15" s="35">
        <v>0.13477449971966637</v>
      </c>
      <c r="AE15" s="54">
        <v>1.0704122554700446</v>
      </c>
      <c r="AF15" s="55">
        <v>2.9438778542050965E-2</v>
      </c>
      <c r="AG15" s="55">
        <v>1.5277569379419498</v>
      </c>
      <c r="AH15" s="32">
        <v>-780</v>
      </c>
      <c r="AI15" s="32">
        <v>-971</v>
      </c>
    </row>
    <row r="16" spans="1:35" x14ac:dyDescent="0.2">
      <c r="A16" t="str">
        <f t="shared" si="1"/>
        <v>ETH-61421.1.1</v>
      </c>
      <c r="B16">
        <v>779</v>
      </c>
      <c r="C16">
        <f t="shared" si="2"/>
        <v>1171</v>
      </c>
      <c r="D16" s="26">
        <f t="shared" si="3"/>
        <v>0.86301370796153953</v>
      </c>
      <c r="E16" s="2" t="s">
        <v>5</v>
      </c>
      <c r="F16" s="13">
        <f t="shared" si="4"/>
        <v>1.5691795523210502E-3</v>
      </c>
      <c r="G16" s="12">
        <f t="shared" si="5"/>
        <v>1183.4593467844088</v>
      </c>
      <c r="H16" s="66" t="s">
        <v>5</v>
      </c>
      <c r="I16" s="12">
        <f t="shared" si="6"/>
        <v>14.60604765313502</v>
      </c>
      <c r="J16" s="5">
        <f t="shared" si="7"/>
        <v>-21.557935024214213</v>
      </c>
      <c r="K16" s="9">
        <f t="shared" si="8"/>
        <v>-5.6611049427163218</v>
      </c>
      <c r="L16" s="2" t="s">
        <v>5</v>
      </c>
      <c r="M16" s="14">
        <f t="shared" si="0"/>
        <v>1.8182556520770599</v>
      </c>
      <c r="O16" s="156" t="s">
        <v>354</v>
      </c>
      <c r="P16" s="156" t="s">
        <v>346</v>
      </c>
      <c r="Q16" s="156" t="s">
        <v>221</v>
      </c>
      <c r="R16" s="156" t="s">
        <v>347</v>
      </c>
      <c r="S16" s="156" t="s">
        <v>306</v>
      </c>
      <c r="T16" s="157">
        <v>61419</v>
      </c>
      <c r="U16" s="34">
        <v>0.86698511153141233</v>
      </c>
      <c r="V16" s="34">
        <v>1.5735165790121684E-3</v>
      </c>
      <c r="W16" s="32">
        <v>1146.5674386486276</v>
      </c>
      <c r="X16" s="32">
        <v>14.579191790005424</v>
      </c>
      <c r="Y16" s="36">
        <v>-22.464330434485369</v>
      </c>
      <c r="Z16" s="32">
        <v>546145</v>
      </c>
      <c r="AA16" s="33">
        <v>58.14339881795572</v>
      </c>
      <c r="AB16" s="33">
        <v>27.0208504282819</v>
      </c>
      <c r="AC16" s="54">
        <v>0.98079471667264173</v>
      </c>
      <c r="AD16" s="35">
        <v>0.13533676705290104</v>
      </c>
      <c r="AE16" s="54">
        <v>1.0716310755554388</v>
      </c>
      <c r="AF16" s="55">
        <v>2.4690888199832957E-2</v>
      </c>
      <c r="AG16" s="55">
        <v>1.3491523138164756</v>
      </c>
      <c r="AH16" s="32">
        <v>-779</v>
      </c>
      <c r="AI16" s="32">
        <v>-969</v>
      </c>
    </row>
    <row r="17" spans="1:35" x14ac:dyDescent="0.2">
      <c r="A17" t="str">
        <f t="shared" si="1"/>
        <v>ETH-61422.1.1</v>
      </c>
      <c r="B17">
        <v>780</v>
      </c>
      <c r="C17">
        <f t="shared" si="2"/>
        <v>1170</v>
      </c>
      <c r="D17" s="26">
        <f t="shared" si="3"/>
        <v>0.86256530436386547</v>
      </c>
      <c r="E17" s="2" t="s">
        <v>5</v>
      </c>
      <c r="F17" s="13">
        <f t="shared" si="4"/>
        <v>1.5583764521199717E-3</v>
      </c>
      <c r="G17" s="12">
        <f t="shared" si="5"/>
        <v>1187.6342076925025</v>
      </c>
      <c r="H17" s="66" t="s">
        <v>5</v>
      </c>
      <c r="I17" s="12">
        <f t="shared" si="6"/>
        <v>14.513032203529184</v>
      </c>
      <c r="J17" s="5">
        <f t="shared" si="7"/>
        <v>-20.497545461992452</v>
      </c>
      <c r="K17" s="9">
        <f t="shared" si="8"/>
        <v>-6.2979506355609338</v>
      </c>
      <c r="L17" s="2" t="s">
        <v>5</v>
      </c>
      <c r="M17" s="14">
        <f t="shared" si="0"/>
        <v>1.8066764849407675</v>
      </c>
      <c r="O17" s="156" t="s">
        <v>355</v>
      </c>
      <c r="P17" s="156" t="s">
        <v>346</v>
      </c>
      <c r="Q17" s="156" t="s">
        <v>222</v>
      </c>
      <c r="R17" s="156" t="s">
        <v>347</v>
      </c>
      <c r="S17" s="156" t="s">
        <v>306</v>
      </c>
      <c r="T17" s="157">
        <v>61420</v>
      </c>
      <c r="U17" s="34">
        <v>0.8645884351890496</v>
      </c>
      <c r="V17" s="34">
        <v>1.5702099254632374E-3</v>
      </c>
      <c r="W17" s="32">
        <v>1168.8042486368904</v>
      </c>
      <c r="X17" s="32">
        <v>14.588883685578283</v>
      </c>
      <c r="Y17" s="36">
        <v>-22.712991925600392</v>
      </c>
      <c r="Z17" s="32">
        <v>546369</v>
      </c>
      <c r="AA17" s="33">
        <v>58.528011908910649</v>
      </c>
      <c r="AB17" s="33">
        <v>27.114799738092476</v>
      </c>
      <c r="AC17" s="54">
        <v>0.97783165829566443</v>
      </c>
      <c r="AD17" s="35">
        <v>0.13530905094383042</v>
      </c>
      <c r="AE17" s="54">
        <v>1.0713584784631085</v>
      </c>
      <c r="AF17" s="55">
        <v>2.8150473102188892E-2</v>
      </c>
      <c r="AG17" s="55">
        <v>1.5874858349496437</v>
      </c>
      <c r="AH17" s="32">
        <v>-776</v>
      </c>
      <c r="AI17" s="32">
        <v>-940</v>
      </c>
    </row>
    <row r="18" spans="1:35" x14ac:dyDescent="0.2">
      <c r="O18" s="156" t="s">
        <v>356</v>
      </c>
      <c r="P18" s="156" t="s">
        <v>346</v>
      </c>
      <c r="Q18" s="156" t="s">
        <v>223</v>
      </c>
      <c r="R18" s="156" t="s">
        <v>347</v>
      </c>
      <c r="S18" s="156" t="s">
        <v>306</v>
      </c>
      <c r="T18" s="157">
        <v>61421</v>
      </c>
      <c r="U18" s="34">
        <v>0.86301370796153953</v>
      </c>
      <c r="V18" s="34">
        <v>1.5691795523210502E-3</v>
      </c>
      <c r="W18" s="32">
        <v>1183.4484429884203</v>
      </c>
      <c r="X18" s="32">
        <v>14.605913080397698</v>
      </c>
      <c r="Y18" s="36">
        <v>-21.557935024214213</v>
      </c>
      <c r="Z18" s="32">
        <v>542521</v>
      </c>
      <c r="AA18" s="33">
        <v>57.896652490233123</v>
      </c>
      <c r="AB18" s="33">
        <v>26.925870716575808</v>
      </c>
      <c r="AC18" s="54">
        <v>0.97808544531616415</v>
      </c>
      <c r="AD18" s="35">
        <v>0.1357879045386054</v>
      </c>
      <c r="AE18" s="54">
        <v>1.0726247185688125</v>
      </c>
      <c r="AF18" s="55">
        <v>4.2499094253043442E-2</v>
      </c>
      <c r="AG18" s="55">
        <v>1.3076987746393154</v>
      </c>
      <c r="AH18" s="32">
        <v>-776</v>
      </c>
      <c r="AI18" s="32">
        <v>-886</v>
      </c>
    </row>
    <row r="19" spans="1:35" x14ac:dyDescent="0.2">
      <c r="O19" s="156" t="s">
        <v>357</v>
      </c>
      <c r="P19" s="156" t="s">
        <v>346</v>
      </c>
      <c r="Q19" s="156" t="s">
        <v>224</v>
      </c>
      <c r="R19" s="156" t="s">
        <v>347</v>
      </c>
      <c r="S19" s="156" t="s">
        <v>306</v>
      </c>
      <c r="T19" s="157">
        <v>61422</v>
      </c>
      <c r="U19" s="34">
        <v>0.86256530436386547</v>
      </c>
      <c r="V19" s="34">
        <v>1.5583764521199717E-3</v>
      </c>
      <c r="W19" s="32">
        <v>1187.6232654314567</v>
      </c>
      <c r="X19" s="32">
        <v>14.512898487789181</v>
      </c>
      <c r="Y19" s="36">
        <v>-20.497545461992452</v>
      </c>
      <c r="Z19" s="32">
        <v>555198</v>
      </c>
      <c r="AA19" s="33">
        <v>59.310203068694143</v>
      </c>
      <c r="AB19" s="33">
        <v>27.497515773982563</v>
      </c>
      <c r="AC19" s="54">
        <v>0.97973047085188658</v>
      </c>
      <c r="AD19" s="35">
        <v>0.13422919388763405</v>
      </c>
      <c r="AE19" s="54">
        <v>1.0737871788681657</v>
      </c>
      <c r="AF19" s="55">
        <v>3.1109540944789842E-2</v>
      </c>
      <c r="AG19" s="55">
        <v>1.3745135405729108</v>
      </c>
      <c r="AH19" s="32">
        <v>-776</v>
      </c>
      <c r="AI19" s="32">
        <v>-884</v>
      </c>
    </row>
    <row r="21" spans="1:35" x14ac:dyDescent="0.2">
      <c r="A21" s="192" t="s">
        <v>330</v>
      </c>
      <c r="B21" s="171"/>
      <c r="C21" s="171"/>
      <c r="D21" s="193"/>
      <c r="E21" s="171"/>
      <c r="F21" s="194"/>
      <c r="G21" s="190"/>
      <c r="H21" s="190"/>
      <c r="I21" s="190"/>
      <c r="J21" s="195"/>
      <c r="K21" s="195"/>
      <c r="L21" s="171"/>
      <c r="M21" s="195"/>
    </row>
    <row r="22" spans="1:35" x14ac:dyDescent="0.2">
      <c r="A22" s="209"/>
      <c r="B22" s="209" t="s">
        <v>17</v>
      </c>
      <c r="C22" s="209" t="s">
        <v>15</v>
      </c>
      <c r="D22" s="353" t="s">
        <v>1</v>
      </c>
      <c r="E22" s="353"/>
      <c r="F22" s="353"/>
      <c r="G22" s="353" t="s">
        <v>2</v>
      </c>
      <c r="H22" s="353"/>
      <c r="I22" s="353"/>
      <c r="J22" s="209" t="s">
        <v>3</v>
      </c>
      <c r="K22" s="353" t="s">
        <v>16</v>
      </c>
      <c r="L22" s="353"/>
      <c r="M22" s="353"/>
    </row>
    <row r="23" spans="1:35" x14ac:dyDescent="0.2">
      <c r="A23" s="208" t="str">
        <f>LEFT(A7,9)</f>
        <v>ETH-61412</v>
      </c>
      <c r="B23" s="208">
        <f t="shared" ref="B23:M33" si="9">B7</f>
        <v>770</v>
      </c>
      <c r="C23" s="208">
        <v>1180</v>
      </c>
      <c r="D23" s="196">
        <f>D7</f>
        <v>0.85127666956539272</v>
      </c>
      <c r="E23" s="208" t="str">
        <f t="shared" si="9"/>
        <v>±</v>
      </c>
      <c r="F23" s="178">
        <f t="shared" si="9"/>
        <v>1.5658538142837442E-3</v>
      </c>
      <c r="G23" s="179">
        <f t="shared" si="9"/>
        <v>1293.4583340261609</v>
      </c>
      <c r="H23" s="179" t="str">
        <f t="shared" si="9"/>
        <v>±</v>
      </c>
      <c r="I23" s="179">
        <f t="shared" si="9"/>
        <v>14.776046542615921</v>
      </c>
      <c r="J23" s="180">
        <f t="shared" si="9"/>
        <v>-23.126273686298269</v>
      </c>
      <c r="K23" s="180">
        <f t="shared" si="9"/>
        <v>-18.115811726158281</v>
      </c>
      <c r="L23" s="208" t="str">
        <f t="shared" si="9"/>
        <v>±</v>
      </c>
      <c r="M23" s="180">
        <f t="shared" si="9"/>
        <v>1.8394182176790641</v>
      </c>
    </row>
    <row r="24" spans="1:35" x14ac:dyDescent="0.2">
      <c r="A24" s="208" t="str">
        <f t="shared" ref="A24:A33" si="10">LEFT(A8,9)</f>
        <v>ETH-61413</v>
      </c>
      <c r="B24" s="208">
        <f t="shared" si="9"/>
        <v>771</v>
      </c>
      <c r="C24" s="208">
        <v>1179</v>
      </c>
      <c r="D24" s="196">
        <f t="shared" si="9"/>
        <v>0.85209521864409299</v>
      </c>
      <c r="E24" s="208" t="str">
        <f t="shared" si="9"/>
        <v>±</v>
      </c>
      <c r="F24" s="178">
        <f t="shared" si="9"/>
        <v>1.5382343373707083E-3</v>
      </c>
      <c r="G24" s="179">
        <f t="shared" si="9"/>
        <v>1285.7378763846386</v>
      </c>
      <c r="H24" s="179" t="str">
        <f t="shared" si="9"/>
        <v>±</v>
      </c>
      <c r="I24" s="179">
        <f t="shared" si="9"/>
        <v>14.501473734075811</v>
      </c>
      <c r="J24" s="180">
        <f t="shared" si="9"/>
        <v>-21.941197173082074</v>
      </c>
      <c r="K24" s="180">
        <f t="shared" si="9"/>
        <v>-17.290554913740543</v>
      </c>
      <c r="L24" s="208" t="str">
        <f t="shared" si="9"/>
        <v>±</v>
      </c>
      <c r="M24" s="180">
        <f t="shared" si="9"/>
        <v>1.8052376116115787</v>
      </c>
    </row>
    <row r="25" spans="1:35" x14ac:dyDescent="0.2">
      <c r="A25" s="208" t="str">
        <f t="shared" si="10"/>
        <v>ETH-61414</v>
      </c>
      <c r="B25" s="208">
        <f t="shared" si="9"/>
        <v>772</v>
      </c>
      <c r="C25" s="208">
        <v>1178</v>
      </c>
      <c r="D25" s="196">
        <f t="shared" si="9"/>
        <v>0.84805132405815309</v>
      </c>
      <c r="E25" s="208" t="str">
        <f t="shared" si="9"/>
        <v>±</v>
      </c>
      <c r="F25" s="178">
        <f t="shared" si="9"/>
        <v>1.5607022913241497E-3</v>
      </c>
      <c r="G25" s="179">
        <f t="shared" si="9"/>
        <v>1323.9518369510236</v>
      </c>
      <c r="H25" s="179" t="str">
        <f t="shared" si="9"/>
        <v>±</v>
      </c>
      <c r="I25" s="179">
        <f t="shared" si="9"/>
        <v>14.783446650626527</v>
      </c>
      <c r="J25" s="197">
        <f t="shared" si="9"/>
        <v>-22.988125007381011</v>
      </c>
      <c r="K25" s="180">
        <f t="shared" si="9"/>
        <v>-22.072621781106804</v>
      </c>
      <c r="L25" s="208" t="str">
        <f t="shared" si="9"/>
        <v>±</v>
      </c>
      <c r="M25" s="180">
        <f t="shared" si="9"/>
        <v>1.8403394311747203</v>
      </c>
    </row>
    <row r="26" spans="1:35" x14ac:dyDescent="0.2">
      <c r="A26" s="208" t="str">
        <f t="shared" si="10"/>
        <v>ETH-61415</v>
      </c>
      <c r="B26" s="208">
        <f t="shared" si="9"/>
        <v>773</v>
      </c>
      <c r="C26" s="208">
        <v>1177</v>
      </c>
      <c r="D26" s="196">
        <f t="shared" si="9"/>
        <v>0.85160573133115747</v>
      </c>
      <c r="E26" s="208" t="str">
        <f t="shared" si="9"/>
        <v>±</v>
      </c>
      <c r="F26" s="178">
        <f t="shared" si="9"/>
        <v>1.5532859109609676E-3</v>
      </c>
      <c r="G26" s="179">
        <f t="shared" si="9"/>
        <v>1290.3537706154423</v>
      </c>
      <c r="H26" s="179" t="str">
        <f t="shared" si="9"/>
        <v>±</v>
      </c>
      <c r="I26" s="179">
        <f t="shared" si="9"/>
        <v>14.651786928730058</v>
      </c>
      <c r="J26" s="197">
        <f t="shared" si="9"/>
        <v>-22.871084938222431</v>
      </c>
      <c r="K26" s="180">
        <f t="shared" si="9"/>
        <v>-18.092651143104877</v>
      </c>
      <c r="L26" s="208" t="str">
        <f t="shared" si="9"/>
        <v>±</v>
      </c>
      <c r="M26" s="180">
        <f t="shared" si="9"/>
        <v>1.8239495740981027</v>
      </c>
    </row>
    <row r="27" spans="1:35" x14ac:dyDescent="0.2">
      <c r="A27" s="208" t="str">
        <f t="shared" si="10"/>
        <v>ETH-61416</v>
      </c>
      <c r="B27" s="208">
        <f t="shared" si="9"/>
        <v>774</v>
      </c>
      <c r="C27" s="208">
        <v>1176</v>
      </c>
      <c r="D27" s="196">
        <f t="shared" si="9"/>
        <v>0.85586472394587609</v>
      </c>
      <c r="E27" s="208" t="str">
        <f t="shared" si="9"/>
        <v>±</v>
      </c>
      <c r="F27" s="178">
        <f t="shared" si="9"/>
        <v>1.5529711478791737E-3</v>
      </c>
      <c r="G27" s="179">
        <f t="shared" si="9"/>
        <v>1250.2798021065685</v>
      </c>
      <c r="H27" s="179" t="str">
        <f t="shared" si="9"/>
        <v>±</v>
      </c>
      <c r="I27" s="179">
        <f t="shared" si="9"/>
        <v>14.575921733750892</v>
      </c>
      <c r="J27" s="197">
        <f t="shared" si="9"/>
        <v>-23.208404977704266</v>
      </c>
      <c r="K27" s="180">
        <f t="shared" si="9"/>
        <v>-13.301364060738452</v>
      </c>
      <c r="L27" s="208" t="str">
        <f t="shared" si="9"/>
        <v>±</v>
      </c>
      <c r="M27" s="180">
        <f t="shared" si="9"/>
        <v>1.8145053820180372</v>
      </c>
    </row>
    <row r="28" spans="1:35" x14ac:dyDescent="0.2">
      <c r="A28" s="208" t="str">
        <f t="shared" si="10"/>
        <v>ETH-61417</v>
      </c>
      <c r="B28" s="208">
        <f t="shared" si="9"/>
        <v>775</v>
      </c>
      <c r="C28" s="208">
        <v>1175</v>
      </c>
      <c r="D28" s="196">
        <f t="shared" si="9"/>
        <v>0.8683201137189418</v>
      </c>
      <c r="E28" s="208" t="str">
        <f t="shared" si="9"/>
        <v>±</v>
      </c>
      <c r="F28" s="178">
        <f t="shared" si="9"/>
        <v>1.5644616618290131E-3</v>
      </c>
      <c r="G28" s="179">
        <f t="shared" si="9"/>
        <v>1134.2181312660057</v>
      </c>
      <c r="H28" s="179" t="str">
        <f t="shared" si="9"/>
        <v>±</v>
      </c>
      <c r="I28" s="179">
        <f t="shared" si="9"/>
        <v>14.473142255852729</v>
      </c>
      <c r="J28" s="197">
        <f t="shared" si="9"/>
        <v>-22.537538551411163</v>
      </c>
      <c r="K28" s="180">
        <f t="shared" si="9"/>
        <v>0.9369666472640592</v>
      </c>
      <c r="L28" s="208" t="str">
        <f t="shared" si="9"/>
        <v>±</v>
      </c>
      <c r="M28" s="180">
        <f t="shared" si="9"/>
        <v>1.8017107252399762</v>
      </c>
    </row>
    <row r="29" spans="1:35" x14ac:dyDescent="0.2">
      <c r="A29" s="208" t="str">
        <f t="shared" si="10"/>
        <v>ETH-61418</v>
      </c>
      <c r="B29" s="208">
        <f t="shared" si="9"/>
        <v>776</v>
      </c>
      <c r="C29" s="208">
        <v>1174</v>
      </c>
      <c r="D29" s="196">
        <f t="shared" si="9"/>
        <v>0.86742658834674391</v>
      </c>
      <c r="E29" s="208" t="str">
        <f t="shared" si="9"/>
        <v>±</v>
      </c>
      <c r="F29" s="178">
        <f t="shared" si="9"/>
        <v>1.5714808613389974E-3</v>
      </c>
      <c r="G29" s="179">
        <f t="shared" si="9"/>
        <v>1142.4885660481611</v>
      </c>
      <c r="H29" s="179" t="str">
        <f t="shared" si="9"/>
        <v>±</v>
      </c>
      <c r="I29" s="179">
        <f t="shared" si="9"/>
        <v>14.553053743944016</v>
      </c>
      <c r="J29" s="197">
        <f t="shared" si="9"/>
        <v>-23.576131067588491</v>
      </c>
      <c r="K29" s="180">
        <f t="shared" si="9"/>
        <v>-0.21396942506313188</v>
      </c>
      <c r="L29" s="208" t="str">
        <f t="shared" si="9"/>
        <v>±</v>
      </c>
      <c r="M29" s="180">
        <f t="shared" si="9"/>
        <v>1.8116586261600918</v>
      </c>
    </row>
    <row r="30" spans="1:35" x14ac:dyDescent="0.2">
      <c r="A30" s="208" t="str">
        <f t="shared" si="10"/>
        <v>ETH-61419</v>
      </c>
      <c r="B30" s="208">
        <f t="shared" si="9"/>
        <v>777</v>
      </c>
      <c r="C30" s="208">
        <v>1173</v>
      </c>
      <c r="D30" s="196">
        <f t="shared" si="9"/>
        <v>0.86698511153141233</v>
      </c>
      <c r="E30" s="208" t="str">
        <f t="shared" si="9"/>
        <v>±</v>
      </c>
      <c r="F30" s="178">
        <f t="shared" si="9"/>
        <v>1.5735165790121684E-3</v>
      </c>
      <c r="G30" s="179">
        <f t="shared" si="9"/>
        <v>1146.5780026385605</v>
      </c>
      <c r="H30" s="179" t="str">
        <f t="shared" si="9"/>
        <v>±</v>
      </c>
      <c r="I30" s="179">
        <f t="shared" si="9"/>
        <v>14.579326116544019</v>
      </c>
      <c r="J30" s="197">
        <f t="shared" si="9"/>
        <v>-22.464330434485369</v>
      </c>
      <c r="K30" s="180">
        <f t="shared" si="9"/>
        <v>-0.84367870737045436</v>
      </c>
      <c r="L30" s="208" t="str">
        <f t="shared" si="9"/>
        <v>±</v>
      </c>
      <c r="M30" s="180">
        <f t="shared" si="9"/>
        <v>1.8149291816935167</v>
      </c>
    </row>
    <row r="31" spans="1:35" x14ac:dyDescent="0.2">
      <c r="A31" s="208" t="str">
        <f t="shared" si="10"/>
        <v>ETH-61420</v>
      </c>
      <c r="B31" s="208">
        <f t="shared" si="9"/>
        <v>778</v>
      </c>
      <c r="C31" s="208">
        <v>1172</v>
      </c>
      <c r="D31" s="196">
        <f t="shared" si="9"/>
        <v>0.8645884351890496</v>
      </c>
      <c r="E31" s="208" t="str">
        <f t="shared" si="9"/>
        <v>±</v>
      </c>
      <c r="F31" s="178">
        <f t="shared" si="9"/>
        <v>1.5702099254632374E-3</v>
      </c>
      <c r="G31" s="179">
        <f t="shared" si="9"/>
        <v>1168.8150175074338</v>
      </c>
      <c r="H31" s="179" t="str">
        <f t="shared" si="9"/>
        <v>±</v>
      </c>
      <c r="I31" s="179">
        <f t="shared" si="9"/>
        <v>14.589018101413926</v>
      </c>
      <c r="J31" s="180">
        <f t="shared" si="9"/>
        <v>-22.712991925600392</v>
      </c>
      <c r="K31" s="180">
        <f t="shared" si="9"/>
        <v>-3.7262459206930387</v>
      </c>
      <c r="L31" s="208" t="str">
        <f t="shared" si="9"/>
        <v>±</v>
      </c>
      <c r="M31" s="180">
        <f t="shared" si="9"/>
        <v>1.8161357029022689</v>
      </c>
    </row>
    <row r="32" spans="1:35" x14ac:dyDescent="0.2">
      <c r="A32" s="208" t="str">
        <f t="shared" si="10"/>
        <v>ETH-61421</v>
      </c>
      <c r="B32" s="208">
        <f t="shared" si="9"/>
        <v>779</v>
      </c>
      <c r="C32" s="208">
        <v>1171</v>
      </c>
      <c r="D32" s="196">
        <f t="shared" si="9"/>
        <v>0.86301370796153953</v>
      </c>
      <c r="E32" s="208" t="str">
        <f t="shared" si="9"/>
        <v>±</v>
      </c>
      <c r="F32" s="178">
        <f t="shared" si="9"/>
        <v>1.5691795523210502E-3</v>
      </c>
      <c r="G32" s="179">
        <f t="shared" si="9"/>
        <v>1183.4593467844088</v>
      </c>
      <c r="H32" s="179" t="str">
        <f t="shared" si="9"/>
        <v>±</v>
      </c>
      <c r="I32" s="179">
        <f t="shared" si="9"/>
        <v>14.60604765313502</v>
      </c>
      <c r="J32" s="180">
        <f t="shared" si="9"/>
        <v>-21.557935024214213</v>
      </c>
      <c r="K32" s="180">
        <f t="shared" si="9"/>
        <v>-5.6611049427163218</v>
      </c>
      <c r="L32" s="208" t="str">
        <f t="shared" si="9"/>
        <v>±</v>
      </c>
      <c r="M32" s="180">
        <f t="shared" si="9"/>
        <v>1.8182556520770599</v>
      </c>
    </row>
    <row r="33" spans="1:13" x14ac:dyDescent="0.2">
      <c r="A33" s="208" t="str">
        <f t="shared" si="10"/>
        <v>ETH-61422</v>
      </c>
      <c r="B33" s="208">
        <f t="shared" si="9"/>
        <v>780</v>
      </c>
      <c r="C33" s="208">
        <v>1170</v>
      </c>
      <c r="D33" s="196">
        <f t="shared" si="9"/>
        <v>0.86256530436386547</v>
      </c>
      <c r="E33" s="208" t="str">
        <f t="shared" si="9"/>
        <v>±</v>
      </c>
      <c r="F33" s="178">
        <f t="shared" si="9"/>
        <v>1.5583764521199717E-3</v>
      </c>
      <c r="G33" s="179">
        <f t="shared" si="9"/>
        <v>1187.6342076925025</v>
      </c>
      <c r="H33" s="179" t="str">
        <f t="shared" si="9"/>
        <v>±</v>
      </c>
      <c r="I33" s="179">
        <f t="shared" si="9"/>
        <v>14.513032203529184</v>
      </c>
      <c r="J33" s="180">
        <f t="shared" si="9"/>
        <v>-20.497545461992452</v>
      </c>
      <c r="K33" s="180">
        <f t="shared" si="9"/>
        <v>-6.2979506355609338</v>
      </c>
      <c r="L33" s="208" t="str">
        <f t="shared" si="9"/>
        <v>±</v>
      </c>
      <c r="M33" s="180">
        <f t="shared" si="9"/>
        <v>1.8066764849407675</v>
      </c>
    </row>
    <row r="41" spans="1:13" x14ac:dyDescent="0.2">
      <c r="A41" s="23"/>
      <c r="B41" s="23"/>
      <c r="C41" s="23"/>
      <c r="D41" s="23"/>
      <c r="E41" s="24"/>
      <c r="F41" s="25"/>
      <c r="G41" s="26"/>
      <c r="H41" s="27"/>
      <c r="I41" s="24"/>
      <c r="J41" s="24"/>
      <c r="K41" s="28"/>
      <c r="L41" s="24"/>
      <c r="M41" s="24"/>
    </row>
    <row r="42" spans="1:13" x14ac:dyDescent="0.2">
      <c r="A42" s="23"/>
      <c r="B42" s="23"/>
      <c r="C42" s="23"/>
      <c r="D42" s="23"/>
      <c r="E42" s="24"/>
      <c r="F42" s="25"/>
      <c r="G42" s="26"/>
      <c r="H42" s="27"/>
      <c r="I42" s="24"/>
      <c r="J42" s="24"/>
      <c r="K42" s="28"/>
      <c r="L42" s="24"/>
      <c r="M42" s="24"/>
    </row>
    <row r="43" spans="1:13" x14ac:dyDescent="0.2">
      <c r="A43" s="23"/>
      <c r="B43" s="23"/>
      <c r="C43" s="23"/>
      <c r="D43" s="23"/>
      <c r="E43" s="24"/>
      <c r="F43" s="25"/>
      <c r="G43" s="26"/>
      <c r="H43" s="27"/>
      <c r="I43" s="24"/>
      <c r="J43" s="24"/>
      <c r="K43" s="28"/>
      <c r="L43" s="24"/>
      <c r="M43" s="24"/>
    </row>
    <row r="44" spans="1:13" x14ac:dyDescent="0.2">
      <c r="A44" s="23"/>
      <c r="B44" s="23"/>
      <c r="C44" s="23"/>
      <c r="D44" s="23"/>
      <c r="E44" s="24"/>
      <c r="F44" s="25"/>
      <c r="G44" s="26"/>
      <c r="H44" s="27"/>
      <c r="I44" s="24"/>
      <c r="J44" s="24"/>
      <c r="K44" s="28"/>
      <c r="L44" s="24"/>
      <c r="M44" s="24"/>
    </row>
    <row r="45" spans="1:13" x14ac:dyDescent="0.2">
      <c r="A45" s="23"/>
      <c r="B45" s="23"/>
      <c r="C45" s="23"/>
      <c r="D45" s="23"/>
      <c r="E45" s="24"/>
      <c r="F45" s="25"/>
      <c r="G45" s="26"/>
      <c r="H45" s="27"/>
      <c r="I45" s="24"/>
      <c r="J45" s="24"/>
      <c r="K45" s="28"/>
      <c r="L45" s="24"/>
      <c r="M45" s="24"/>
    </row>
    <row r="46" spans="1:13" x14ac:dyDescent="0.2">
      <c r="A46" s="23"/>
      <c r="B46" s="23"/>
      <c r="C46" s="23"/>
      <c r="D46" s="23"/>
      <c r="E46" s="24"/>
      <c r="F46" s="25"/>
      <c r="G46" s="26"/>
      <c r="H46" s="27"/>
      <c r="I46" s="24"/>
      <c r="J46" s="24"/>
      <c r="K46" s="28"/>
      <c r="L46" s="24"/>
      <c r="M46" s="24"/>
    </row>
    <row r="47" spans="1:13" x14ac:dyDescent="0.2">
      <c r="A47" s="23"/>
      <c r="B47" s="23"/>
      <c r="C47" s="23"/>
      <c r="D47" s="23"/>
      <c r="E47" s="24"/>
      <c r="F47" s="25"/>
      <c r="G47" s="26"/>
      <c r="H47" s="27"/>
      <c r="I47" s="24"/>
      <c r="J47" s="24"/>
      <c r="K47" s="28"/>
      <c r="L47" s="24"/>
      <c r="M47" s="24"/>
    </row>
    <row r="48" spans="1:13" x14ac:dyDescent="0.2">
      <c r="A48" s="23"/>
      <c r="B48" s="23"/>
      <c r="C48" s="23"/>
      <c r="D48" s="23"/>
      <c r="E48" s="24"/>
      <c r="F48" s="25"/>
      <c r="G48" s="26"/>
      <c r="H48" s="27"/>
      <c r="I48" s="24"/>
      <c r="J48" s="24"/>
      <c r="K48" s="28"/>
      <c r="L48" s="24"/>
      <c r="M48" s="24"/>
    </row>
    <row r="49" spans="1:13" x14ac:dyDescent="0.2">
      <c r="A49" s="23"/>
      <c r="B49" s="23"/>
      <c r="C49" s="23"/>
      <c r="D49" s="23"/>
      <c r="E49" s="24"/>
      <c r="F49" s="25"/>
      <c r="G49" s="26"/>
      <c r="H49" s="27"/>
      <c r="I49" s="24"/>
      <c r="J49" s="24"/>
      <c r="K49" s="28"/>
      <c r="L49" s="24"/>
      <c r="M49" s="24"/>
    </row>
    <row r="50" spans="1:13" x14ac:dyDescent="0.2">
      <c r="A50" s="23"/>
      <c r="B50" s="23"/>
      <c r="C50" s="23"/>
      <c r="D50" s="23"/>
      <c r="E50" s="24"/>
      <c r="F50" s="25"/>
      <c r="G50" s="26"/>
      <c r="H50" s="27"/>
      <c r="I50" s="24"/>
      <c r="J50" s="24"/>
      <c r="K50" s="28"/>
      <c r="L50" s="24"/>
      <c r="M50" s="24"/>
    </row>
    <row r="51" spans="1:13" x14ac:dyDescent="0.2">
      <c r="A51" s="23"/>
      <c r="B51" s="23"/>
      <c r="C51" s="23"/>
      <c r="D51" s="23"/>
      <c r="E51" s="24"/>
      <c r="F51" s="25"/>
      <c r="G51" s="26"/>
      <c r="H51" s="27"/>
      <c r="I51" s="24"/>
      <c r="J51" s="24"/>
      <c r="K51" s="28"/>
      <c r="L51" s="24"/>
      <c r="M51" s="24"/>
    </row>
  </sheetData>
  <mergeCells count="6">
    <mergeCell ref="D6:F6"/>
    <mergeCell ref="G6:I6"/>
    <mergeCell ref="K6:M6"/>
    <mergeCell ref="D22:F22"/>
    <mergeCell ref="G22:I22"/>
    <mergeCell ref="K22:M2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25" workbookViewId="0">
      <selection activeCell="B5" sqref="B5:B24"/>
    </sheetView>
  </sheetViews>
  <sheetFormatPr baseColWidth="10" defaultColWidth="8.6640625" defaultRowHeight="16" x14ac:dyDescent="0.2"/>
  <cols>
    <col min="1" max="1" width="9.6640625" bestFit="1" customWidth="1"/>
    <col min="5" max="5" width="9.1640625" bestFit="1" customWidth="1"/>
  </cols>
  <sheetData>
    <row r="1" spans="1:20" s="236" customFormat="1" ht="14" x14ac:dyDescent="0.2">
      <c r="A1" s="235"/>
      <c r="B1" s="235"/>
      <c r="C1" s="235"/>
      <c r="D1" s="235"/>
      <c r="F1" s="238"/>
      <c r="G1" s="238"/>
      <c r="R1" s="239"/>
      <c r="S1" s="239"/>
    </row>
    <row r="2" spans="1:20" s="236" customFormat="1" ht="14" x14ac:dyDescent="0.2">
      <c r="A2" s="235"/>
      <c r="B2" s="235"/>
      <c r="C2" s="235"/>
      <c r="D2" s="235"/>
      <c r="R2" s="237"/>
      <c r="S2" s="237"/>
    </row>
    <row r="4" spans="1:20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H4" s="155"/>
      <c r="I4" s="233" t="s">
        <v>17</v>
      </c>
      <c r="J4" s="234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33" t="s">
        <v>3</v>
      </c>
      <c r="R4" s="346" t="s">
        <v>16</v>
      </c>
      <c r="S4" s="345"/>
      <c r="T4" s="345"/>
    </row>
    <row r="5" spans="1:20" x14ac:dyDescent="0.2">
      <c r="A5" s="156" t="s">
        <v>492</v>
      </c>
      <c r="B5" s="156" t="s">
        <v>216</v>
      </c>
      <c r="C5" s="34">
        <v>0.85528957710787501</v>
      </c>
      <c r="D5" s="34">
        <v>1.9887049804609776E-3</v>
      </c>
      <c r="E5" s="32">
        <v>1255.6682774513845</v>
      </c>
      <c r="F5" s="32">
        <v>18.678024785510893</v>
      </c>
      <c r="G5" s="36">
        <v>-24.392127699836784</v>
      </c>
      <c r="H5" s="32"/>
      <c r="I5" s="150">
        <v>770</v>
      </c>
      <c r="J5">
        <f>1950-I5</f>
        <v>1180</v>
      </c>
      <c r="K5" s="34">
        <f>C5</f>
        <v>0.85528957710787501</v>
      </c>
      <c r="L5" s="2" t="s">
        <v>5</v>
      </c>
      <c r="M5" s="13">
        <f>D5</f>
        <v>1.9887049804609776E-3</v>
      </c>
      <c r="N5" s="12">
        <f>-8033*LN(K5)</f>
        <v>1255.6798466505393</v>
      </c>
      <c r="O5" s="66" t="s">
        <v>5</v>
      </c>
      <c r="P5" s="12">
        <f>M5/K5*8033</f>
        <v>18.678196876972024</v>
      </c>
      <c r="Q5" s="5">
        <f>G5</f>
        <v>-24.392127699836784</v>
      </c>
      <c r="R5" s="9">
        <f>(EXP(J5/8267)*EXP(-N5/8033)-1)*1000</f>
        <v>-13.487221978738306</v>
      </c>
      <c r="S5" s="2" t="s">
        <v>5</v>
      </c>
      <c r="T5" s="14">
        <f>P5/8.033</f>
        <v>2.3251832288026919</v>
      </c>
    </row>
    <row r="6" spans="1:20" x14ac:dyDescent="0.2">
      <c r="A6" s="156" t="s">
        <v>493</v>
      </c>
      <c r="B6" s="156" t="s">
        <v>217</v>
      </c>
      <c r="C6" s="34">
        <v>0.84759947415978998</v>
      </c>
      <c r="D6" s="34">
        <v>2.0901182267131766E-3</v>
      </c>
      <c r="E6" s="32">
        <v>1328.2207995438896</v>
      </c>
      <c r="F6" s="32">
        <v>19.808607170267702</v>
      </c>
      <c r="G6" s="36">
        <v>-22.392840996933284</v>
      </c>
      <c r="H6" s="32"/>
      <c r="I6" s="150">
        <v>771</v>
      </c>
      <c r="J6">
        <f t="shared" ref="J6:J14" si="0">1950-I6</f>
        <v>1179</v>
      </c>
      <c r="K6" s="34">
        <f t="shared" ref="K6:K14" si="1">C6</f>
        <v>0.84759947415978998</v>
      </c>
      <c r="L6" s="2" t="s">
        <v>5</v>
      </c>
      <c r="M6" s="13">
        <f t="shared" ref="M6:M14" si="2">D6</f>
        <v>2.0901182267131766E-3</v>
      </c>
      <c r="N6" s="12">
        <f t="shared" ref="N6:N14" si="3">-8033*LN(K6)</f>
        <v>1328.2330372114545</v>
      </c>
      <c r="O6" s="66" t="s">
        <v>5</v>
      </c>
      <c r="P6" s="12">
        <f t="shared" ref="P6:P14" si="4">M6/K6*8033</f>
        <v>19.808789678439208</v>
      </c>
      <c r="Q6" s="5">
        <f t="shared" ref="Q6:Q14" si="5">G6</f>
        <v>-22.392840996933284</v>
      </c>
      <c r="R6" s="9">
        <f t="shared" ref="R6:R14" si="6">(EXP(J6/8267)*EXP(-N6/8033)-1)*1000</f>
        <v>-22.475433869462492</v>
      </c>
      <c r="S6" s="2" t="s">
        <v>5</v>
      </c>
      <c r="T6" s="14">
        <f t="shared" ref="T6:T14" si="7">P6/8.033</f>
        <v>2.465926761912014</v>
      </c>
    </row>
    <row r="7" spans="1:20" x14ac:dyDescent="0.2">
      <c r="A7" s="156" t="s">
        <v>494</v>
      </c>
      <c r="B7" s="156" t="s">
        <v>218</v>
      </c>
      <c r="C7" s="34">
        <v>0.85262481652081568</v>
      </c>
      <c r="D7" s="34">
        <v>1.9919855650824343E-3</v>
      </c>
      <c r="E7" s="32">
        <v>1280.7349225025293</v>
      </c>
      <c r="F7" s="32">
        <v>18.767308086065892</v>
      </c>
      <c r="G7" s="36">
        <v>-25.099785409283591</v>
      </c>
      <c r="H7" s="32"/>
      <c r="I7" s="150">
        <v>772</v>
      </c>
      <c r="J7">
        <f t="shared" si="0"/>
        <v>1178</v>
      </c>
      <c r="K7" s="34">
        <f t="shared" si="1"/>
        <v>0.85262481652081568</v>
      </c>
      <c r="L7" s="2" t="s">
        <v>5</v>
      </c>
      <c r="M7" s="13">
        <f t="shared" si="2"/>
        <v>1.9919855650824343E-3</v>
      </c>
      <c r="N7" s="12">
        <f t="shared" si="3"/>
        <v>1280.7467226552044</v>
      </c>
      <c r="O7" s="66" t="s">
        <v>5</v>
      </c>
      <c r="P7" s="12">
        <f t="shared" si="4"/>
        <v>18.767481000145786</v>
      </c>
      <c r="Q7" s="5">
        <f t="shared" si="5"/>
        <v>-25.099785409283591</v>
      </c>
      <c r="R7" s="9">
        <f t="shared" si="6"/>
        <v>-16.79871515961462</v>
      </c>
      <c r="S7" s="2" t="s">
        <v>5</v>
      </c>
      <c r="T7" s="14">
        <f t="shared" si="7"/>
        <v>2.3362978961964131</v>
      </c>
    </row>
    <row r="8" spans="1:20" x14ac:dyDescent="0.2">
      <c r="A8" s="156" t="s">
        <v>495</v>
      </c>
      <c r="B8" s="156" t="s">
        <v>298</v>
      </c>
      <c r="C8" s="34">
        <v>0.85684957261421835</v>
      </c>
      <c r="D8" s="34">
        <v>2.0277985120583982E-3</v>
      </c>
      <c r="E8" s="32">
        <v>1241.0300607926188</v>
      </c>
      <c r="F8" s="32">
        <v>19.010519333334077</v>
      </c>
      <c r="G8" s="36">
        <v>-26.687280344891651</v>
      </c>
      <c r="H8" s="32"/>
      <c r="I8" s="150">
        <v>774</v>
      </c>
      <c r="J8">
        <f t="shared" si="0"/>
        <v>1176</v>
      </c>
      <c r="K8" s="34">
        <f t="shared" si="1"/>
        <v>0.85684957261421835</v>
      </c>
      <c r="L8" s="2" t="s">
        <v>5</v>
      </c>
      <c r="M8" s="13">
        <f t="shared" si="2"/>
        <v>2.0277985120583982E-3</v>
      </c>
      <c r="N8" s="12">
        <f t="shared" si="3"/>
        <v>1241.0414951214045</v>
      </c>
      <c r="O8" s="66" t="s">
        <v>5</v>
      </c>
      <c r="P8" s="12">
        <f t="shared" si="4"/>
        <v>19.010694488260064</v>
      </c>
      <c r="Q8" s="5">
        <f t="shared" si="5"/>
        <v>-26.687280344891651</v>
      </c>
      <c r="R8" s="9">
        <f t="shared" si="6"/>
        <v>-12.165964025579012</v>
      </c>
      <c r="S8" s="2" t="s">
        <v>5</v>
      </c>
      <c r="T8" s="14">
        <f t="shared" si="7"/>
        <v>2.366574690434466</v>
      </c>
    </row>
    <row r="9" spans="1:20" x14ac:dyDescent="0.2">
      <c r="A9" s="156" t="s">
        <v>496</v>
      </c>
      <c r="B9" s="156" t="s">
        <v>299</v>
      </c>
      <c r="C9" s="34">
        <v>0.87151313589593227</v>
      </c>
      <c r="D9" s="34">
        <v>2.0193234731323653E-3</v>
      </c>
      <c r="E9" s="32">
        <v>1104.7228559518767</v>
      </c>
      <c r="F9" s="32">
        <v>18.612543331120097</v>
      </c>
      <c r="G9" s="36">
        <v>-23.996708420436995</v>
      </c>
      <c r="H9" s="32"/>
      <c r="I9" s="150">
        <v>775</v>
      </c>
      <c r="J9">
        <f>1950-I9</f>
        <v>1175</v>
      </c>
      <c r="K9" s="34">
        <f t="shared" si="1"/>
        <v>0.87151313589593227</v>
      </c>
      <c r="L9" s="2" t="s">
        <v>5</v>
      </c>
      <c r="M9" s="13">
        <f t="shared" si="2"/>
        <v>2.0193234731323653E-3</v>
      </c>
      <c r="N9" s="12">
        <f t="shared" si="3"/>
        <v>1104.7330344034317</v>
      </c>
      <c r="O9" s="66" t="s">
        <v>5</v>
      </c>
      <c r="P9" s="12">
        <f t="shared" si="4"/>
        <v>18.61271481926266</v>
      </c>
      <c r="Q9" s="5">
        <f t="shared" si="5"/>
        <v>-23.996708420436995</v>
      </c>
      <c r="R9" s="9">
        <f t="shared" si="6"/>
        <v>4.6176529307890846</v>
      </c>
      <c r="S9" s="2" t="s">
        <v>5</v>
      </c>
      <c r="T9" s="14">
        <f t="shared" si="7"/>
        <v>2.3170315970699193</v>
      </c>
    </row>
    <row r="10" spans="1:20" x14ac:dyDescent="0.2">
      <c r="A10" s="156" t="s">
        <v>497</v>
      </c>
      <c r="B10" s="156" t="s">
        <v>220</v>
      </c>
      <c r="C10" s="34">
        <v>0.86792563348219298</v>
      </c>
      <c r="D10" s="34">
        <v>2.0074910005748229E-3</v>
      </c>
      <c r="E10" s="32">
        <v>1137.8578909297607</v>
      </c>
      <c r="F10" s="32">
        <v>18.57996354422049</v>
      </c>
      <c r="G10" s="36">
        <v>-22.235853043476304</v>
      </c>
      <c r="H10" s="32"/>
      <c r="I10" s="150">
        <v>776</v>
      </c>
      <c r="J10">
        <f t="shared" si="0"/>
        <v>1174</v>
      </c>
      <c r="K10" s="34">
        <f t="shared" si="1"/>
        <v>0.86792563348219298</v>
      </c>
      <c r="L10" s="2" t="s">
        <v>5</v>
      </c>
      <c r="M10" s="13">
        <f t="shared" si="2"/>
        <v>2.0074910005748229E-3</v>
      </c>
      <c r="N10" s="12">
        <f t="shared" si="3"/>
        <v>1137.8683746735858</v>
      </c>
      <c r="O10" s="66" t="s">
        <v>5</v>
      </c>
      <c r="P10" s="12">
        <f t="shared" si="4"/>
        <v>18.580134732186604</v>
      </c>
      <c r="Q10" s="5">
        <f t="shared" si="5"/>
        <v>-22.235853043476304</v>
      </c>
      <c r="R10" s="9">
        <f t="shared" si="6"/>
        <v>0.36122432821961148</v>
      </c>
      <c r="S10" s="2" t="s">
        <v>5</v>
      </c>
      <c r="T10" s="14">
        <f t="shared" si="7"/>
        <v>2.312975816281166</v>
      </c>
    </row>
    <row r="11" spans="1:20" x14ac:dyDescent="0.2">
      <c r="A11" s="156" t="s">
        <v>498</v>
      </c>
      <c r="B11" s="156" t="s">
        <v>221</v>
      </c>
      <c r="C11" s="34">
        <v>0.86574404783752423</v>
      </c>
      <c r="D11" s="34">
        <v>2.2248710002208522E-3</v>
      </c>
      <c r="E11" s="32">
        <v>1158.0745740255472</v>
      </c>
      <c r="F11" s="32">
        <v>20.643773552083086</v>
      </c>
      <c r="G11" s="36">
        <v>-22.118149315917492</v>
      </c>
      <c r="H11" s="32"/>
      <c r="I11" s="150">
        <v>777</v>
      </c>
      <c r="J11">
        <f t="shared" si="0"/>
        <v>1173</v>
      </c>
      <c r="K11" s="34">
        <f t="shared" si="1"/>
        <v>0.86574404783752423</v>
      </c>
      <c r="L11" s="2" t="s">
        <v>5</v>
      </c>
      <c r="M11" s="13">
        <f t="shared" si="2"/>
        <v>2.2248710002208522E-3</v>
      </c>
      <c r="N11" s="12">
        <f t="shared" si="3"/>
        <v>1158.0852440373835</v>
      </c>
      <c r="O11" s="66" t="s">
        <v>5</v>
      </c>
      <c r="P11" s="12">
        <f t="shared" si="4"/>
        <v>20.643963755126215</v>
      </c>
      <c r="Q11" s="5">
        <f t="shared" si="5"/>
        <v>-22.118149315917492</v>
      </c>
      <c r="R11" s="9">
        <f t="shared" si="6"/>
        <v>-2.2739416016026581</v>
      </c>
      <c r="S11" s="2" t="s">
        <v>5</v>
      </c>
      <c r="T11" s="14">
        <f t="shared" si="7"/>
        <v>2.569894653943261</v>
      </c>
    </row>
    <row r="12" spans="1:20" x14ac:dyDescent="0.2">
      <c r="A12" s="156" t="s">
        <v>499</v>
      </c>
      <c r="B12" s="156" t="s">
        <v>222</v>
      </c>
      <c r="C12" s="34">
        <v>0.8664619049196286</v>
      </c>
      <c r="D12" s="34">
        <v>1.9549713935074044E-3</v>
      </c>
      <c r="E12" s="32">
        <v>1151.4165976672</v>
      </c>
      <c r="F12" s="32">
        <v>18.124444275664825</v>
      </c>
      <c r="G12" s="36">
        <v>-21.422395466013544</v>
      </c>
      <c r="H12" s="32"/>
      <c r="I12" s="150">
        <v>778</v>
      </c>
      <c r="J12">
        <f t="shared" si="0"/>
        <v>1172</v>
      </c>
      <c r="K12" s="34">
        <f t="shared" si="1"/>
        <v>0.8664619049196286</v>
      </c>
      <c r="L12" s="2" t="s">
        <v>5</v>
      </c>
      <c r="M12" s="13">
        <f t="shared" si="2"/>
        <v>1.9549713935074044E-3</v>
      </c>
      <c r="N12" s="12">
        <f t="shared" si="3"/>
        <v>1151.4272063352437</v>
      </c>
      <c r="O12" s="66" t="s">
        <v>5</v>
      </c>
      <c r="P12" s="12">
        <f t="shared" si="4"/>
        <v>18.124611266668069</v>
      </c>
      <c r="Q12" s="5">
        <f t="shared" si="5"/>
        <v>-21.422395466013544</v>
      </c>
      <c r="R12" s="9">
        <f t="shared" si="6"/>
        <v>-1.5674283311080117</v>
      </c>
      <c r="S12" s="2" t="s">
        <v>5</v>
      </c>
      <c r="T12" s="14">
        <f t="shared" si="7"/>
        <v>2.2562692974813978</v>
      </c>
    </row>
    <row r="13" spans="1:20" x14ac:dyDescent="0.2">
      <c r="A13" s="156" t="s">
        <v>500</v>
      </c>
      <c r="B13" s="156" t="s">
        <v>223</v>
      </c>
      <c r="C13" s="34">
        <v>0.86731904521886793</v>
      </c>
      <c r="D13" s="34">
        <v>1.975216065502221E-3</v>
      </c>
      <c r="E13" s="32">
        <v>1143.4740197475196</v>
      </c>
      <c r="F13" s="32">
        <v>18.294034417846692</v>
      </c>
      <c r="G13" s="36">
        <v>-25.433931648710995</v>
      </c>
      <c r="H13" s="32"/>
      <c r="I13" s="150">
        <v>779</v>
      </c>
      <c r="J13">
        <f t="shared" si="0"/>
        <v>1171</v>
      </c>
      <c r="K13" s="34">
        <f t="shared" si="1"/>
        <v>0.86731904521886793</v>
      </c>
      <c r="L13" s="2" t="s">
        <v>5</v>
      </c>
      <c r="M13" s="13">
        <f t="shared" si="2"/>
        <v>1.975216065502221E-3</v>
      </c>
      <c r="N13" s="12">
        <f t="shared" si="3"/>
        <v>1143.4845552359925</v>
      </c>
      <c r="O13" s="66" t="s">
        <v>5</v>
      </c>
      <c r="P13" s="12">
        <f t="shared" si="4"/>
        <v>18.294202971382148</v>
      </c>
      <c r="Q13" s="5">
        <f t="shared" si="5"/>
        <v>-25.433931648710995</v>
      </c>
      <c r="R13" s="9">
        <f t="shared" si="6"/>
        <v>-0.70062256357472652</v>
      </c>
      <c r="S13" s="2" t="s">
        <v>5</v>
      </c>
      <c r="T13" s="14">
        <f t="shared" si="7"/>
        <v>2.2773811740796899</v>
      </c>
    </row>
    <row r="14" spans="1:20" x14ac:dyDescent="0.2">
      <c r="A14" s="156" t="s">
        <v>501</v>
      </c>
      <c r="B14" s="156" t="s">
        <v>224</v>
      </c>
      <c r="C14" s="34">
        <v>0.86227918170142037</v>
      </c>
      <c r="D14" s="34">
        <v>1.9733641054699084E-3</v>
      </c>
      <c r="E14" s="32">
        <v>1190.2883198297648</v>
      </c>
      <c r="F14" s="32">
        <v>18.383706974505852</v>
      </c>
      <c r="G14" s="36">
        <v>-24.184824435615425</v>
      </c>
      <c r="H14" s="32"/>
      <c r="I14" s="150">
        <v>780</v>
      </c>
      <c r="J14">
        <f t="shared" si="0"/>
        <v>1170</v>
      </c>
      <c r="K14" s="34">
        <f t="shared" si="1"/>
        <v>0.86227918170142037</v>
      </c>
      <c r="L14" s="2" t="s">
        <v>5</v>
      </c>
      <c r="M14" s="13">
        <f t="shared" si="2"/>
        <v>1.9733641054699084E-3</v>
      </c>
      <c r="N14" s="12">
        <f t="shared" si="3"/>
        <v>1190.2992866455004</v>
      </c>
      <c r="O14" s="66" t="s">
        <v>5</v>
      </c>
      <c r="P14" s="12">
        <f t="shared" si="4"/>
        <v>18.383876354246514</v>
      </c>
      <c r="Q14" s="5">
        <f t="shared" si="5"/>
        <v>-24.184824435615425</v>
      </c>
      <c r="R14" s="9">
        <f t="shared" si="6"/>
        <v>-6.6275728387760191</v>
      </c>
      <c r="S14" s="2" t="s">
        <v>5</v>
      </c>
      <c r="T14" s="14">
        <f t="shared" si="7"/>
        <v>2.2885442990472447</v>
      </c>
    </row>
    <row r="15" spans="1:20" x14ac:dyDescent="0.2">
      <c r="K15" s="34"/>
      <c r="L15" s="2"/>
      <c r="M15" s="13"/>
      <c r="N15" s="12"/>
      <c r="O15" s="66"/>
      <c r="P15" s="12"/>
      <c r="Q15" s="5"/>
      <c r="R15" s="9"/>
      <c r="S15" s="2"/>
      <c r="T15" s="14"/>
    </row>
    <row r="16" spans="1:20" x14ac:dyDescent="0.2">
      <c r="A16" s="258" t="s">
        <v>755</v>
      </c>
      <c r="B16" s="156" t="s">
        <v>216</v>
      </c>
      <c r="C16" s="8">
        <v>0.8541161771875706</v>
      </c>
      <c r="D16" s="8">
        <v>1.6172333080880048E-3</v>
      </c>
      <c r="E16" s="12">
        <v>1266.6964797034454</v>
      </c>
      <c r="F16" s="12">
        <v>15.210009851325406</v>
      </c>
      <c r="G16" s="9">
        <v>-24.909152698037175</v>
      </c>
      <c r="I16" s="150">
        <v>770</v>
      </c>
      <c r="J16">
        <f t="shared" ref="J16:J24" si="8">1950-I16</f>
        <v>1180</v>
      </c>
      <c r="K16" s="34">
        <f t="shared" ref="K16:K24" si="9">C16</f>
        <v>0.8541161771875706</v>
      </c>
      <c r="L16" s="2" t="s">
        <v>5</v>
      </c>
      <c r="M16" s="13">
        <f t="shared" ref="M16:M24" si="10">D16</f>
        <v>1.6172333080880048E-3</v>
      </c>
      <c r="N16" s="12">
        <f t="shared" ref="N16:N24" si="11">-8033*LN(K16)</f>
        <v>1266.7081505118153</v>
      </c>
      <c r="O16" s="66" t="s">
        <v>5</v>
      </c>
      <c r="P16" s="12">
        <f t="shared" ref="P16:P24" si="12">M16/K16*8033</f>
        <v>15.210149989956186</v>
      </c>
      <c r="Q16" s="5">
        <f t="shared" ref="Q16:Q24" si="13">G16</f>
        <v>-24.909152698037175</v>
      </c>
      <c r="R16" s="9">
        <f t="shared" ref="R16:R24" si="14">(EXP(J16/8267)*EXP(-N16/8033)-1)*1000</f>
        <v>-14.840651327221345</v>
      </c>
      <c r="S16" s="2" t="s">
        <v>5</v>
      </c>
      <c r="T16" s="14">
        <f t="shared" ref="T16:T24" si="15">P16/8.033</f>
        <v>1.8934582335312071</v>
      </c>
    </row>
    <row r="17" spans="1:20" x14ac:dyDescent="0.2">
      <c r="A17" s="258" t="s">
        <v>756</v>
      </c>
      <c r="B17" s="156" t="s">
        <v>217</v>
      </c>
      <c r="C17" s="8">
        <v>0.85404872584059688</v>
      </c>
      <c r="D17" s="8">
        <v>1.6344320524109013E-3</v>
      </c>
      <c r="E17" s="12">
        <v>1267.3308817771001</v>
      </c>
      <c r="F17" s="12">
        <v>15.372977339799002</v>
      </c>
      <c r="G17" s="9">
        <v>-26.079842391258488</v>
      </c>
      <c r="I17" s="150">
        <v>771</v>
      </c>
      <c r="J17">
        <f t="shared" si="8"/>
        <v>1179</v>
      </c>
      <c r="K17" s="34">
        <f t="shared" si="9"/>
        <v>0.85404872584059688</v>
      </c>
      <c r="L17" s="2" t="s">
        <v>5</v>
      </c>
      <c r="M17" s="13">
        <f t="shared" si="10"/>
        <v>1.6344320524109013E-3</v>
      </c>
      <c r="N17" s="12">
        <f t="shared" si="11"/>
        <v>1267.3425584305837</v>
      </c>
      <c r="O17" s="66" t="s">
        <v>5</v>
      </c>
      <c r="P17" s="12">
        <f t="shared" si="12"/>
        <v>15.37311897994365</v>
      </c>
      <c r="Q17" s="5">
        <f t="shared" si="13"/>
        <v>-26.079842391258488</v>
      </c>
      <c r="R17" s="9">
        <f t="shared" si="14"/>
        <v>-15.037602507666502</v>
      </c>
      <c r="S17" s="2" t="s">
        <v>5</v>
      </c>
      <c r="T17" s="14">
        <f t="shared" si="15"/>
        <v>1.9137456715976162</v>
      </c>
    </row>
    <row r="18" spans="1:20" x14ac:dyDescent="0.2">
      <c r="A18" s="258" t="s">
        <v>757</v>
      </c>
      <c r="B18" s="156" t="s">
        <v>218</v>
      </c>
      <c r="C18" s="8">
        <v>0.85227103705480778</v>
      </c>
      <c r="D18" s="8">
        <v>2.04798237149603E-3</v>
      </c>
      <c r="E18" s="12">
        <v>1284.068714770656</v>
      </c>
      <c r="F18" s="12">
        <v>19.302886170820774</v>
      </c>
      <c r="G18" s="9">
        <v>-31.741977846417633</v>
      </c>
      <c r="I18" s="150">
        <v>772</v>
      </c>
      <c r="J18">
        <f t="shared" si="8"/>
        <v>1178</v>
      </c>
      <c r="K18" s="34">
        <f t="shared" si="9"/>
        <v>0.85227103705480778</v>
      </c>
      <c r="L18" s="2" t="s">
        <v>5</v>
      </c>
      <c r="M18" s="13">
        <f t="shared" si="10"/>
        <v>2.04798237149603E-3</v>
      </c>
      <c r="N18" s="12">
        <f t="shared" si="11"/>
        <v>1284.0805456394899</v>
      </c>
      <c r="O18" s="66" t="s">
        <v>5</v>
      </c>
      <c r="P18" s="12">
        <f t="shared" si="12"/>
        <v>19.303064019491782</v>
      </c>
      <c r="Q18" s="5">
        <f t="shared" si="13"/>
        <v>-31.741977846417633</v>
      </c>
      <c r="R18" s="9">
        <f t="shared" si="14"/>
        <v>-17.206674696786493</v>
      </c>
      <c r="S18" s="2" t="s">
        <v>5</v>
      </c>
      <c r="T18" s="14">
        <f t="shared" si="15"/>
        <v>2.4029707481005582</v>
      </c>
    </row>
    <row r="19" spans="1:20" x14ac:dyDescent="0.2">
      <c r="A19" s="258" t="s">
        <v>758</v>
      </c>
      <c r="B19" s="156" t="s">
        <v>298</v>
      </c>
      <c r="C19" s="8">
        <v>0.85723116054591442</v>
      </c>
      <c r="D19" s="8">
        <v>1.6060543148433159E-3</v>
      </c>
      <c r="E19" s="12">
        <v>1237.4534875255999</v>
      </c>
      <c r="F19" s="12">
        <v>15.049984225524891</v>
      </c>
      <c r="G19" s="9">
        <v>-24.521085937648568</v>
      </c>
      <c r="I19" s="150">
        <v>774</v>
      </c>
      <c r="J19">
        <f t="shared" si="8"/>
        <v>1176</v>
      </c>
      <c r="K19" s="34">
        <f t="shared" si="9"/>
        <v>0.85723116054591442</v>
      </c>
      <c r="L19" s="2" t="s">
        <v>5</v>
      </c>
      <c r="M19" s="13">
        <f t="shared" si="10"/>
        <v>1.6060543148433159E-3</v>
      </c>
      <c r="N19" s="12">
        <f t="shared" si="11"/>
        <v>1237.4648889013447</v>
      </c>
      <c r="O19" s="66" t="s">
        <v>5</v>
      </c>
      <c r="P19" s="12">
        <f t="shared" si="12"/>
        <v>15.050122889746889</v>
      </c>
      <c r="Q19" s="5">
        <f t="shared" si="13"/>
        <v>-24.521085937648568</v>
      </c>
      <c r="R19" s="9">
        <f>(EXP(J19/8267)*EXP(-N19/8033)-1)*1000</f>
        <v>-11.726043695693743</v>
      </c>
      <c r="S19" s="2" t="s">
        <v>5</v>
      </c>
      <c r="T19" s="14">
        <f t="shared" si="15"/>
        <v>1.8735370210067086</v>
      </c>
    </row>
    <row r="20" spans="1:20" x14ac:dyDescent="0.2">
      <c r="A20" s="258" t="s">
        <v>759</v>
      </c>
      <c r="B20" s="156" t="s">
        <v>299</v>
      </c>
      <c r="C20" s="8">
        <v>0.86810329543602383</v>
      </c>
      <c r="D20" s="8">
        <v>1.5882871338788588E-3</v>
      </c>
      <c r="E20" s="12">
        <v>1136.2137416794621</v>
      </c>
      <c r="F20" s="12">
        <v>14.697090843012221</v>
      </c>
      <c r="G20" s="9">
        <v>-22.613112813999138</v>
      </c>
      <c r="I20" s="150">
        <v>775</v>
      </c>
      <c r="J20">
        <f t="shared" si="8"/>
        <v>1175</v>
      </c>
      <c r="K20" s="34">
        <f t="shared" si="9"/>
        <v>0.86810329543602383</v>
      </c>
      <c r="L20" s="2" t="s">
        <v>5</v>
      </c>
      <c r="M20" s="13">
        <f t="shared" si="10"/>
        <v>1.5882871338788588E-3</v>
      </c>
      <c r="N20" s="12">
        <f t="shared" si="11"/>
        <v>1136.2242102747878</v>
      </c>
      <c r="O20" s="66" t="s">
        <v>5</v>
      </c>
      <c r="P20" s="12">
        <f t="shared" si="12"/>
        <v>14.697226255823082</v>
      </c>
      <c r="Q20" s="5">
        <f t="shared" si="13"/>
        <v>-22.613112813999138</v>
      </c>
      <c r="R20" s="9">
        <f t="shared" si="14"/>
        <v>0.68703412700021893</v>
      </c>
      <c r="S20" s="2" t="s">
        <v>5</v>
      </c>
      <c r="T20" s="14">
        <f t="shared" si="15"/>
        <v>1.8296061565819848</v>
      </c>
    </row>
    <row r="21" spans="1:20" x14ac:dyDescent="0.2">
      <c r="A21" s="258" t="s">
        <v>760</v>
      </c>
      <c r="B21" s="156" t="s">
        <v>220</v>
      </c>
      <c r="C21" s="8">
        <v>0.86800025577321316</v>
      </c>
      <c r="D21" s="8">
        <v>2.2000383560672912E-3</v>
      </c>
      <c r="E21" s="12">
        <v>1137.1672677356491</v>
      </c>
      <c r="F21" s="12">
        <v>20.360299628376133</v>
      </c>
      <c r="G21" s="9">
        <v>-29.665818751227533</v>
      </c>
      <c r="I21" s="150">
        <v>776</v>
      </c>
      <c r="J21">
        <f t="shared" si="8"/>
        <v>1174</v>
      </c>
      <c r="K21" s="34">
        <f t="shared" si="9"/>
        <v>0.86800025577321316</v>
      </c>
      <c r="L21" s="2" t="s">
        <v>5</v>
      </c>
      <c r="M21" s="13">
        <f t="shared" si="10"/>
        <v>2.2000383560672912E-3</v>
      </c>
      <c r="N21" s="12">
        <f t="shared" si="11"/>
        <v>1137.1777451163625</v>
      </c>
      <c r="O21" s="66" t="s">
        <v>5</v>
      </c>
      <c r="P21" s="12">
        <f t="shared" si="12"/>
        <v>20.360487219609809</v>
      </c>
      <c r="Q21" s="5">
        <f t="shared" si="13"/>
        <v>-29.665818751227533</v>
      </c>
      <c r="R21" s="9">
        <f t="shared" si="14"/>
        <v>0.44723313303807188</v>
      </c>
      <c r="S21" s="2" t="s">
        <v>5</v>
      </c>
      <c r="T21" s="14">
        <f t="shared" si="15"/>
        <v>2.5346056541279482</v>
      </c>
    </row>
    <row r="22" spans="1:20" x14ac:dyDescent="0.2">
      <c r="A22" s="258" t="s">
        <v>761</v>
      </c>
      <c r="B22" s="156" t="s">
        <v>222</v>
      </c>
      <c r="C22" s="8">
        <v>0.86694393815545712</v>
      </c>
      <c r="D22" s="8">
        <v>1.8304624366664083E-3</v>
      </c>
      <c r="E22" s="12">
        <v>1146.9489337067398</v>
      </c>
      <c r="F22" s="12">
        <v>16.960692185979315</v>
      </c>
      <c r="G22" s="9">
        <v>-26.336305871498155</v>
      </c>
      <c r="I22" s="150">
        <v>778</v>
      </c>
      <c r="J22">
        <f t="shared" si="8"/>
        <v>1172</v>
      </c>
      <c r="K22" s="34">
        <f t="shared" si="9"/>
        <v>0.86694393815545712</v>
      </c>
      <c r="L22" s="2" t="s">
        <v>5</v>
      </c>
      <c r="M22" s="13">
        <f t="shared" si="10"/>
        <v>1.8304624366664083E-3</v>
      </c>
      <c r="N22" s="12">
        <f t="shared" si="11"/>
        <v>1146.9595012116079</v>
      </c>
      <c r="O22" s="66" t="s">
        <v>5</v>
      </c>
      <c r="P22" s="12">
        <f t="shared" si="12"/>
        <v>16.960848454660482</v>
      </c>
      <c r="Q22" s="5">
        <f t="shared" si="13"/>
        <v>-26.336305871498155</v>
      </c>
      <c r="R22" s="9">
        <f t="shared" si="14"/>
        <v>-1.011976694347605</v>
      </c>
      <c r="S22" s="2" t="s">
        <v>5</v>
      </c>
      <c r="T22" s="14">
        <f t="shared" si="15"/>
        <v>2.1113965460799804</v>
      </c>
    </row>
    <row r="23" spans="1:20" x14ac:dyDescent="0.2">
      <c r="A23" s="258" t="s">
        <v>762</v>
      </c>
      <c r="B23" s="156" t="s">
        <v>223</v>
      </c>
      <c r="C23" s="8">
        <v>0.86347292530447839</v>
      </c>
      <c r="D23" s="8">
        <v>1.6012978539084728E-3</v>
      </c>
      <c r="E23" s="12">
        <v>1179.1751877611293</v>
      </c>
      <c r="F23" s="12">
        <v>14.896943225700101</v>
      </c>
      <c r="G23" s="9">
        <v>-23.866736232923458</v>
      </c>
      <c r="I23" s="150">
        <v>779</v>
      </c>
      <c r="J23">
        <f t="shared" si="8"/>
        <v>1171</v>
      </c>
      <c r="K23" s="34">
        <f t="shared" si="9"/>
        <v>0.86347292530447839</v>
      </c>
      <c r="L23" s="2" t="s">
        <v>5</v>
      </c>
      <c r="M23" s="13">
        <f t="shared" si="10"/>
        <v>1.6012978539084728E-3</v>
      </c>
      <c r="N23" s="12">
        <f t="shared" si="11"/>
        <v>1179.186052185142</v>
      </c>
      <c r="O23" s="66" t="s">
        <v>5</v>
      </c>
      <c r="P23" s="12">
        <f t="shared" si="12"/>
        <v>14.897080479866723</v>
      </c>
      <c r="Q23" s="5">
        <f t="shared" si="13"/>
        <v>-23.866736232923458</v>
      </c>
      <c r="R23" s="9">
        <f t="shared" si="14"/>
        <v>-5.132008288565304</v>
      </c>
      <c r="S23" s="2" t="s">
        <v>5</v>
      </c>
      <c r="T23" s="14">
        <f t="shared" si="15"/>
        <v>1.8544853080874797</v>
      </c>
    </row>
    <row r="24" spans="1:20" x14ac:dyDescent="0.2">
      <c r="A24" s="258" t="s">
        <v>763</v>
      </c>
      <c r="B24" s="156" t="s">
        <v>224</v>
      </c>
      <c r="C24" s="8">
        <v>0.86363882518295787</v>
      </c>
      <c r="D24" s="8">
        <v>1.6140922116240812E-3</v>
      </c>
      <c r="E24" s="12">
        <v>1177.631962258823</v>
      </c>
      <c r="F24" s="12">
        <v>15.013085210749662</v>
      </c>
      <c r="G24" s="9">
        <v>-23.896988547511878</v>
      </c>
      <c r="I24" s="150">
        <v>780</v>
      </c>
      <c r="J24">
        <f t="shared" si="8"/>
        <v>1170</v>
      </c>
      <c r="K24" s="34">
        <f t="shared" si="9"/>
        <v>0.86363882518295787</v>
      </c>
      <c r="L24" s="2" t="s">
        <v>5</v>
      </c>
      <c r="M24" s="13">
        <f t="shared" si="10"/>
        <v>1.6140922116240812E-3</v>
      </c>
      <c r="N24" s="12">
        <f t="shared" si="11"/>
        <v>1177.6428124642055</v>
      </c>
      <c r="O24" s="66" t="s">
        <v>5</v>
      </c>
      <c r="P24" s="12">
        <f t="shared" si="12"/>
        <v>15.013223534999664</v>
      </c>
      <c r="Q24" s="5">
        <f t="shared" si="13"/>
        <v>-23.896988547511878</v>
      </c>
      <c r="R24" s="9">
        <f t="shared" si="14"/>
        <v>-5.0612212742353613</v>
      </c>
      <c r="S24" s="2" t="s">
        <v>5</v>
      </c>
      <c r="T24" s="14">
        <f t="shared" si="15"/>
        <v>1.8689435497323124</v>
      </c>
    </row>
    <row r="26" spans="1:20" x14ac:dyDescent="0.2">
      <c r="A26" s="354" t="s">
        <v>331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</row>
    <row r="27" spans="1:20" x14ac:dyDescent="0.2">
      <c r="A27" s="185" t="s">
        <v>17</v>
      </c>
      <c r="B27" s="319" t="s">
        <v>15</v>
      </c>
      <c r="C27" s="356" t="s">
        <v>1</v>
      </c>
      <c r="D27" s="356"/>
      <c r="E27" s="356"/>
      <c r="F27" s="356" t="s">
        <v>2</v>
      </c>
      <c r="G27" s="356"/>
      <c r="H27" s="356"/>
      <c r="I27" s="319" t="s">
        <v>3</v>
      </c>
      <c r="J27" s="356" t="s">
        <v>16</v>
      </c>
      <c r="K27" s="356"/>
      <c r="L27" s="356"/>
    </row>
    <row r="28" spans="1:20" x14ac:dyDescent="0.2">
      <c r="A28" s="185">
        <v>770</v>
      </c>
      <c r="B28" s="319">
        <f>1950-A28</f>
        <v>1180</v>
      </c>
      <c r="C28" s="182">
        <f t="shared" ref="C28:C33" si="16">(C5/(D5^2)+C16/(D16^2))/(1/(D5^2)+1/(D16^2))</f>
        <v>0.85458326677876773</v>
      </c>
      <c r="D28" s="319" t="s">
        <v>5</v>
      </c>
      <c r="E28" s="182">
        <f t="shared" ref="E28:E33" si="17">SQRT(1/(1/(D5^2)+1/(D16^2)))</f>
        <v>1.2547217573483261E-3</v>
      </c>
      <c r="F28" s="183">
        <f>-8033*LN(C28)</f>
        <v>1262.3163532384028</v>
      </c>
      <c r="G28" s="183" t="s">
        <v>5</v>
      </c>
      <c r="H28" s="183">
        <f>E28/C28*8033</f>
        <v>11.794263085411401</v>
      </c>
      <c r="I28" s="319"/>
      <c r="J28" s="184">
        <f>(EXP(B28/8267)*EXP(-F28/8033)-1)*1000</f>
        <v>-14.301898298387684</v>
      </c>
      <c r="K28" s="184" t="s">
        <v>5</v>
      </c>
      <c r="L28" s="184">
        <f>H28/8.033</f>
        <v>1.4682264515637249</v>
      </c>
    </row>
    <row r="29" spans="1:20" x14ac:dyDescent="0.2">
      <c r="A29" s="185">
        <v>771</v>
      </c>
      <c r="B29" s="319">
        <f t="shared" ref="B29:B37" si="18">1950-A29</f>
        <v>1179</v>
      </c>
      <c r="C29" s="182">
        <f t="shared" si="16"/>
        <v>0.85160150743136909</v>
      </c>
      <c r="D29" s="319" t="s">
        <v>5</v>
      </c>
      <c r="E29" s="182">
        <f t="shared" si="17"/>
        <v>1.2875157642783189E-3</v>
      </c>
      <c r="F29" s="183">
        <f t="shared" ref="F29:F36" si="19">-8033*LN(C29)</f>
        <v>1290.3936137845271</v>
      </c>
      <c r="G29" s="183" t="s">
        <v>5</v>
      </c>
      <c r="H29" s="183">
        <f t="shared" ref="H29:H37" si="20">E29/C29*8033</f>
        <v>12.144898810293911</v>
      </c>
      <c r="I29" s="319"/>
      <c r="J29" s="184">
        <f t="shared" ref="J29:J37" si="21">(EXP(B29/8267)*EXP(-F29/8033)-1)*1000</f>
        <v>-17.859945119521491</v>
      </c>
      <c r="K29" s="184" t="s">
        <v>5</v>
      </c>
      <c r="L29" s="184">
        <f t="shared" ref="L29:L37" si="22">H29/8.033</f>
        <v>1.5118758633504186</v>
      </c>
    </row>
    <row r="30" spans="1:20" x14ac:dyDescent="0.2">
      <c r="A30" s="185">
        <v>772</v>
      </c>
      <c r="B30" s="319">
        <f t="shared" si="18"/>
        <v>1178</v>
      </c>
      <c r="C30" s="182">
        <f t="shared" si="16"/>
        <v>0.85245282947895495</v>
      </c>
      <c r="D30" s="319" t="s">
        <v>5</v>
      </c>
      <c r="E30" s="182">
        <f t="shared" si="17"/>
        <v>1.4279327895073324E-3</v>
      </c>
      <c r="F30" s="183">
        <f t="shared" si="19"/>
        <v>1282.3672610690342</v>
      </c>
      <c r="G30" s="183" t="s">
        <v>5</v>
      </c>
      <c r="H30" s="183">
        <f t="shared" si="20"/>
        <v>13.455975159497763</v>
      </c>
      <c r="I30" s="319"/>
      <c r="J30" s="184">
        <f t="shared" si="21"/>
        <v>-16.997041407287526</v>
      </c>
      <c r="K30" s="184" t="s">
        <v>5</v>
      </c>
      <c r="L30" s="184">
        <f t="shared" si="22"/>
        <v>1.6750871604005682</v>
      </c>
    </row>
    <row r="31" spans="1:20" x14ac:dyDescent="0.2">
      <c r="A31" s="185">
        <v>774</v>
      </c>
      <c r="B31" s="319">
        <f t="shared" si="18"/>
        <v>1176</v>
      </c>
      <c r="C31" s="182">
        <f t="shared" si="16"/>
        <v>0.85708406498338741</v>
      </c>
      <c r="D31" s="319" t="s">
        <v>5</v>
      </c>
      <c r="E31" s="182">
        <f t="shared" si="17"/>
        <v>1.2590044648289808E-3</v>
      </c>
      <c r="F31" s="183">
        <f t="shared" si="19"/>
        <v>1238.843420269535</v>
      </c>
      <c r="G31" s="183" t="s">
        <v>5</v>
      </c>
      <c r="H31" s="183">
        <f t="shared" si="20"/>
        <v>11.799989381633447</v>
      </c>
      <c r="I31" s="319"/>
      <c r="J31" s="184">
        <f t="shared" si="21"/>
        <v>-11.895625391068476</v>
      </c>
      <c r="K31" s="184" t="s">
        <v>5</v>
      </c>
      <c r="L31" s="184">
        <f t="shared" si="22"/>
        <v>1.4689392980995204</v>
      </c>
    </row>
    <row r="32" spans="1:20" x14ac:dyDescent="0.2">
      <c r="A32" s="185">
        <v>775</v>
      </c>
      <c r="B32" s="319">
        <f t="shared" si="18"/>
        <v>1175</v>
      </c>
      <c r="C32" s="182">
        <f t="shared" si="16"/>
        <v>0.86940654289221486</v>
      </c>
      <c r="D32" s="319" t="s">
        <v>5</v>
      </c>
      <c r="E32" s="182">
        <f t="shared" si="17"/>
        <v>1.2483958226985011E-3</v>
      </c>
      <c r="F32" s="183">
        <f>-8033*LN(C32)</f>
        <v>1124.1736439436779</v>
      </c>
      <c r="G32" s="183" t="s">
        <v>5</v>
      </c>
      <c r="H32" s="183">
        <f t="shared" si="20"/>
        <v>11.534722996650293</v>
      </c>
      <c r="I32" s="319"/>
      <c r="J32" s="184">
        <f>(EXP(B32/8267)*EXP(-F32/8033)-1)*1000</f>
        <v>2.1893240486325904</v>
      </c>
      <c r="K32" s="184" t="s">
        <v>5</v>
      </c>
      <c r="L32" s="184">
        <f t="shared" si="22"/>
        <v>1.4359172160650187</v>
      </c>
    </row>
    <row r="33" spans="1:12" x14ac:dyDescent="0.2">
      <c r="A33" s="185">
        <v>776</v>
      </c>
      <c r="B33" s="319">
        <f t="shared" si="18"/>
        <v>1174</v>
      </c>
      <c r="C33" s="182">
        <f t="shared" si="16"/>
        <v>0.8679595368565064</v>
      </c>
      <c r="D33" s="319" t="s">
        <v>5</v>
      </c>
      <c r="E33" s="182">
        <f t="shared" si="17"/>
        <v>1.4829189860324206E-3</v>
      </c>
      <c r="F33" s="183">
        <f t="shared" si="19"/>
        <v>1137.5545914688578</v>
      </c>
      <c r="G33" s="183" t="s">
        <v>5</v>
      </c>
      <c r="H33" s="183">
        <f t="shared" si="20"/>
        <v>13.724474136134539</v>
      </c>
      <c r="I33" s="319"/>
      <c r="J33" s="184">
        <f t="shared" si="21"/>
        <v>0.4003009722644002</v>
      </c>
      <c r="K33" s="184" t="s">
        <v>5</v>
      </c>
      <c r="L33" s="184">
        <f t="shared" si="22"/>
        <v>1.708511656434027</v>
      </c>
    </row>
    <row r="34" spans="1:12" x14ac:dyDescent="0.2">
      <c r="A34" s="185">
        <v>777</v>
      </c>
      <c r="B34" s="319">
        <f t="shared" si="18"/>
        <v>1173</v>
      </c>
      <c r="C34" s="182">
        <f>C11</f>
        <v>0.86574404783752423</v>
      </c>
      <c r="D34" s="319" t="s">
        <v>5</v>
      </c>
      <c r="E34" s="182">
        <f>D11</f>
        <v>2.2248710002208522E-3</v>
      </c>
      <c r="F34" s="183">
        <f>-8033*LN(C34)</f>
        <v>1158.0852440373835</v>
      </c>
      <c r="G34" s="183" t="s">
        <v>5</v>
      </c>
      <c r="H34" s="183">
        <f>E34/C34*8033</f>
        <v>20.643963755126215</v>
      </c>
      <c r="I34" s="319"/>
      <c r="J34" s="184">
        <f>(EXP(B34/8267)*EXP(-F34/8033)-1)*1000</f>
        <v>-2.2739416016026581</v>
      </c>
      <c r="K34" s="184" t="s">
        <v>5</v>
      </c>
      <c r="L34" s="184">
        <f>H34/8.033</f>
        <v>2.569894653943261</v>
      </c>
    </row>
    <row r="35" spans="1:12" x14ac:dyDescent="0.2">
      <c r="A35" s="185">
        <v>778</v>
      </c>
      <c r="B35" s="319">
        <f t="shared" si="18"/>
        <v>1172</v>
      </c>
      <c r="C35" s="182">
        <f>(C12/(D12^2)+C22/(D22^2))/(1/(D12^2)+1/(D22^2))</f>
        <v>0.86671875924542763</v>
      </c>
      <c r="D35" s="319" t="s">
        <v>5</v>
      </c>
      <c r="E35" s="182">
        <f>SQRT(1/(1/(D12^2)+1/(D22^2)))</f>
        <v>1.3361824751411124E-3</v>
      </c>
      <c r="F35" s="183">
        <f t="shared" si="19"/>
        <v>1149.0462533775867</v>
      </c>
      <c r="G35" s="183" t="s">
        <v>5</v>
      </c>
      <c r="H35" s="183">
        <f t="shared" si="20"/>
        <v>12.384125425130149</v>
      </c>
      <c r="I35" s="319"/>
      <c r="J35" s="184">
        <f>(EXP(B35/8267)*EXP(-F35/8033)-1)*1000</f>
        <v>-1.2714525662236298</v>
      </c>
      <c r="K35" s="184" t="s">
        <v>5</v>
      </c>
      <c r="L35" s="184">
        <f t="shared" si="22"/>
        <v>1.5416563457151935</v>
      </c>
    </row>
    <row r="36" spans="1:12" x14ac:dyDescent="0.2">
      <c r="A36" s="185">
        <v>779</v>
      </c>
      <c r="B36" s="319">
        <f t="shared" si="18"/>
        <v>1171</v>
      </c>
      <c r="C36" s="182">
        <f>(C13/(D13^2)+C23/(D23^2))/(1/(D13^2)+1/(D23^2))</f>
        <v>0.86499822784071867</v>
      </c>
      <c r="D36" s="319" t="s">
        <v>5</v>
      </c>
      <c r="E36" s="182">
        <f>SQRT(1/(1/(D13^2)+1/(D23^2)))</f>
        <v>1.2438877625186727E-3</v>
      </c>
      <c r="F36" s="183">
        <f t="shared" si="19"/>
        <v>1165.0084844173962</v>
      </c>
      <c r="G36" s="183" t="s">
        <v>5</v>
      </c>
      <c r="H36" s="183">
        <f t="shared" si="20"/>
        <v>11.551642621575935</v>
      </c>
      <c r="I36" s="319"/>
      <c r="J36" s="184">
        <f t="shared" si="21"/>
        <v>-3.3745997740520783</v>
      </c>
      <c r="K36" s="184" t="s">
        <v>5</v>
      </c>
      <c r="L36" s="184">
        <f t="shared" si="22"/>
        <v>1.438023480838533</v>
      </c>
    </row>
    <row r="37" spans="1:12" x14ac:dyDescent="0.2">
      <c r="A37" s="185">
        <v>780</v>
      </c>
      <c r="B37" s="319">
        <f t="shared" si="18"/>
        <v>1170</v>
      </c>
      <c r="C37" s="182">
        <f>(C14/(D14^2)+C24/(D24^2))/(1/(D14^2)+1/(D24^2))</f>
        <v>0.86309381516792982</v>
      </c>
      <c r="D37" s="319" t="s">
        <v>5</v>
      </c>
      <c r="E37" s="182">
        <f>SQRT(1/(1/(D14^2)+1/(D24^2)))</f>
        <v>1.2493868865482418E-3</v>
      </c>
      <c r="F37" s="183">
        <f>-8033*LN(C37)</f>
        <v>1182.7137371618653</v>
      </c>
      <c r="G37" s="183" t="s">
        <v>5</v>
      </c>
      <c r="H37" s="183">
        <f t="shared" si="20"/>
        <v>11.628312801302238</v>
      </c>
      <c r="I37" s="319"/>
      <c r="J37" s="184">
        <f t="shared" si="21"/>
        <v>-5.6890897569086274</v>
      </c>
      <c r="K37" s="184" t="s">
        <v>5</v>
      </c>
      <c r="L37" s="184">
        <f t="shared" si="22"/>
        <v>1.4475678826468616</v>
      </c>
    </row>
  </sheetData>
  <mergeCells count="7">
    <mergeCell ref="K4:M4"/>
    <mergeCell ref="N4:P4"/>
    <mergeCell ref="R4:T4"/>
    <mergeCell ref="A26:L26"/>
    <mergeCell ref="C27:E27"/>
    <mergeCell ref="F27:H27"/>
    <mergeCell ref="J27:L2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5"/>
  <sheetViews>
    <sheetView workbookViewId="0">
      <selection activeCell="I5" sqref="I5:I15"/>
    </sheetView>
  </sheetViews>
  <sheetFormatPr baseColWidth="10" defaultColWidth="8.6640625" defaultRowHeight="16" x14ac:dyDescent="0.2"/>
  <cols>
    <col min="1" max="1" width="9.6640625" bestFit="1" customWidth="1"/>
  </cols>
  <sheetData>
    <row r="3" spans="1:20" x14ac:dyDescent="0.2">
      <c r="I3" s="223"/>
    </row>
    <row r="4" spans="1:20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317" t="s">
        <v>17</v>
      </c>
      <c r="J4" s="318" t="s">
        <v>15</v>
      </c>
      <c r="K4" s="345" t="s">
        <v>1</v>
      </c>
      <c r="L4" s="345"/>
      <c r="M4" s="345"/>
      <c r="N4" s="345" t="s">
        <v>2</v>
      </c>
      <c r="O4" s="345"/>
      <c r="P4" s="345"/>
      <c r="Q4" s="317" t="s">
        <v>3</v>
      </c>
      <c r="R4" s="346" t="s">
        <v>16</v>
      </c>
      <c r="S4" s="345"/>
      <c r="T4" s="345"/>
    </row>
    <row r="5" spans="1:20" x14ac:dyDescent="0.2">
      <c r="A5" s="258" t="s">
        <v>700</v>
      </c>
      <c r="B5" s="156" t="s">
        <v>216</v>
      </c>
      <c r="C5" s="34">
        <v>0.85094422321968077</v>
      </c>
      <c r="D5" s="34">
        <v>2.0102137004259345E-3</v>
      </c>
      <c r="E5" s="32">
        <v>1296.5841022756813</v>
      </c>
      <c r="F5" s="32">
        <v>18.976446910335714</v>
      </c>
      <c r="G5" s="36">
        <v>-25.576469484671627</v>
      </c>
      <c r="I5" s="270">
        <v>770</v>
      </c>
      <c r="J5" s="271">
        <f>1950-I5</f>
        <v>1180</v>
      </c>
      <c r="K5" s="34">
        <f>C5</f>
        <v>0.85094422321968077</v>
      </c>
      <c r="L5" s="273" t="s">
        <v>5</v>
      </c>
      <c r="M5" s="274">
        <f>D5</f>
        <v>2.0102137004259345E-3</v>
      </c>
      <c r="N5" s="275">
        <f>-8033*LN(K5)</f>
        <v>1296.5960484560296</v>
      </c>
      <c r="O5" s="276" t="s">
        <v>5</v>
      </c>
      <c r="P5" s="275">
        <f>M5/K5*8033</f>
        <v>18.976621751332736</v>
      </c>
      <c r="Q5" s="277">
        <f>G5</f>
        <v>-25.576469484671627</v>
      </c>
      <c r="R5" s="271">
        <f>(EXP(J5/8267)*EXP(-N5/8033)-1)*1000</f>
        <v>-18.499263806984857</v>
      </c>
      <c r="S5" s="273" t="s">
        <v>5</v>
      </c>
      <c r="T5" s="278">
        <f>P5/8.033</f>
        <v>2.3623330949001291</v>
      </c>
    </row>
    <row r="6" spans="1:20" x14ac:dyDescent="0.2">
      <c r="A6" s="258" t="s">
        <v>701</v>
      </c>
      <c r="B6" s="156" t="s">
        <v>217</v>
      </c>
      <c r="C6" s="34">
        <v>0.85100538564196482</v>
      </c>
      <c r="D6" s="34">
        <v>1.9988583116275433E-3</v>
      </c>
      <c r="E6" s="32">
        <v>1296.0067488580387</v>
      </c>
      <c r="F6" s="32">
        <v>18.86789572511362</v>
      </c>
      <c r="G6" s="36">
        <v>-24.330587161368157</v>
      </c>
      <c r="I6" s="270">
        <v>771</v>
      </c>
      <c r="J6" s="271">
        <f t="shared" ref="J6:J14" si="0">1950-I6</f>
        <v>1179</v>
      </c>
      <c r="K6" s="34">
        <f>C6</f>
        <v>0.85100538564196482</v>
      </c>
      <c r="L6" s="273" t="s">
        <v>5</v>
      </c>
      <c r="M6" s="274">
        <f t="shared" ref="M6:M15" si="1">D6</f>
        <v>1.9988583116275433E-3</v>
      </c>
      <c r="N6" s="275">
        <f t="shared" ref="N6:N15" si="2">-8033*LN(K6)</f>
        <v>1296.0186897188955</v>
      </c>
      <c r="O6" s="276" t="s">
        <v>5</v>
      </c>
      <c r="P6" s="275">
        <f t="shared" ref="P6:P15" si="3">M6/K6*8033</f>
        <v>18.868069565965694</v>
      </c>
      <c r="Q6" s="277">
        <f t="shared" ref="Q6:Q15" si="4">G6</f>
        <v>-24.330587161368157</v>
      </c>
      <c r="R6" s="271">
        <f t="shared" ref="R6:R15" si="5">(EXP(J6/8267)*EXP(-N6/8033)-1)*1000</f>
        <v>-18.547444004683111</v>
      </c>
      <c r="S6" s="273" t="s">
        <v>5</v>
      </c>
      <c r="T6" s="278">
        <f t="shared" ref="T6:T15" si="6">P6/8.033</f>
        <v>2.3488198140129088</v>
      </c>
    </row>
    <row r="7" spans="1:20" x14ac:dyDescent="0.2">
      <c r="A7" s="258" t="s">
        <v>702</v>
      </c>
      <c r="B7" s="156" t="s">
        <v>218</v>
      </c>
      <c r="C7" s="34">
        <v>0.85393430376902824</v>
      </c>
      <c r="D7" s="34">
        <v>2.0103457616288617E-3</v>
      </c>
      <c r="E7" s="32">
        <v>1268.4071735408297</v>
      </c>
      <c r="F7" s="32">
        <v>18.911242518513578</v>
      </c>
      <c r="G7" s="36">
        <v>-25.959833519683229</v>
      </c>
      <c r="I7" s="270">
        <v>772</v>
      </c>
      <c r="J7" s="271">
        <f t="shared" si="0"/>
        <v>1178</v>
      </c>
      <c r="K7" s="34">
        <f t="shared" ref="K7:K15" si="7">C7</f>
        <v>0.85393430376902824</v>
      </c>
      <c r="L7" s="273" t="s">
        <v>5</v>
      </c>
      <c r="M7" s="274">
        <f t="shared" si="1"/>
        <v>2.0103457616288617E-3</v>
      </c>
      <c r="N7" s="275">
        <f t="shared" si="2"/>
        <v>1268.4188601108128</v>
      </c>
      <c r="O7" s="276" t="s">
        <v>5</v>
      </c>
      <c r="P7" s="275">
        <f>M7/K7*8033</f>
        <v>18.911416758744767</v>
      </c>
      <c r="Q7" s="277">
        <f t="shared" si="4"/>
        <v>-25.959833519683229</v>
      </c>
      <c r="R7" s="271">
        <f t="shared" si="5"/>
        <v>-15.288684581125978</v>
      </c>
      <c r="S7" s="273" t="s">
        <v>5</v>
      </c>
      <c r="T7" s="278">
        <f>P7/8.033</f>
        <v>2.354215954032711</v>
      </c>
    </row>
    <row r="8" spans="1:20" x14ac:dyDescent="0.2">
      <c r="A8" s="258" t="s">
        <v>703</v>
      </c>
      <c r="B8" s="156" t="s">
        <v>219</v>
      </c>
      <c r="C8" s="34">
        <v>0.85112516057050469</v>
      </c>
      <c r="D8" s="34">
        <v>2.0020620315307947E-3</v>
      </c>
      <c r="E8" s="32">
        <v>1294.8762325884049</v>
      </c>
      <c r="F8" s="32">
        <v>18.895477266694641</v>
      </c>
      <c r="G8" s="36">
        <v>-24.697357488043469</v>
      </c>
      <c r="I8" s="270">
        <v>773</v>
      </c>
      <c r="J8" s="271">
        <f t="shared" si="0"/>
        <v>1177</v>
      </c>
      <c r="K8" s="34">
        <f t="shared" si="7"/>
        <v>0.85112516057050469</v>
      </c>
      <c r="L8" s="273" t="s">
        <v>5</v>
      </c>
      <c r="M8" s="274">
        <f t="shared" si="1"/>
        <v>2.0020620315307947E-3</v>
      </c>
      <c r="N8" s="275">
        <f t="shared" si="2"/>
        <v>1294.8881630331605</v>
      </c>
      <c r="O8" s="276" t="s">
        <v>5</v>
      </c>
      <c r="P8" s="275">
        <f t="shared" si="3"/>
        <v>18.895651361671433</v>
      </c>
      <c r="Q8" s="277">
        <f t="shared" si="4"/>
        <v>-24.697357488043469</v>
      </c>
      <c r="R8" s="271">
        <f t="shared" si="5"/>
        <v>-18.646752582503478</v>
      </c>
      <c r="S8" s="273" t="s">
        <v>5</v>
      </c>
      <c r="T8" s="278">
        <f t="shared" si="6"/>
        <v>2.3522533750369021</v>
      </c>
    </row>
    <row r="9" spans="1:20" x14ac:dyDescent="0.2">
      <c r="A9" s="258" t="s">
        <v>704</v>
      </c>
      <c r="B9" s="156" t="s">
        <v>298</v>
      </c>
      <c r="C9" s="34">
        <v>0.85740372657610064</v>
      </c>
      <c r="D9" s="34">
        <v>2.0141434698489557E-3</v>
      </c>
      <c r="E9" s="32">
        <v>1235.8365716869914</v>
      </c>
      <c r="F9" s="32">
        <v>18.870299861093649</v>
      </c>
      <c r="G9" s="36">
        <v>-24.577578044029934</v>
      </c>
      <c r="I9" s="270">
        <v>774</v>
      </c>
      <c r="J9" s="271">
        <f t="shared" si="0"/>
        <v>1176</v>
      </c>
      <c r="K9" s="34">
        <f t="shared" si="7"/>
        <v>0.85740372657610064</v>
      </c>
      <c r="L9" s="2" t="s">
        <v>5</v>
      </c>
      <c r="M9" s="274">
        <f t="shared" si="1"/>
        <v>2.0141434698489557E-3</v>
      </c>
      <c r="N9" s="275">
        <f t="shared" si="2"/>
        <v>1235.8479581651538</v>
      </c>
      <c r="O9" s="66" t="s">
        <v>5</v>
      </c>
      <c r="P9" s="275">
        <f t="shared" si="3"/>
        <v>18.870473724096421</v>
      </c>
      <c r="Q9" s="277">
        <f t="shared" si="4"/>
        <v>-24.577578044029934</v>
      </c>
      <c r="R9" s="271">
        <f t="shared" si="5"/>
        <v>-11.527097925608466</v>
      </c>
      <c r="S9" s="2" t="s">
        <v>5</v>
      </c>
      <c r="T9" s="278">
        <f t="shared" si="6"/>
        <v>2.3491190992277384</v>
      </c>
    </row>
    <row r="10" spans="1:20" x14ac:dyDescent="0.2">
      <c r="A10" s="258" t="s">
        <v>705</v>
      </c>
      <c r="B10" s="156" t="s">
        <v>299</v>
      </c>
      <c r="C10" s="34">
        <v>0.86737321398906864</v>
      </c>
      <c r="D10" s="34">
        <v>2.0260001387567891E-3</v>
      </c>
      <c r="E10" s="32">
        <v>1142.972335694092</v>
      </c>
      <c r="F10" s="32">
        <v>18.763213924330529</v>
      </c>
      <c r="G10" s="36">
        <v>-22.378302758106482</v>
      </c>
      <c r="I10" s="270">
        <v>775</v>
      </c>
      <c r="J10" s="271">
        <f t="shared" si="0"/>
        <v>1175</v>
      </c>
      <c r="K10" s="34">
        <f t="shared" si="7"/>
        <v>0.86737321398906864</v>
      </c>
      <c r="L10" s="2" t="s">
        <v>5</v>
      </c>
      <c r="M10" s="274">
        <f t="shared" si="1"/>
        <v>2.0260001387567891E-3</v>
      </c>
      <c r="N10" s="275">
        <f t="shared" si="2"/>
        <v>1142.982866560259</v>
      </c>
      <c r="O10" s="66" t="s">
        <v>5</v>
      </c>
      <c r="P10" s="275">
        <f t="shared" si="3"/>
        <v>18.763386800688536</v>
      </c>
      <c r="Q10" s="277">
        <f t="shared" si="4"/>
        <v>-22.378302758106482</v>
      </c>
      <c r="R10" s="271">
        <f t="shared" si="5"/>
        <v>-0.15455124845653589</v>
      </c>
      <c r="S10" s="2" t="s">
        <v>5</v>
      </c>
      <c r="T10" s="278">
        <f t="shared" si="6"/>
        <v>2.3357882236634553</v>
      </c>
    </row>
    <row r="11" spans="1:20" x14ac:dyDescent="0.2">
      <c r="A11" s="258" t="s">
        <v>706</v>
      </c>
      <c r="B11" s="156" t="s">
        <v>220</v>
      </c>
      <c r="C11" s="34">
        <v>0.86630921842011377</v>
      </c>
      <c r="D11" s="34">
        <v>2.0277635169480661E-3</v>
      </c>
      <c r="E11" s="32">
        <v>1152.8322714819622</v>
      </c>
      <c r="F11" s="32">
        <v>18.802609860848975</v>
      </c>
      <c r="G11" s="36">
        <v>-22.506804856029294</v>
      </c>
      <c r="I11" s="270">
        <v>776</v>
      </c>
      <c r="J11" s="271">
        <f t="shared" si="0"/>
        <v>1174</v>
      </c>
      <c r="K11" s="34">
        <f t="shared" si="7"/>
        <v>0.86630921842011377</v>
      </c>
      <c r="L11" s="2" t="s">
        <v>5</v>
      </c>
      <c r="M11" s="274">
        <f t="shared" si="1"/>
        <v>2.0277635169480661E-3</v>
      </c>
      <c r="N11" s="275">
        <f t="shared" si="2"/>
        <v>1152.8428931934286</v>
      </c>
      <c r="O11" s="66" t="s">
        <v>5</v>
      </c>
      <c r="P11" s="275">
        <f t="shared" si="3"/>
        <v>18.802783100184566</v>
      </c>
      <c r="Q11" s="277">
        <f t="shared" si="4"/>
        <v>-22.506804856029294</v>
      </c>
      <c r="R11" s="271">
        <f t="shared" si="5"/>
        <v>-1.5018373076449709</v>
      </c>
      <c r="S11" s="2" t="s">
        <v>5</v>
      </c>
      <c r="T11" s="278">
        <f t="shared" si="6"/>
        <v>2.3406925308333832</v>
      </c>
    </row>
    <row r="12" spans="1:20" x14ac:dyDescent="0.2">
      <c r="A12" s="258" t="s">
        <v>707</v>
      </c>
      <c r="B12" s="156" t="s">
        <v>221</v>
      </c>
      <c r="C12" s="34">
        <v>0.8645679409574154</v>
      </c>
      <c r="D12" s="34">
        <v>2.0087403116817002E-3</v>
      </c>
      <c r="E12" s="32">
        <v>1168.9946636255834</v>
      </c>
      <c r="F12" s="32">
        <v>18.663729579172468</v>
      </c>
      <c r="G12" s="36">
        <v>-23.21037980152807</v>
      </c>
      <c r="I12" s="270">
        <v>777</v>
      </c>
      <c r="J12" s="271">
        <f t="shared" si="0"/>
        <v>1173</v>
      </c>
      <c r="K12" s="34">
        <f t="shared" si="7"/>
        <v>0.8645679409574154</v>
      </c>
      <c r="L12" s="2" t="s">
        <v>5</v>
      </c>
      <c r="M12" s="274">
        <f t="shared" si="1"/>
        <v>2.0087403116817002E-3</v>
      </c>
      <c r="N12" s="275">
        <f t="shared" si="2"/>
        <v>1169.0054342505305</v>
      </c>
      <c r="O12" s="66" t="s">
        <v>5</v>
      </c>
      <c r="P12" s="275">
        <f t="shared" si="3"/>
        <v>18.663901538923582</v>
      </c>
      <c r="Q12" s="277">
        <f t="shared" si="4"/>
        <v>-23.21037980152807</v>
      </c>
      <c r="R12" s="271">
        <f t="shared" si="5"/>
        <v>-3.6293450660298543</v>
      </c>
      <c r="S12" s="2" t="s">
        <v>5</v>
      </c>
      <c r="T12" s="278">
        <f t="shared" si="6"/>
        <v>2.3234036522997115</v>
      </c>
    </row>
    <row r="13" spans="1:20" x14ac:dyDescent="0.2">
      <c r="A13" s="258" t="s">
        <v>708</v>
      </c>
      <c r="B13" s="156" t="s">
        <v>222</v>
      </c>
      <c r="C13" s="34">
        <v>0.86663418771280976</v>
      </c>
      <c r="D13" s="34">
        <v>2.0170134330110847E-3</v>
      </c>
      <c r="E13" s="32">
        <v>1149.8195310797535</v>
      </c>
      <c r="F13" s="32">
        <v>18.695915593799679</v>
      </c>
      <c r="G13" s="36">
        <v>-22.469212840695029</v>
      </c>
      <c r="I13" s="270">
        <v>778</v>
      </c>
      <c r="J13" s="271">
        <f t="shared" si="0"/>
        <v>1172</v>
      </c>
      <c r="K13" s="34">
        <f t="shared" si="7"/>
        <v>0.86663418771280976</v>
      </c>
      <c r="L13" s="2" t="s">
        <v>5</v>
      </c>
      <c r="M13" s="274">
        <f t="shared" si="1"/>
        <v>2.0170134330110847E-3</v>
      </c>
      <c r="N13" s="275">
        <f t="shared" si="2"/>
        <v>1149.8301250330976</v>
      </c>
      <c r="O13" s="66" t="s">
        <v>5</v>
      </c>
      <c r="P13" s="275">
        <f t="shared" si="3"/>
        <v>18.69608785009919</v>
      </c>
      <c r="Q13" s="277">
        <f t="shared" si="4"/>
        <v>-22.469212840695029</v>
      </c>
      <c r="R13" s="271">
        <f t="shared" si="5"/>
        <v>-1.3689051747252101</v>
      </c>
      <c r="S13" s="2" t="s">
        <v>5</v>
      </c>
      <c r="T13" s="278">
        <f t="shared" si="6"/>
        <v>2.3274104133075055</v>
      </c>
    </row>
    <row r="14" spans="1:20" x14ac:dyDescent="0.2">
      <c r="A14" s="258" t="s">
        <v>709</v>
      </c>
      <c r="B14" s="156" t="s">
        <v>223</v>
      </c>
      <c r="C14" s="34">
        <v>0.86362693139056945</v>
      </c>
      <c r="D14" s="34">
        <v>2.0301965897335946E-3</v>
      </c>
      <c r="E14" s="32">
        <v>1177.7425902309353</v>
      </c>
      <c r="F14" s="32">
        <v>18.883638702837757</v>
      </c>
      <c r="G14" s="36">
        <v>-22.622938954597437</v>
      </c>
      <c r="I14" s="270">
        <v>779</v>
      </c>
      <c r="J14" s="271">
        <f t="shared" si="0"/>
        <v>1171</v>
      </c>
      <c r="K14" s="34">
        <f t="shared" si="7"/>
        <v>0.86362693139056945</v>
      </c>
      <c r="L14" s="2" t="s">
        <v>5</v>
      </c>
      <c r="M14" s="274">
        <f t="shared" si="1"/>
        <v>2.0301965897335946E-3</v>
      </c>
      <c r="N14" s="275">
        <f t="shared" si="2"/>
        <v>1177.7534414555971</v>
      </c>
      <c r="O14" s="66" t="s">
        <v>5</v>
      </c>
      <c r="P14" s="275">
        <f t="shared" si="3"/>
        <v>18.883812688739006</v>
      </c>
      <c r="Q14" s="277">
        <f t="shared" si="4"/>
        <v>-22.622938954597437</v>
      </c>
      <c r="R14" s="271">
        <f t="shared" si="5"/>
        <v>-4.954567026551504</v>
      </c>
      <c r="S14" s="2" t="s">
        <v>5</v>
      </c>
      <c r="T14" s="278">
        <f t="shared" si="6"/>
        <v>2.3507796201592193</v>
      </c>
    </row>
    <row r="15" spans="1:20" x14ac:dyDescent="0.2">
      <c r="A15" s="258" t="s">
        <v>710</v>
      </c>
      <c r="B15" s="156" t="s">
        <v>224</v>
      </c>
      <c r="C15" s="34">
        <v>0.86452849391147302</v>
      </c>
      <c r="D15" s="34">
        <v>2.0354587543387321E-3</v>
      </c>
      <c r="E15" s="32">
        <v>1169.3611847682625</v>
      </c>
      <c r="F15" s="32">
        <v>18.912840514084898</v>
      </c>
      <c r="G15" s="36">
        <v>-25.730923588315857</v>
      </c>
      <c r="I15" s="270">
        <v>780</v>
      </c>
      <c r="J15" s="271">
        <f>1950-I15</f>
        <v>1170</v>
      </c>
      <c r="K15" s="34">
        <f t="shared" si="7"/>
        <v>0.86452849391147302</v>
      </c>
      <c r="L15" s="2" t="s">
        <v>5</v>
      </c>
      <c r="M15" s="274">
        <f t="shared" si="1"/>
        <v>2.0354587543387321E-3</v>
      </c>
      <c r="N15" s="275">
        <f t="shared" si="2"/>
        <v>1169.3719587701812</v>
      </c>
      <c r="O15" s="66" t="s">
        <v>5</v>
      </c>
      <c r="P15" s="275">
        <f t="shared" si="3"/>
        <v>18.91301476903935</v>
      </c>
      <c r="Q15" s="277">
        <f t="shared" si="4"/>
        <v>-25.730923588315857</v>
      </c>
      <c r="R15" s="271">
        <f t="shared" si="5"/>
        <v>-4.0362952375534444</v>
      </c>
      <c r="S15" s="2" t="s">
        <v>5</v>
      </c>
      <c r="T15" s="278">
        <f t="shared" si="6"/>
        <v>2.3544148847304061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5"/>
  <sheetViews>
    <sheetView workbookViewId="0">
      <selection sqref="A1:XFD1048576"/>
    </sheetView>
  </sheetViews>
  <sheetFormatPr baseColWidth="10" defaultColWidth="8.6640625" defaultRowHeight="16" x14ac:dyDescent="0.2"/>
  <sheetData>
    <row r="3" spans="1:20" x14ac:dyDescent="0.2">
      <c r="I3" s="223"/>
    </row>
    <row r="4" spans="1:20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313" t="s">
        <v>17</v>
      </c>
      <c r="J4" s="314" t="s">
        <v>15</v>
      </c>
      <c r="K4" s="345" t="s">
        <v>1</v>
      </c>
      <c r="L4" s="345"/>
      <c r="M4" s="345"/>
      <c r="N4" s="345" t="s">
        <v>2</v>
      </c>
      <c r="O4" s="345"/>
      <c r="P4" s="345"/>
      <c r="Q4" s="313" t="s">
        <v>3</v>
      </c>
      <c r="R4" s="346" t="s">
        <v>16</v>
      </c>
      <c r="S4" s="345"/>
      <c r="T4" s="345"/>
    </row>
    <row r="5" spans="1:20" x14ac:dyDescent="0.2">
      <c r="A5" s="156" t="s">
        <v>622</v>
      </c>
      <c r="B5" s="156" t="s">
        <v>216</v>
      </c>
      <c r="C5" s="34">
        <v>0.84831031327851936</v>
      </c>
      <c r="D5" s="34">
        <v>2.1080440620434462E-3</v>
      </c>
      <c r="E5" s="32">
        <v>1321.4868112069871</v>
      </c>
      <c r="F5" s="32">
        <v>19.961754165634137</v>
      </c>
      <c r="G5" s="36">
        <v>-22.653566197335717</v>
      </c>
      <c r="I5" s="270">
        <v>770</v>
      </c>
      <c r="J5" s="271">
        <f>1950-I5</f>
        <v>1180</v>
      </c>
      <c r="K5" s="34">
        <v>0.84831031327851936</v>
      </c>
      <c r="L5" s="273" t="s">
        <v>5</v>
      </c>
      <c r="M5" s="274">
        <f>D5</f>
        <v>2.1080440620434462E-3</v>
      </c>
      <c r="N5" s="275">
        <f>-8033*LN(K5)</f>
        <v>1321.4989868304172</v>
      </c>
      <c r="O5" s="276" t="s">
        <v>5</v>
      </c>
      <c r="P5" s="275">
        <f>M5/K5*8033</f>
        <v>19.961938084837612</v>
      </c>
      <c r="Q5" s="277">
        <f>G5</f>
        <v>-22.653566197335717</v>
      </c>
      <c r="R5" s="271">
        <f>(EXP(J5/8267)*EXP(-N5/8033)-1)*1000</f>
        <v>-21.537282605131878</v>
      </c>
      <c r="S5" s="273" t="s">
        <v>5</v>
      </c>
      <c r="T5" s="278">
        <f>P5/8.033</f>
        <v>2.4849916699660914</v>
      </c>
    </row>
    <row r="6" spans="1:20" x14ac:dyDescent="0.2">
      <c r="A6" s="156" t="s">
        <v>623</v>
      </c>
      <c r="B6" s="156" t="s">
        <v>217</v>
      </c>
      <c r="C6" s="34">
        <v>0.85395251185472465</v>
      </c>
      <c r="D6" s="34">
        <v>2.1045351576960041E-3</v>
      </c>
      <c r="E6" s="32">
        <v>1268.2358926298818</v>
      </c>
      <c r="F6" s="32">
        <v>19.79685629614016</v>
      </c>
      <c r="G6" s="36">
        <v>-20.993272613691218</v>
      </c>
      <c r="I6" s="270">
        <v>771</v>
      </c>
      <c r="J6" s="271">
        <f t="shared" ref="J6:J14" si="0">1950-I6</f>
        <v>1179</v>
      </c>
      <c r="K6" s="34">
        <v>0.85395251185472465</v>
      </c>
      <c r="L6" s="273" t="s">
        <v>5</v>
      </c>
      <c r="M6" s="274">
        <f t="shared" ref="M6:M14" si="1">D6</f>
        <v>2.1045351576960041E-3</v>
      </c>
      <c r="N6" s="275">
        <f t="shared" ref="N6:N15" si="2">-8033*LN(K6)</f>
        <v>1268.2475776217545</v>
      </c>
      <c r="O6" s="276" t="s">
        <v>5</v>
      </c>
      <c r="P6" s="275">
        <f t="shared" ref="P6:P15" si="3">M6/K6*8033</f>
        <v>19.797038696044051</v>
      </c>
      <c r="Q6" s="277">
        <f t="shared" ref="Q6:Q15" si="4">G6</f>
        <v>-20.993272613691218</v>
      </c>
      <c r="R6" s="271">
        <f t="shared" ref="R6:R15" si="5">(EXP(J6/8267)*EXP(-N6/8033)-1)*1000</f>
        <v>-15.1485647459203</v>
      </c>
      <c r="S6" s="273" t="s">
        <v>5</v>
      </c>
      <c r="T6" s="278">
        <f t="shared" ref="T6:T15" si="6">P6/8.033</f>
        <v>2.4644639233218042</v>
      </c>
    </row>
    <row r="7" spans="1:20" x14ac:dyDescent="0.2">
      <c r="A7" s="156" t="s">
        <v>624</v>
      </c>
      <c r="B7" s="156" t="s">
        <v>218</v>
      </c>
      <c r="C7" s="34">
        <v>0.84904526235163635</v>
      </c>
      <c r="D7" s="34">
        <v>2.0912515555250137E-3</v>
      </c>
      <c r="E7" s="32">
        <v>1314.5303526275102</v>
      </c>
      <c r="F7" s="32">
        <v>19.785598851695816</v>
      </c>
      <c r="G7" s="36">
        <v>-22.920716779915807</v>
      </c>
      <c r="I7" s="270">
        <v>772</v>
      </c>
      <c r="J7" s="271">
        <f t="shared" si="0"/>
        <v>1178</v>
      </c>
      <c r="K7" s="34">
        <v>0.84904526235163635</v>
      </c>
      <c r="L7" s="273" t="s">
        <v>5</v>
      </c>
      <c r="M7" s="274">
        <f t="shared" si="1"/>
        <v>2.0912515555250137E-3</v>
      </c>
      <c r="N7" s="275">
        <f t="shared" si="2"/>
        <v>1314.542464157058</v>
      </c>
      <c r="O7" s="276" t="s">
        <v>5</v>
      </c>
      <c r="P7" s="275">
        <f t="shared" si="3"/>
        <v>19.785781147878353</v>
      </c>
      <c r="Q7" s="277">
        <f t="shared" si="4"/>
        <v>-22.920716779915807</v>
      </c>
      <c r="R7" s="271">
        <f t="shared" si="5"/>
        <v>-20.926465361226221</v>
      </c>
      <c r="S7" s="273" t="s">
        <v>5</v>
      </c>
      <c r="T7" s="278">
        <f t="shared" si="6"/>
        <v>2.4630625106284518</v>
      </c>
    </row>
    <row r="8" spans="1:20" x14ac:dyDescent="0.2">
      <c r="A8" s="156" t="s">
        <v>625</v>
      </c>
      <c r="B8" s="156" t="s">
        <v>219</v>
      </c>
      <c r="C8" s="34">
        <v>0.85081235650869769</v>
      </c>
      <c r="D8" s="34">
        <v>2.1452524246427171E-3</v>
      </c>
      <c r="E8" s="32">
        <v>1297.8290224297698</v>
      </c>
      <c r="F8" s="32">
        <v>20.254353173062228</v>
      </c>
      <c r="G8" s="36">
        <v>-23.76046596506265</v>
      </c>
      <c r="I8" s="270">
        <v>773</v>
      </c>
      <c r="J8" s="271">
        <f t="shared" si="0"/>
        <v>1177</v>
      </c>
      <c r="K8" s="34">
        <v>0.85081235650869769</v>
      </c>
      <c r="L8" s="273" t="s">
        <v>5</v>
      </c>
      <c r="M8" s="274">
        <f t="shared" si="1"/>
        <v>2.1452524246427171E-3</v>
      </c>
      <c r="N8" s="275">
        <f t="shared" si="2"/>
        <v>1297.8409800802885</v>
      </c>
      <c r="O8" s="276" t="s">
        <v>5</v>
      </c>
      <c r="P8" s="275">
        <f t="shared" si="3"/>
        <v>20.254539788149842</v>
      </c>
      <c r="Q8" s="277">
        <f t="shared" si="4"/>
        <v>-23.76046596506265</v>
      </c>
      <c r="R8" s="271">
        <f t="shared" si="5"/>
        <v>-19.007417847825781</v>
      </c>
      <c r="S8" s="273" t="s">
        <v>5</v>
      </c>
      <c r="T8" s="278">
        <f t="shared" si="6"/>
        <v>2.5214166299203091</v>
      </c>
    </row>
    <row r="9" spans="1:20" x14ac:dyDescent="0.2">
      <c r="A9" s="156" t="s">
        <v>626</v>
      </c>
      <c r="B9" s="156" t="s">
        <v>298</v>
      </c>
      <c r="C9" s="34">
        <v>0.8588793008146639</v>
      </c>
      <c r="D9" s="34">
        <v>2.1637930923438485E-3</v>
      </c>
      <c r="E9" s="32">
        <v>1222.0239529294613</v>
      </c>
      <c r="F9" s="32">
        <v>20.23752318592031</v>
      </c>
      <c r="G9" s="36">
        <v>-24.19590757023937</v>
      </c>
      <c r="I9" s="270">
        <v>774</v>
      </c>
      <c r="J9" s="271">
        <f t="shared" si="0"/>
        <v>1176</v>
      </c>
      <c r="K9" s="34">
        <v>0.8588793008146639</v>
      </c>
      <c r="L9" s="2" t="s">
        <v>5</v>
      </c>
      <c r="M9" s="274">
        <f t="shared" si="1"/>
        <v>2.1637930923438485E-3</v>
      </c>
      <c r="N9" s="275">
        <f t="shared" si="2"/>
        <v>1222.0352121439666</v>
      </c>
      <c r="O9" s="66" t="s">
        <v>5</v>
      </c>
      <c r="P9" s="275">
        <f t="shared" si="3"/>
        <v>20.2377096459435</v>
      </c>
      <c r="Q9" s="277">
        <f t="shared" si="4"/>
        <v>-24.19590757023937</v>
      </c>
      <c r="R9" s="271">
        <f t="shared" si="5"/>
        <v>-9.8259563226400495</v>
      </c>
      <c r="S9" s="2" t="s">
        <v>5</v>
      </c>
      <c r="T9" s="278">
        <f t="shared" si="6"/>
        <v>2.5193215045367237</v>
      </c>
    </row>
    <row r="10" spans="1:20" x14ac:dyDescent="0.2">
      <c r="A10" s="156" t="s">
        <v>627</v>
      </c>
      <c r="B10" s="156" t="s">
        <v>299</v>
      </c>
      <c r="C10" s="34">
        <v>0.86400902759057929</v>
      </c>
      <c r="D10" s="34">
        <v>2.1581414630671317E-3</v>
      </c>
      <c r="E10" s="32">
        <v>1174.1893526069268</v>
      </c>
      <c r="F10" s="32">
        <v>20.064825818772881</v>
      </c>
      <c r="G10" s="36">
        <v>-24.145579067159527</v>
      </c>
      <c r="I10" s="270">
        <v>775</v>
      </c>
      <c r="J10" s="271">
        <f t="shared" si="0"/>
        <v>1175</v>
      </c>
      <c r="K10" s="34">
        <v>0.86400902759057929</v>
      </c>
      <c r="L10" s="2" t="s">
        <v>5</v>
      </c>
      <c r="M10" s="274">
        <f t="shared" si="1"/>
        <v>2.1581414630671317E-3</v>
      </c>
      <c r="N10" s="275">
        <f t="shared" si="2"/>
        <v>1174.2001710935524</v>
      </c>
      <c r="O10" s="66" t="s">
        <v>5</v>
      </c>
      <c r="P10" s="275">
        <f t="shared" si="3"/>
        <v>20.065010687635201</v>
      </c>
      <c r="Q10" s="277">
        <f t="shared" si="4"/>
        <v>-24.145579067159527</v>
      </c>
      <c r="R10" s="271">
        <f t="shared" si="5"/>
        <v>-4.0325433342529582</v>
      </c>
      <c r="S10" s="2" t="s">
        <v>5</v>
      </c>
      <c r="T10" s="278">
        <f t="shared" si="6"/>
        <v>2.4978228168349563</v>
      </c>
    </row>
    <row r="11" spans="1:20" x14ac:dyDescent="0.2">
      <c r="A11" s="156" t="s">
        <v>628</v>
      </c>
      <c r="B11" s="156" t="s">
        <v>220</v>
      </c>
      <c r="C11" s="34">
        <v>0.86534896702298691</v>
      </c>
      <c r="D11" s="34">
        <v>2.1347565624308018E-3</v>
      </c>
      <c r="E11" s="32">
        <v>1161.7412227501568</v>
      </c>
      <c r="F11" s="32">
        <v>19.816677573902286</v>
      </c>
      <c r="G11" s="36">
        <v>-22.680940052284381</v>
      </c>
      <c r="I11" s="270">
        <v>776</v>
      </c>
      <c r="J11" s="271">
        <f t="shared" si="0"/>
        <v>1174</v>
      </c>
      <c r="K11" s="34">
        <v>0.86534896702298691</v>
      </c>
      <c r="L11" s="2" t="s">
        <v>5</v>
      </c>
      <c r="M11" s="274">
        <f t="shared" si="1"/>
        <v>2.1347565624308018E-3</v>
      </c>
      <c r="N11" s="275">
        <f t="shared" si="2"/>
        <v>1161.7519265449516</v>
      </c>
      <c r="O11" s="66" t="s">
        <v>5</v>
      </c>
      <c r="P11" s="275">
        <f t="shared" si="3"/>
        <v>19.81686015643109</v>
      </c>
      <c r="Q11" s="277">
        <f t="shared" si="4"/>
        <v>-22.680940052284381</v>
      </c>
      <c r="R11" s="271">
        <f t="shared" si="5"/>
        <v>-2.6086121582029609</v>
      </c>
      <c r="S11" s="2" t="s">
        <v>5</v>
      </c>
      <c r="T11" s="278">
        <f t="shared" si="6"/>
        <v>2.4669314274157963</v>
      </c>
    </row>
    <row r="12" spans="1:20" x14ac:dyDescent="0.2">
      <c r="A12" s="156" t="s">
        <v>629</v>
      </c>
      <c r="B12" s="156" t="s">
        <v>221</v>
      </c>
      <c r="C12" s="34">
        <v>0.86747200372226607</v>
      </c>
      <c r="D12" s="34">
        <v>2.1523032729681242E-3</v>
      </c>
      <c r="E12" s="32">
        <v>1142.0574752697667</v>
      </c>
      <c r="F12" s="32">
        <v>19.930663838482246</v>
      </c>
      <c r="G12" s="36">
        <v>-24.517569010563346</v>
      </c>
      <c r="I12" s="270">
        <v>777</v>
      </c>
      <c r="J12" s="271">
        <f t="shared" si="0"/>
        <v>1173</v>
      </c>
      <c r="K12" s="34">
        <v>0.86747200372226607</v>
      </c>
      <c r="L12" s="2" t="s">
        <v>5</v>
      </c>
      <c r="M12" s="274">
        <f t="shared" si="1"/>
        <v>2.1523032729681242E-3</v>
      </c>
      <c r="N12" s="275">
        <f t="shared" si="2"/>
        <v>1142.0679977067946</v>
      </c>
      <c r="O12" s="66" t="s">
        <v>5</v>
      </c>
      <c r="P12" s="275">
        <f t="shared" si="3"/>
        <v>19.930847471232529</v>
      </c>
      <c r="Q12" s="277">
        <f t="shared" si="4"/>
        <v>-24.517569010563346</v>
      </c>
      <c r="R12" s="271">
        <f t="shared" si="5"/>
        <v>-0.28256017856409521</v>
      </c>
      <c r="S12" s="2" t="s">
        <v>5</v>
      </c>
      <c r="T12" s="278">
        <f t="shared" si="6"/>
        <v>2.4811213085064772</v>
      </c>
    </row>
    <row r="13" spans="1:20" x14ac:dyDescent="0.2">
      <c r="A13" s="156" t="s">
        <v>630</v>
      </c>
      <c r="B13" s="156" t="s">
        <v>222</v>
      </c>
      <c r="C13" s="34">
        <v>0.86526392046882572</v>
      </c>
      <c r="D13" s="34">
        <v>2.1521402440634559E-3</v>
      </c>
      <c r="E13" s="32">
        <v>1162.5307380491572</v>
      </c>
      <c r="F13" s="32">
        <v>19.980011748312418</v>
      </c>
      <c r="G13" s="36">
        <v>-25.136190183672412</v>
      </c>
      <c r="I13" s="270">
        <v>778</v>
      </c>
      <c r="J13" s="271">
        <f t="shared" si="0"/>
        <v>1172</v>
      </c>
      <c r="K13" s="34">
        <v>0.86526392046882572</v>
      </c>
      <c r="L13" s="2" t="s">
        <v>5</v>
      </c>
      <c r="M13" s="274">
        <f t="shared" si="1"/>
        <v>2.1521402440634559E-3</v>
      </c>
      <c r="N13" s="275">
        <f t="shared" si="2"/>
        <v>1162.5414491182139</v>
      </c>
      <c r="O13" s="66" t="s">
        <v>5</v>
      </c>
      <c r="P13" s="275">
        <f t="shared" si="3"/>
        <v>19.980195835733578</v>
      </c>
      <c r="Q13" s="277">
        <f t="shared" si="4"/>
        <v>-25.136190183672412</v>
      </c>
      <c r="R13" s="271">
        <f t="shared" si="5"/>
        <v>-2.9478775917658462</v>
      </c>
      <c r="S13" s="2" t="s">
        <v>5</v>
      </c>
      <c r="T13" s="278">
        <f t="shared" si="6"/>
        <v>2.4872645133491322</v>
      </c>
    </row>
    <row r="14" spans="1:20" x14ac:dyDescent="0.2">
      <c r="A14" s="156" t="s">
        <v>631</v>
      </c>
      <c r="B14" s="156" t="s">
        <v>223</v>
      </c>
      <c r="C14" s="34">
        <v>0.86250890287804594</v>
      </c>
      <c r="D14" s="34">
        <v>2.1467909386865443E-3</v>
      </c>
      <c r="E14" s="32">
        <v>1188.1485401813325</v>
      </c>
      <c r="F14" s="32">
        <v>19.994011267169967</v>
      </c>
      <c r="G14" s="36">
        <v>-25.11189205720099</v>
      </c>
      <c r="I14" s="270">
        <v>779</v>
      </c>
      <c r="J14" s="271">
        <f t="shared" si="0"/>
        <v>1171</v>
      </c>
      <c r="K14" s="34">
        <v>0.86250890287804594</v>
      </c>
      <c r="L14" s="2" t="s">
        <v>5</v>
      </c>
      <c r="M14" s="274">
        <f t="shared" si="1"/>
        <v>2.1467909386865443E-3</v>
      </c>
      <c r="N14" s="275">
        <f t="shared" si="2"/>
        <v>1188.1594872820388</v>
      </c>
      <c r="O14" s="66" t="s">
        <v>5</v>
      </c>
      <c r="P14" s="275">
        <f t="shared" si="3"/>
        <v>19.994195483576807</v>
      </c>
      <c r="Q14" s="277">
        <f t="shared" si="4"/>
        <v>-25.11189205720099</v>
      </c>
      <c r="R14" s="271">
        <f t="shared" si="5"/>
        <v>-6.2427264445646946</v>
      </c>
      <c r="S14" s="2" t="s">
        <v>5</v>
      </c>
      <c r="T14" s="278">
        <f t="shared" si="6"/>
        <v>2.4890072804153873</v>
      </c>
    </row>
    <row r="15" spans="1:20" x14ac:dyDescent="0.2">
      <c r="A15" s="156" t="s">
        <v>632</v>
      </c>
      <c r="B15" s="156" t="s">
        <v>224</v>
      </c>
      <c r="C15" s="34">
        <v>0.8625765177918735</v>
      </c>
      <c r="D15" s="34">
        <v>2.1233209594832088E-3</v>
      </c>
      <c r="E15" s="32">
        <v>1187.5188373362073</v>
      </c>
      <c r="F15" s="32">
        <v>19.773874855718287</v>
      </c>
      <c r="G15" s="36">
        <v>-23.201889863468939</v>
      </c>
      <c r="I15" s="270">
        <v>780</v>
      </c>
      <c r="J15" s="271">
        <f>1950-I15</f>
        <v>1170</v>
      </c>
      <c r="K15" s="34">
        <v>0.8625765177918735</v>
      </c>
      <c r="L15" s="2" t="s">
        <v>5</v>
      </c>
      <c r="M15" s="274">
        <f>D15</f>
        <v>2.1233209594832088E-3</v>
      </c>
      <c r="N15" s="275">
        <f t="shared" si="2"/>
        <v>1187.5297786350964</v>
      </c>
      <c r="O15" s="66" t="s">
        <v>5</v>
      </c>
      <c r="P15" s="275">
        <f t="shared" si="3"/>
        <v>19.774057043880855</v>
      </c>
      <c r="Q15" s="277">
        <f t="shared" si="4"/>
        <v>-23.201889863468939</v>
      </c>
      <c r="R15" s="271">
        <f t="shared" si="5"/>
        <v>-6.285032417849612</v>
      </c>
      <c r="S15" s="2" t="s">
        <v>5</v>
      </c>
      <c r="T15" s="278">
        <f t="shared" si="6"/>
        <v>2.4616030180357096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"/>
  <sheetViews>
    <sheetView topLeftCell="D1" workbookViewId="0">
      <selection activeCell="T5" sqref="T5:T15"/>
    </sheetView>
  </sheetViews>
  <sheetFormatPr baseColWidth="10" defaultColWidth="8.6640625" defaultRowHeight="16" x14ac:dyDescent="0.2"/>
  <sheetData>
    <row r="3" spans="1:22" x14ac:dyDescent="0.2">
      <c r="I3" s="223"/>
    </row>
    <row r="4" spans="1:22" ht="29" x14ac:dyDescent="0.2">
      <c r="A4" s="60" t="s">
        <v>825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340" t="s">
        <v>17</v>
      </c>
      <c r="J4" s="341" t="s">
        <v>15</v>
      </c>
      <c r="K4" s="345" t="s">
        <v>1</v>
      </c>
      <c r="L4" s="345"/>
      <c r="M4" s="345"/>
      <c r="N4" s="345" t="s">
        <v>2</v>
      </c>
      <c r="O4" s="345"/>
      <c r="P4" s="345"/>
      <c r="Q4" s="340" t="s">
        <v>3</v>
      </c>
      <c r="R4" s="346" t="s">
        <v>16</v>
      </c>
      <c r="S4" s="345"/>
      <c r="T4" s="345"/>
    </row>
    <row r="5" spans="1:22" x14ac:dyDescent="0.2">
      <c r="A5" s="156" t="s">
        <v>826</v>
      </c>
      <c r="B5" s="156" t="s">
        <v>216</v>
      </c>
      <c r="C5" s="34">
        <v>0.85129999999999995</v>
      </c>
      <c r="D5" s="34">
        <v>3.0000000000000001E-3</v>
      </c>
      <c r="E5" s="32"/>
      <c r="F5" s="32"/>
      <c r="G5" s="36">
        <v>-25.2</v>
      </c>
      <c r="I5" s="270">
        <v>770</v>
      </c>
      <c r="J5" s="271">
        <f>1950-I5</f>
        <v>1180</v>
      </c>
      <c r="K5" s="34">
        <f>C5</f>
        <v>0.85129999999999995</v>
      </c>
      <c r="L5" s="273" t="s">
        <v>5</v>
      </c>
      <c r="M5" s="274">
        <v>3.0000000000000001E-3</v>
      </c>
      <c r="N5" s="275">
        <f>-8033*LN(K5)</f>
        <v>1293.2381813780462</v>
      </c>
      <c r="O5" s="276" t="s">
        <v>5</v>
      </c>
      <c r="P5" s="275">
        <f>M5/K5*8033</f>
        <v>28.308469399741576</v>
      </c>
      <c r="Q5" s="277">
        <f>G5</f>
        <v>-25.2</v>
      </c>
      <c r="R5" s="271">
        <f>(EXP(J5/8267)*EXP(-N5/8033)-1)*1000</f>
        <v>-18.088901808777315</v>
      </c>
      <c r="S5" s="273" t="s">
        <v>5</v>
      </c>
      <c r="T5" s="278">
        <f>P5/8.033</f>
        <v>3.5240220838717264</v>
      </c>
      <c r="U5" s="9"/>
      <c r="V5" s="9"/>
    </row>
    <row r="6" spans="1:22" x14ac:dyDescent="0.2">
      <c r="A6" s="156" t="s">
        <v>827</v>
      </c>
      <c r="B6" s="156" t="s">
        <v>217</v>
      </c>
      <c r="C6" s="34">
        <v>0.85389999999999999</v>
      </c>
      <c r="D6" s="34">
        <v>3.3999999999999998E-3</v>
      </c>
      <c r="E6" s="32"/>
      <c r="F6" s="32"/>
      <c r="G6" s="36">
        <v>-25.6</v>
      </c>
      <c r="I6" s="270">
        <v>771</v>
      </c>
      <c r="J6" s="271">
        <f t="shared" ref="J6:J14" si="0">1950-I6</f>
        <v>1179</v>
      </c>
      <c r="K6" s="34">
        <f t="shared" ref="K6:K15" si="1">C6</f>
        <v>0.85389999999999999</v>
      </c>
      <c r="L6" s="273" t="s">
        <v>5</v>
      </c>
      <c r="M6" s="274">
        <v>3.3999999999999998E-3</v>
      </c>
      <c r="N6" s="275">
        <f t="shared" ref="N6:N15" si="2">-8033*LN(K6)</f>
        <v>1268.7415637548759</v>
      </c>
      <c r="O6" s="276" t="s">
        <v>5</v>
      </c>
      <c r="P6" s="275">
        <f t="shared" ref="P6:P15" si="3">M6/K6*8033</f>
        <v>31.985244173790839</v>
      </c>
      <c r="Q6" s="277">
        <f t="shared" ref="Q6:Q15" si="4">G6</f>
        <v>-25.6</v>
      </c>
      <c r="R6" s="271">
        <f t="shared" ref="R6:R15" si="5">(EXP(J6/8267)*EXP(-N6/8033)-1)*1000</f>
        <v>-15.209125930266577</v>
      </c>
      <c r="S6" s="273" t="s">
        <v>5</v>
      </c>
      <c r="T6" s="278">
        <f t="shared" ref="T6:T15" si="6">P6/8.033</f>
        <v>3.9817308818362807</v>
      </c>
      <c r="U6" s="9"/>
      <c r="V6" s="9"/>
    </row>
    <row r="7" spans="1:22" x14ac:dyDescent="0.2">
      <c r="A7" s="156" t="s">
        <v>828</v>
      </c>
      <c r="B7" s="156" t="s">
        <v>218</v>
      </c>
      <c r="C7" s="34">
        <v>0.85229999999999995</v>
      </c>
      <c r="D7" s="34">
        <v>3.0000000000000001E-3</v>
      </c>
      <c r="E7" s="32"/>
      <c r="F7" s="32"/>
      <c r="G7" s="36">
        <v>-24.5</v>
      </c>
      <c r="I7" s="270">
        <v>772</v>
      </c>
      <c r="J7" s="271">
        <f>1950-I7</f>
        <v>1178</v>
      </c>
      <c r="K7" s="34">
        <f t="shared" si="1"/>
        <v>0.85229999999999995</v>
      </c>
      <c r="L7" s="273" t="s">
        <v>5</v>
      </c>
      <c r="M7" s="274">
        <v>3.0000000000000001E-3</v>
      </c>
      <c r="N7" s="275">
        <f t="shared" si="2"/>
        <v>1283.8075627790597</v>
      </c>
      <c r="O7" s="276" t="s">
        <v>5</v>
      </c>
      <c r="P7" s="275">
        <f t="shared" si="3"/>
        <v>28.275255191833864</v>
      </c>
      <c r="Q7" s="277">
        <f t="shared" si="4"/>
        <v>-24.5</v>
      </c>
      <c r="R7" s="271">
        <f t="shared" si="5"/>
        <v>-17.173276179204166</v>
      </c>
      <c r="S7" s="273" t="s">
        <v>5</v>
      </c>
      <c r="T7" s="278">
        <f t="shared" si="6"/>
        <v>3.519887363604365</v>
      </c>
      <c r="U7" s="9"/>
      <c r="V7" s="9"/>
    </row>
    <row r="8" spans="1:22" x14ac:dyDescent="0.2">
      <c r="A8" s="156" t="s">
        <v>829</v>
      </c>
      <c r="B8" s="156" t="s">
        <v>219</v>
      </c>
      <c r="C8" s="34">
        <v>0.85140000000000005</v>
      </c>
      <c r="D8" s="34">
        <v>3.0000000000000001E-3</v>
      </c>
      <c r="E8" s="32"/>
      <c r="F8" s="32"/>
      <c r="G8" s="36">
        <v>-26.3</v>
      </c>
      <c r="I8" s="270">
        <v>773</v>
      </c>
      <c r="J8" s="271">
        <f t="shared" si="0"/>
        <v>1177</v>
      </c>
      <c r="K8" s="34">
        <f t="shared" si="1"/>
        <v>0.85140000000000005</v>
      </c>
      <c r="L8" s="273" t="s">
        <v>5</v>
      </c>
      <c r="M8" s="274">
        <v>3.0000000000000001E-3</v>
      </c>
      <c r="N8" s="275">
        <f t="shared" si="2"/>
        <v>1292.2946211490871</v>
      </c>
      <c r="O8" s="276" t="s">
        <v>5</v>
      </c>
      <c r="P8" s="275">
        <f t="shared" si="3"/>
        <v>28.305144467935165</v>
      </c>
      <c r="Q8" s="277">
        <f t="shared" si="4"/>
        <v>-26.3</v>
      </c>
      <c r="R8" s="271">
        <f t="shared" si="5"/>
        <v>-18.329860803070197</v>
      </c>
      <c r="S8" s="273" t="s">
        <v>5</v>
      </c>
      <c r="T8" s="278">
        <f t="shared" si="6"/>
        <v>3.5236081747709656</v>
      </c>
      <c r="U8" s="9"/>
      <c r="V8" s="9"/>
    </row>
    <row r="9" spans="1:22" x14ac:dyDescent="0.2">
      <c r="A9" s="156" t="s">
        <v>830</v>
      </c>
      <c r="B9" s="156" t="s">
        <v>298</v>
      </c>
      <c r="C9" s="34">
        <v>0.85729999999999995</v>
      </c>
      <c r="D9" s="34">
        <v>3.0000000000000001E-3</v>
      </c>
      <c r="E9" s="32"/>
      <c r="F9" s="32"/>
      <c r="G9" s="36">
        <v>-24.3</v>
      </c>
      <c r="I9" s="270">
        <v>774</v>
      </c>
      <c r="J9" s="271">
        <f t="shared" si="0"/>
        <v>1176</v>
      </c>
      <c r="K9" s="34">
        <f t="shared" si="1"/>
        <v>0.85729999999999995</v>
      </c>
      <c r="L9" s="2" t="s">
        <v>5</v>
      </c>
      <c r="M9" s="274">
        <v>3.0000000000000001E-3</v>
      </c>
      <c r="N9" s="275">
        <f t="shared" si="2"/>
        <v>1236.8198293682299</v>
      </c>
      <c r="O9" s="66" t="s">
        <v>5</v>
      </c>
      <c r="P9" s="275">
        <f t="shared" si="3"/>
        <v>28.110346436486648</v>
      </c>
      <c r="Q9" s="277">
        <f t="shared" si="4"/>
        <v>-24.3</v>
      </c>
      <c r="R9" s="271">
        <f t="shared" si="5"/>
        <v>-11.646680925451513</v>
      </c>
      <c r="S9" s="2" t="s">
        <v>5</v>
      </c>
      <c r="T9" s="278">
        <f t="shared" si="6"/>
        <v>3.4993584509506599</v>
      </c>
      <c r="U9" s="9"/>
      <c r="V9" s="9"/>
    </row>
    <row r="10" spans="1:22" x14ac:dyDescent="0.2">
      <c r="A10" s="156" t="s">
        <v>831</v>
      </c>
      <c r="B10" s="156" t="s">
        <v>299</v>
      </c>
      <c r="C10" s="34">
        <v>0.86539999999999995</v>
      </c>
      <c r="D10" s="34">
        <v>4.1999999999999997E-3</v>
      </c>
      <c r="E10" s="32"/>
      <c r="F10" s="32"/>
      <c r="G10" s="36">
        <v>-24.6</v>
      </c>
      <c r="I10" s="270">
        <v>775</v>
      </c>
      <c r="J10" s="271">
        <f t="shared" si="0"/>
        <v>1175</v>
      </c>
      <c r="K10" s="34">
        <f t="shared" si="1"/>
        <v>0.86539999999999995</v>
      </c>
      <c r="L10" s="2" t="s">
        <v>5</v>
      </c>
      <c r="M10" s="274">
        <v>4.1999999999999997E-3</v>
      </c>
      <c r="N10" s="275">
        <f t="shared" si="2"/>
        <v>1161.2782034201362</v>
      </c>
      <c r="O10" s="66" t="s">
        <v>5</v>
      </c>
      <c r="P10" s="275">
        <f t="shared" si="3"/>
        <v>38.986133579847468</v>
      </c>
      <c r="Q10" s="277">
        <f t="shared" si="4"/>
        <v>-24.6</v>
      </c>
      <c r="R10" s="271">
        <f t="shared" si="5"/>
        <v>-2.4291303968139166</v>
      </c>
      <c r="S10" s="2" t="s">
        <v>5</v>
      </c>
      <c r="T10" s="278">
        <f t="shared" si="6"/>
        <v>4.8532470533857177</v>
      </c>
      <c r="U10" s="9"/>
      <c r="V10" s="9"/>
    </row>
    <row r="11" spans="1:22" x14ac:dyDescent="0.2">
      <c r="A11" s="156" t="s">
        <v>832</v>
      </c>
      <c r="B11" s="156" t="s">
        <v>220</v>
      </c>
      <c r="C11" s="34">
        <v>0.86950000000000005</v>
      </c>
      <c r="D11" s="34">
        <v>3.0999999999999999E-3</v>
      </c>
      <c r="E11" s="32"/>
      <c r="F11" s="32"/>
      <c r="G11" s="36">
        <v>-24.8</v>
      </c>
      <c r="I11" s="270">
        <v>776</v>
      </c>
      <c r="J11" s="271">
        <f t="shared" si="0"/>
        <v>1174</v>
      </c>
      <c r="K11" s="34">
        <f t="shared" si="1"/>
        <v>0.86950000000000005</v>
      </c>
      <c r="L11" s="2" t="s">
        <v>5</v>
      </c>
      <c r="M11" s="274">
        <v>3.0999999999999999E-3</v>
      </c>
      <c r="N11" s="275">
        <f t="shared" si="2"/>
        <v>1123.3101806935915</v>
      </c>
      <c r="O11" s="66" t="s">
        <v>5</v>
      </c>
      <c r="P11" s="275">
        <f t="shared" si="3"/>
        <v>28.639792984473832</v>
      </c>
      <c r="Q11" s="277">
        <f t="shared" si="4"/>
        <v>-24.8</v>
      </c>
      <c r="R11" s="271">
        <f t="shared" si="5"/>
        <v>2.175821289685187</v>
      </c>
      <c r="S11" s="2" t="s">
        <v>5</v>
      </c>
      <c r="T11" s="278">
        <f t="shared" si="6"/>
        <v>3.565267395054629</v>
      </c>
      <c r="U11" s="9"/>
      <c r="V11" s="9"/>
    </row>
    <row r="12" spans="1:22" x14ac:dyDescent="0.2">
      <c r="A12" s="156" t="s">
        <v>833</v>
      </c>
      <c r="B12" s="156" t="s">
        <v>221</v>
      </c>
      <c r="C12" s="34">
        <v>0.86909999999999998</v>
      </c>
      <c r="D12" s="34">
        <v>3.0000000000000001E-3</v>
      </c>
      <c r="E12" s="32"/>
      <c r="F12" s="32"/>
      <c r="G12" s="36">
        <v>-25.5</v>
      </c>
      <c r="I12" s="270">
        <v>777</v>
      </c>
      <c r="J12" s="271">
        <f t="shared" si="0"/>
        <v>1173</v>
      </c>
      <c r="K12" s="34">
        <f t="shared" si="1"/>
        <v>0.86909999999999998</v>
      </c>
      <c r="L12" s="2" t="s">
        <v>5</v>
      </c>
      <c r="M12" s="274">
        <v>3.0000000000000001E-3</v>
      </c>
      <c r="N12" s="275">
        <f t="shared" si="2"/>
        <v>1127.0064881325591</v>
      </c>
      <c r="O12" s="66" t="s">
        <v>5</v>
      </c>
      <c r="P12" s="275">
        <f t="shared" si="3"/>
        <v>27.72868484639282</v>
      </c>
      <c r="Q12" s="277">
        <f t="shared" si="4"/>
        <v>-25.5</v>
      </c>
      <c r="R12" s="271">
        <f t="shared" si="5"/>
        <v>1.5936228726829427</v>
      </c>
      <c r="S12" s="2" t="s">
        <v>5</v>
      </c>
      <c r="T12" s="278">
        <f t="shared" si="6"/>
        <v>3.451846738004833</v>
      </c>
      <c r="U12" s="9"/>
      <c r="V12" s="9"/>
    </row>
    <row r="13" spans="1:22" x14ac:dyDescent="0.2">
      <c r="A13" s="156" t="s">
        <v>834</v>
      </c>
      <c r="B13" s="156" t="s">
        <v>222</v>
      </c>
      <c r="C13" s="34">
        <v>0.86819999999999997</v>
      </c>
      <c r="D13" s="34">
        <v>3.3E-3</v>
      </c>
      <c r="E13" s="32"/>
      <c r="F13" s="32"/>
      <c r="G13" s="36">
        <v>-22.5</v>
      </c>
      <c r="I13" s="270">
        <v>778</v>
      </c>
      <c r="J13" s="271">
        <f t="shared" si="0"/>
        <v>1172</v>
      </c>
      <c r="K13" s="34">
        <f t="shared" si="1"/>
        <v>0.86819999999999997</v>
      </c>
      <c r="L13" s="2" t="s">
        <v>5</v>
      </c>
      <c r="M13" s="274">
        <v>3.3E-3</v>
      </c>
      <c r="N13" s="275">
        <f t="shared" si="2"/>
        <v>1135.3294037450005</v>
      </c>
      <c r="O13" s="66" t="s">
        <v>5</v>
      </c>
      <c r="P13" s="275">
        <f t="shared" si="3"/>
        <v>30.533172080165858</v>
      </c>
      <c r="Q13" s="277">
        <f t="shared" si="4"/>
        <v>-22.5</v>
      </c>
      <c r="R13" s="271">
        <f t="shared" si="5"/>
        <v>0.43539571810535804</v>
      </c>
      <c r="S13" s="2" t="s">
        <v>5</v>
      </c>
      <c r="T13" s="278">
        <f t="shared" si="6"/>
        <v>3.8009675190048378</v>
      </c>
      <c r="U13" s="9"/>
      <c r="V13" s="9"/>
    </row>
    <row r="14" spans="1:22" x14ac:dyDescent="0.2">
      <c r="A14" s="156" t="s">
        <v>835</v>
      </c>
      <c r="B14" s="156" t="s">
        <v>223</v>
      </c>
      <c r="C14" s="34">
        <v>0.8679</v>
      </c>
      <c r="D14" s="34">
        <v>3.0999999999999999E-3</v>
      </c>
      <c r="E14" s="32"/>
      <c r="F14" s="32"/>
      <c r="G14" s="36">
        <v>-24.4</v>
      </c>
      <c r="I14" s="270">
        <v>779</v>
      </c>
      <c r="J14" s="271">
        <f t="shared" si="0"/>
        <v>1171</v>
      </c>
      <c r="K14" s="34">
        <f t="shared" si="1"/>
        <v>0.8679</v>
      </c>
      <c r="L14" s="2" t="s">
        <v>5</v>
      </c>
      <c r="M14" s="274">
        <v>3.0999999999999999E-3</v>
      </c>
      <c r="N14" s="275">
        <f t="shared" si="2"/>
        <v>1138.1056263404575</v>
      </c>
      <c r="O14" s="66" t="s">
        <v>5</v>
      </c>
      <c r="P14" s="275">
        <f t="shared" si="3"/>
        <v>28.692591312363174</v>
      </c>
      <c r="Q14" s="277">
        <f t="shared" si="4"/>
        <v>-24.4</v>
      </c>
      <c r="R14" s="271">
        <f t="shared" si="5"/>
        <v>-3.1263630083877558E-2</v>
      </c>
      <c r="S14" s="2" t="s">
        <v>5</v>
      </c>
      <c r="T14" s="278">
        <f t="shared" si="6"/>
        <v>3.5718400737412144</v>
      </c>
      <c r="U14" s="9"/>
      <c r="V14" s="9"/>
    </row>
    <row r="15" spans="1:22" x14ac:dyDescent="0.2">
      <c r="A15" s="156" t="s">
        <v>836</v>
      </c>
      <c r="B15" s="156" t="s">
        <v>224</v>
      </c>
      <c r="C15" s="34">
        <v>0.86270000000000002</v>
      </c>
      <c r="D15" s="34">
        <v>2.5999999999999999E-3</v>
      </c>
      <c r="E15" s="32"/>
      <c r="F15" s="32"/>
      <c r="G15" s="36">
        <v>-22.9</v>
      </c>
      <c r="I15" s="270">
        <v>780</v>
      </c>
      <c r="J15" s="271">
        <f>1950-I15</f>
        <v>1170</v>
      </c>
      <c r="K15" s="34">
        <f t="shared" si="1"/>
        <v>0.86270000000000002</v>
      </c>
      <c r="L15" s="2" t="s">
        <v>5</v>
      </c>
      <c r="M15" s="274">
        <v>2.5999999999999999E-3</v>
      </c>
      <c r="N15" s="275">
        <f t="shared" si="2"/>
        <v>1186.3798962025185</v>
      </c>
      <c r="O15" s="66" t="s">
        <v>5</v>
      </c>
      <c r="P15" s="275">
        <f t="shared" si="3"/>
        <v>24.209806421699316</v>
      </c>
      <c r="Q15" s="277">
        <f t="shared" si="4"/>
        <v>-22.9</v>
      </c>
      <c r="R15" s="271">
        <f t="shared" si="5"/>
        <v>-6.1427770747995991</v>
      </c>
      <c r="S15" s="2" t="s">
        <v>5</v>
      </c>
      <c r="T15" s="278">
        <f t="shared" si="6"/>
        <v>3.0137939028631044</v>
      </c>
      <c r="U15" s="9"/>
      <c r="V15" s="9"/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O23" sqref="O23"/>
    </sheetView>
  </sheetViews>
  <sheetFormatPr baseColWidth="10" defaultColWidth="11" defaultRowHeight="16" x14ac:dyDescent="0.2"/>
  <cols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</cols>
  <sheetData>
    <row r="1" spans="1:13" x14ac:dyDescent="0.2">
      <c r="A1" s="1" t="s">
        <v>0</v>
      </c>
    </row>
    <row r="3" spans="1:13" x14ac:dyDescent="0.2">
      <c r="A3" s="3"/>
      <c r="B3" s="3" t="s">
        <v>17</v>
      </c>
      <c r="C3" s="11" t="s">
        <v>15</v>
      </c>
      <c r="D3" s="345" t="s">
        <v>1</v>
      </c>
      <c r="E3" s="345"/>
      <c r="F3" s="345"/>
      <c r="G3" s="345" t="s">
        <v>2</v>
      </c>
      <c r="H3" s="345"/>
      <c r="I3" s="345"/>
      <c r="J3" s="3" t="s">
        <v>3</v>
      </c>
      <c r="K3" s="346" t="s">
        <v>16</v>
      </c>
      <c r="L3" s="345"/>
      <c r="M3" s="345"/>
    </row>
    <row r="4" spans="1:13" x14ac:dyDescent="0.2">
      <c r="A4" t="s">
        <v>4</v>
      </c>
      <c r="B4">
        <v>773</v>
      </c>
      <c r="C4">
        <f>1950-B4</f>
        <v>1177</v>
      </c>
      <c r="D4" s="8">
        <v>0.84718367609139389</v>
      </c>
      <c r="E4" s="2" t="s">
        <v>5</v>
      </c>
      <c r="F4" s="13">
        <v>1.8278764835799883E-3</v>
      </c>
      <c r="G4" s="12">
        <v>1332.1623954653489</v>
      </c>
      <c r="H4" s="2" t="s">
        <v>5</v>
      </c>
      <c r="I4" s="4">
        <v>17.331774587001988</v>
      </c>
      <c r="J4" s="5">
        <v>-22.029019080447299</v>
      </c>
      <c r="K4" s="9">
        <f t="shared" ref="K4:K13" si="0">(EXP(C4/8267)*EXP(-G4/8033)-1)*1000</f>
        <v>-23.189819170644999</v>
      </c>
      <c r="L4" s="2" t="s">
        <v>5</v>
      </c>
      <c r="M4" s="14">
        <f t="shared" ref="M4:M13" si="1">I4/8.033</f>
        <v>2.1575718395371579</v>
      </c>
    </row>
    <row r="5" spans="1:13" x14ac:dyDescent="0.2">
      <c r="A5" t="s">
        <v>6</v>
      </c>
      <c r="B5">
        <v>773.85</v>
      </c>
      <c r="C5">
        <f t="shared" ref="C5:C13" si="2">1950-B5</f>
        <v>1176.1500000000001</v>
      </c>
      <c r="D5" s="8">
        <v>0.85408785394269404</v>
      </c>
      <c r="E5" s="2" t="s">
        <v>5</v>
      </c>
      <c r="F5" s="13">
        <v>1.8228480437402724E-3</v>
      </c>
      <c r="G5" s="12">
        <v>1266.9628630226603</v>
      </c>
      <c r="H5" s="2" t="s">
        <v>5</v>
      </c>
      <c r="I5" s="4">
        <v>17.144376137819037</v>
      </c>
      <c r="J5" s="5">
        <v>-21.014038730493457</v>
      </c>
      <c r="K5" s="9">
        <f t="shared" si="0"/>
        <v>-15.330562800624836</v>
      </c>
      <c r="L5" s="2" t="s">
        <v>5</v>
      </c>
      <c r="M5" s="14">
        <f t="shared" si="1"/>
        <v>2.1342432637643518</v>
      </c>
    </row>
    <row r="6" spans="1:13" x14ac:dyDescent="0.2">
      <c r="A6" t="s">
        <v>7</v>
      </c>
      <c r="B6">
        <v>774.15</v>
      </c>
      <c r="C6">
        <f t="shared" si="2"/>
        <v>1175.8499999999999</v>
      </c>
      <c r="D6" s="8">
        <v>0.85841208580697881</v>
      </c>
      <c r="E6" s="2" t="s">
        <v>5</v>
      </c>
      <c r="F6" s="13">
        <v>1.8316170532602532E-3</v>
      </c>
      <c r="G6" s="12">
        <v>1226.3949102393929</v>
      </c>
      <c r="H6" s="2" t="s">
        <v>5</v>
      </c>
      <c r="I6" s="4">
        <v>17.140071150520434</v>
      </c>
      <c r="J6" s="5">
        <v>-22.148437599034288</v>
      </c>
      <c r="K6" s="9">
        <f t="shared" si="0"/>
        <v>-10.381157503798866</v>
      </c>
      <c r="L6" s="2" t="s">
        <v>5</v>
      </c>
      <c r="M6" s="14">
        <f t="shared" si="1"/>
        <v>2.1337073509922115</v>
      </c>
    </row>
    <row r="7" spans="1:13" x14ac:dyDescent="0.2">
      <c r="A7" t="s">
        <v>8</v>
      </c>
      <c r="B7">
        <v>774.8</v>
      </c>
      <c r="C7">
        <f t="shared" si="2"/>
        <v>1175.2</v>
      </c>
      <c r="D7" s="8">
        <v>0.86391389962671228</v>
      </c>
      <c r="E7" s="2" t="s">
        <v>5</v>
      </c>
      <c r="F7" s="13">
        <v>1.853013040928004E-3</v>
      </c>
      <c r="G7" s="12">
        <v>1175.0738317487549</v>
      </c>
      <c r="H7" s="2" t="s">
        <v>5</v>
      </c>
      <c r="I7" s="4">
        <v>17.229861238492827</v>
      </c>
      <c r="J7" s="5">
        <v>-24.186374119618215</v>
      </c>
      <c r="K7" s="9">
        <f t="shared" si="0"/>
        <v>-4.1167651337976618</v>
      </c>
      <c r="L7" s="2" t="s">
        <v>5</v>
      </c>
      <c r="M7" s="14">
        <f t="shared" si="1"/>
        <v>2.1448850041694048</v>
      </c>
    </row>
    <row r="8" spans="1:13" x14ac:dyDescent="0.2">
      <c r="A8" t="s">
        <v>9</v>
      </c>
      <c r="B8">
        <v>774.9</v>
      </c>
      <c r="C8">
        <f t="shared" si="2"/>
        <v>1175.0999999999999</v>
      </c>
      <c r="D8" s="8">
        <v>0.8654354670275114</v>
      </c>
      <c r="E8" s="2" t="s">
        <v>5</v>
      </c>
      <c r="F8" s="13">
        <v>1.773179257122362E-3</v>
      </c>
      <c r="G8" s="12">
        <v>1160.9382941806418</v>
      </c>
      <c r="H8" s="2" t="s">
        <v>5</v>
      </c>
      <c r="I8" s="4">
        <v>16.45855558109217</v>
      </c>
      <c r="J8" s="5">
        <v>-18.949605670126157</v>
      </c>
      <c r="K8" s="9">
        <f t="shared" si="0"/>
        <v>-2.3748506944070158</v>
      </c>
      <c r="L8" s="2" t="s">
        <v>5</v>
      </c>
      <c r="M8" s="14">
        <f t="shared" si="1"/>
        <v>2.0488678676823318</v>
      </c>
    </row>
    <row r="9" spans="1:13" x14ac:dyDescent="0.2">
      <c r="A9" t="s">
        <v>10</v>
      </c>
      <c r="B9">
        <v>775.05</v>
      </c>
      <c r="C9">
        <f t="shared" si="2"/>
        <v>1174.95</v>
      </c>
      <c r="D9" s="8">
        <v>0.86292363228267666</v>
      </c>
      <c r="E9" s="2" t="s">
        <v>5</v>
      </c>
      <c r="F9" s="13">
        <v>1.7405510629583346E-3</v>
      </c>
      <c r="G9" s="12">
        <v>1184.2869105798093</v>
      </c>
      <c r="H9" s="2" t="s">
        <v>5</v>
      </c>
      <c r="I9" s="4">
        <v>16.202729122267097</v>
      </c>
      <c r="J9" s="5">
        <v>-17.46340963067783</v>
      </c>
      <c r="K9" s="9">
        <f t="shared" si="0"/>
        <v>-5.2883739856817158</v>
      </c>
      <c r="L9" s="2" t="s">
        <v>5</v>
      </c>
      <c r="M9" s="14">
        <f t="shared" si="1"/>
        <v>2.0170209289514625</v>
      </c>
    </row>
    <row r="10" spans="1:13" x14ac:dyDescent="0.2">
      <c r="A10" t="s">
        <v>11</v>
      </c>
      <c r="B10">
        <v>775.15</v>
      </c>
      <c r="C10">
        <f t="shared" si="2"/>
        <v>1174.8499999999999</v>
      </c>
      <c r="D10" s="8">
        <v>0.86256839506974503</v>
      </c>
      <c r="E10" s="2" t="s">
        <v>5</v>
      </c>
      <c r="F10" s="13">
        <v>1.7314153028251532E-3</v>
      </c>
      <c r="G10" s="12">
        <v>1187.59448225762</v>
      </c>
      <c r="H10" s="2" t="s">
        <v>5</v>
      </c>
      <c r="I10" s="4">
        <v>16.124322501939655</v>
      </c>
      <c r="J10" s="5">
        <v>-17.454359842372313</v>
      </c>
      <c r="K10" s="9">
        <f t="shared" si="0"/>
        <v>-5.7098874899016439</v>
      </c>
      <c r="L10" s="2" t="s">
        <v>5</v>
      </c>
      <c r="M10" s="14">
        <f t="shared" si="1"/>
        <v>2.0072603637420214</v>
      </c>
    </row>
    <row r="11" spans="1:13" x14ac:dyDescent="0.2">
      <c r="A11" t="s">
        <v>12</v>
      </c>
      <c r="B11">
        <v>775.85</v>
      </c>
      <c r="C11">
        <f t="shared" si="2"/>
        <v>1174.1500000000001</v>
      </c>
      <c r="D11" s="8">
        <v>0.86586289864797672</v>
      </c>
      <c r="E11" s="2" t="s">
        <v>5</v>
      </c>
      <c r="F11" s="13">
        <v>1.7871339222521271E-3</v>
      </c>
      <c r="G11" s="12">
        <v>1156.9718760173005</v>
      </c>
      <c r="H11" s="2" t="s">
        <v>5</v>
      </c>
      <c r="I11" s="4">
        <v>16.579893364771589</v>
      </c>
      <c r="J11" s="5">
        <v>-18.075109017648305</v>
      </c>
      <c r="K11" s="9">
        <f t="shared" si="0"/>
        <v>-1.9968280392482773</v>
      </c>
      <c r="L11" s="2" t="s">
        <v>5</v>
      </c>
      <c r="M11" s="14">
        <f t="shared" si="1"/>
        <v>2.0639727828671219</v>
      </c>
    </row>
    <row r="12" spans="1:13" x14ac:dyDescent="0.2">
      <c r="A12" t="s">
        <v>13</v>
      </c>
      <c r="B12">
        <v>776.15</v>
      </c>
      <c r="C12">
        <f t="shared" si="2"/>
        <v>1173.8499999999999</v>
      </c>
      <c r="D12" s="8">
        <v>0.86704561841608119</v>
      </c>
      <c r="E12" s="2" t="s">
        <v>5</v>
      </c>
      <c r="F12" s="13">
        <v>1.7994567550550082E-3</v>
      </c>
      <c r="G12" s="12">
        <v>1146.0068403638195</v>
      </c>
      <c r="H12" s="2" t="s">
        <v>5</v>
      </c>
      <c r="I12" s="4">
        <v>16.671444529492856</v>
      </c>
      <c r="J12" s="5">
        <v>-18.956316314566401</v>
      </c>
      <c r="K12" s="9">
        <f t="shared" si="0"/>
        <v>-0.66988990467553577</v>
      </c>
      <c r="L12" s="2" t="s">
        <v>5</v>
      </c>
      <c r="M12" s="14">
        <f t="shared" si="1"/>
        <v>2.0753696663130659</v>
      </c>
    </row>
    <row r="13" spans="1:13" x14ac:dyDescent="0.2">
      <c r="A13" t="s">
        <v>14</v>
      </c>
      <c r="B13">
        <v>777</v>
      </c>
      <c r="C13">
        <f t="shared" si="2"/>
        <v>1173</v>
      </c>
      <c r="D13" s="8">
        <v>0.86453950313620476</v>
      </c>
      <c r="E13" s="2" t="s">
        <v>5</v>
      </c>
      <c r="F13" s="13">
        <v>1.7749714749522752E-3</v>
      </c>
      <c r="G13" s="12">
        <v>1169.2588911770245</v>
      </c>
      <c r="H13" s="2" t="s">
        <v>5</v>
      </c>
      <c r="I13" s="4">
        <v>16.492264884808275</v>
      </c>
      <c r="J13" s="5">
        <v>-19.148251397706815</v>
      </c>
      <c r="K13" s="9">
        <f t="shared" si="0"/>
        <v>-3.660782021074116</v>
      </c>
      <c r="L13" s="2" t="s">
        <v>5</v>
      </c>
      <c r="M13" s="14">
        <f t="shared" si="1"/>
        <v>2.0530642206906853</v>
      </c>
    </row>
    <row r="16" spans="1:13" x14ac:dyDescent="0.2">
      <c r="B16" s="347" t="s">
        <v>331</v>
      </c>
      <c r="C16" s="347"/>
      <c r="D16" s="347"/>
      <c r="E16" s="347"/>
      <c r="F16" s="347"/>
      <c r="G16" s="347"/>
      <c r="H16" s="347"/>
      <c r="I16" s="347"/>
      <c r="J16" s="347"/>
      <c r="K16" s="347"/>
      <c r="L16" s="347"/>
      <c r="M16" s="347"/>
    </row>
    <row r="17" spans="2:13" x14ac:dyDescent="0.2">
      <c r="B17" s="189" t="s">
        <v>17</v>
      </c>
      <c r="C17" s="189" t="s">
        <v>15</v>
      </c>
      <c r="D17" s="348" t="s">
        <v>1</v>
      </c>
      <c r="E17" s="348"/>
      <c r="F17" s="348"/>
      <c r="G17" s="348" t="s">
        <v>2</v>
      </c>
      <c r="H17" s="348"/>
      <c r="I17" s="348"/>
      <c r="J17" s="189" t="s">
        <v>3</v>
      </c>
      <c r="K17" s="349" t="s">
        <v>16</v>
      </c>
      <c r="L17" s="349"/>
      <c r="M17" s="349"/>
    </row>
    <row r="18" spans="2:13" x14ac:dyDescent="0.2">
      <c r="B18" s="189">
        <v>773</v>
      </c>
      <c r="C18" s="189">
        <f>1950-B18</f>
        <v>1177</v>
      </c>
      <c r="D18" s="178">
        <f t="shared" ref="D18:M18" si="3">D4</f>
        <v>0.84718367609139389</v>
      </c>
      <c r="E18" s="178" t="str">
        <f t="shared" si="3"/>
        <v>±</v>
      </c>
      <c r="F18" s="178">
        <f t="shared" si="3"/>
        <v>1.8278764835799883E-3</v>
      </c>
      <c r="G18" s="179">
        <f t="shared" si="3"/>
        <v>1332.1623954653489</v>
      </c>
      <c r="H18" s="178" t="str">
        <f t="shared" si="3"/>
        <v>±</v>
      </c>
      <c r="I18" s="179">
        <f t="shared" si="3"/>
        <v>17.331774587001988</v>
      </c>
      <c r="J18" s="180">
        <f t="shared" si="3"/>
        <v>-22.029019080447299</v>
      </c>
      <c r="K18" s="180">
        <f t="shared" si="3"/>
        <v>-23.189819170644999</v>
      </c>
      <c r="L18" s="180" t="str">
        <f t="shared" si="3"/>
        <v>±</v>
      </c>
      <c r="M18" s="180">
        <f t="shared" si="3"/>
        <v>2.1575718395371579</v>
      </c>
    </row>
    <row r="19" spans="2:13" x14ac:dyDescent="0.2">
      <c r="B19" s="189">
        <v>774</v>
      </c>
      <c r="C19" s="189">
        <f>1950-B19</f>
        <v>1176</v>
      </c>
      <c r="D19" s="178">
        <f>(D6/(F6^2)+D5/(F5^2))/(1/(F5^2)+1/(F6^2))</f>
        <v>0.85623959379761327</v>
      </c>
      <c r="E19" s="178" t="str">
        <f>E5</f>
        <v>±</v>
      </c>
      <c r="F19" s="178">
        <f>SQRT(1/(1/(F6^2)+1/(F5^2)))</f>
        <v>1.2920373669316877E-3</v>
      </c>
      <c r="G19" s="179">
        <f>-8033*LN(D19)</f>
        <v>1246.7621080783274</v>
      </c>
      <c r="H19" s="178" t="str">
        <f>H6</f>
        <v>±</v>
      </c>
      <c r="I19" s="179">
        <f>F19/D19*8033</f>
        <v>12.121532622112644</v>
      </c>
      <c r="J19" s="180">
        <f>AVERAGE(J5:J6)</f>
        <v>-21.581238164763874</v>
      </c>
      <c r="K19" s="180">
        <f>(EXP(C19/8267)*EXP(-G19/8033)-1)*1000</f>
        <v>-12.86918878698895</v>
      </c>
      <c r="L19" s="180" t="s">
        <v>5</v>
      </c>
      <c r="M19" s="180">
        <f>I19/8.033</f>
        <v>1.5089670885239195</v>
      </c>
    </row>
    <row r="20" spans="2:13" x14ac:dyDescent="0.2">
      <c r="B20" s="189">
        <v>775</v>
      </c>
      <c r="C20" s="189">
        <f>1950-B20</f>
        <v>1175</v>
      </c>
      <c r="D20" s="178">
        <f>(D7/(F7^2)+D8/(F8^2)+D9/(F9^2))/(1/(F9^2)+1/(F8^2)+1/(F7^2))</f>
        <v>0.86408109775165509</v>
      </c>
      <c r="E20" s="178" t="str">
        <f>E6</f>
        <v>±</v>
      </c>
      <c r="F20" s="178">
        <f>SQRT(1/(1/(F7^2)+1/(F8^2)+1/(F9^2)))</f>
        <v>1.0317672409095808E-3</v>
      </c>
      <c r="G20" s="179">
        <f>-8033*LN(D20)</f>
        <v>1173.5301370533512</v>
      </c>
      <c r="H20" s="178" t="str">
        <f>H7</f>
        <v>±</v>
      </c>
      <c r="I20" s="179">
        <f>F20/D20*8033</f>
        <v>9.5919078287820199</v>
      </c>
      <c r="J20" s="180">
        <f>AVERAGE(J7:J9)</f>
        <v>-20.199796473474066</v>
      </c>
      <c r="K20" s="180">
        <f>(EXP(C20/8267)*EXP(-G20/8033)-1)*1000</f>
        <v>-3.9494660367526135</v>
      </c>
      <c r="L20" s="180" t="s">
        <v>5</v>
      </c>
      <c r="M20" s="180">
        <f>I20/8.033</f>
        <v>1.1940629688512412</v>
      </c>
    </row>
    <row r="21" spans="2:13" x14ac:dyDescent="0.2">
      <c r="B21" s="189">
        <v>776</v>
      </c>
      <c r="C21" s="189">
        <f>1950-B21</f>
        <v>1174</v>
      </c>
      <c r="D21" s="178">
        <f>(D11/(F11^2)+D12/(F12^2)+D10/(F10^2))/(1/(F10^2)+1/(F11^2)+1/(F12^2))</f>
        <v>0.86509501764175123</v>
      </c>
      <c r="E21" s="178" t="str">
        <f>E7</f>
        <v>±</v>
      </c>
      <c r="F21" s="178">
        <f>SQRT(1/(1/(F10^2)+1/(F11^2)+1/(F12^2)))</f>
        <v>1.0230167498385147E-3</v>
      </c>
      <c r="G21" s="179">
        <f>-8033*LN(D21)</f>
        <v>1164.109674512744</v>
      </c>
      <c r="H21" s="178" t="str">
        <f>H8</f>
        <v>±</v>
      </c>
      <c r="I21" s="179">
        <f>F21/D21*8033</f>
        <v>9.4994114910692282</v>
      </c>
      <c r="J21" s="180">
        <f>AVERAGE(J10:J12)</f>
        <v>-18.161928391529006</v>
      </c>
      <c r="K21" s="180">
        <f>(EXP(C21/8267)*EXP(-G21/8033)-1)*1000</f>
        <v>-2.9013113298026472</v>
      </c>
      <c r="L21" s="180" t="s">
        <v>5</v>
      </c>
      <c r="M21" s="180">
        <f>I21/8.033</f>
        <v>1.1825484241341004</v>
      </c>
    </row>
    <row r="22" spans="2:13" x14ac:dyDescent="0.2">
      <c r="B22" s="189">
        <v>777</v>
      </c>
      <c r="C22" s="189">
        <f>1950-B22</f>
        <v>1173</v>
      </c>
      <c r="D22" s="178">
        <f t="shared" ref="D22:M22" si="4">D13</f>
        <v>0.86453950313620476</v>
      </c>
      <c r="E22" s="178" t="str">
        <f t="shared" si="4"/>
        <v>±</v>
      </c>
      <c r="F22" s="178">
        <f t="shared" si="4"/>
        <v>1.7749714749522752E-3</v>
      </c>
      <c r="G22" s="179">
        <f t="shared" si="4"/>
        <v>1169.2588911770245</v>
      </c>
      <c r="H22" s="178" t="str">
        <f t="shared" si="4"/>
        <v>±</v>
      </c>
      <c r="I22" s="179">
        <f t="shared" si="4"/>
        <v>16.492264884808275</v>
      </c>
      <c r="J22" s="180">
        <f t="shared" si="4"/>
        <v>-19.148251397706815</v>
      </c>
      <c r="K22" s="180">
        <f t="shared" si="4"/>
        <v>-3.660782021074116</v>
      </c>
      <c r="L22" s="180" t="str">
        <f t="shared" si="4"/>
        <v>±</v>
      </c>
      <c r="M22" s="180">
        <f t="shared" si="4"/>
        <v>2.0530642206906853</v>
      </c>
    </row>
  </sheetData>
  <mergeCells count="7">
    <mergeCell ref="K3:M3"/>
    <mergeCell ref="D3:F3"/>
    <mergeCell ref="G3:I3"/>
    <mergeCell ref="B16:M16"/>
    <mergeCell ref="D17:F17"/>
    <mergeCell ref="G17:I17"/>
    <mergeCell ref="K17:M17"/>
  </mergeCells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O1" sqref="O1:V1048576"/>
    </sheetView>
  </sheetViews>
  <sheetFormatPr baseColWidth="10" defaultColWidth="11" defaultRowHeight="16" x14ac:dyDescent="0.2"/>
  <cols>
    <col min="1" max="1" width="15.1640625" customWidth="1"/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  <col min="15" max="21" width="0" hidden="1" customWidth="1"/>
    <col min="22" max="22" width="11" hidden="1" customWidth="1"/>
  </cols>
  <sheetData>
    <row r="1" spans="1:22" s="225" customFormat="1" ht="14" x14ac:dyDescent="0.2"/>
    <row r="2" spans="1:22" s="225" customFormat="1" ht="14" x14ac:dyDescent="0.2">
      <c r="A2" s="227"/>
    </row>
    <row r="4" spans="1:22" x14ac:dyDescent="0.2">
      <c r="A4" s="1" t="s">
        <v>117</v>
      </c>
      <c r="F4" s="19"/>
      <c r="G4" s="19"/>
    </row>
    <row r="6" spans="1:22" x14ac:dyDescent="0.2">
      <c r="A6" s="21"/>
      <c r="B6" s="21" t="s">
        <v>17</v>
      </c>
      <c r="C6" s="22" t="s">
        <v>15</v>
      </c>
      <c r="D6" s="345" t="s">
        <v>1</v>
      </c>
      <c r="E6" s="345"/>
      <c r="F6" s="345"/>
      <c r="G6" s="345" t="s">
        <v>2</v>
      </c>
      <c r="H6" s="345"/>
      <c r="I6" s="345"/>
      <c r="J6" s="21" t="s">
        <v>3</v>
      </c>
      <c r="K6" s="346" t="s">
        <v>16</v>
      </c>
      <c r="L6" s="345"/>
      <c r="M6" s="345"/>
    </row>
    <row r="7" spans="1:22" x14ac:dyDescent="0.2">
      <c r="A7" t="s">
        <v>118</v>
      </c>
      <c r="B7">
        <v>770</v>
      </c>
      <c r="C7">
        <f>1950-B7</f>
        <v>1180</v>
      </c>
      <c r="D7" s="26">
        <v>0.8498</v>
      </c>
      <c r="E7" s="2" t="s">
        <v>5</v>
      </c>
      <c r="F7" s="13">
        <v>1.6995999999999999E-3</v>
      </c>
      <c r="G7" s="24">
        <v>1308</v>
      </c>
      <c r="H7" s="2" t="s">
        <v>5</v>
      </c>
      <c r="I7" s="24">
        <v>16</v>
      </c>
      <c r="J7" s="28">
        <v>-25.1</v>
      </c>
      <c r="K7" s="9">
        <f>(EXP(C7/8267)*EXP(-G7/8033)-1)*1000</f>
        <v>-19.891650910170089</v>
      </c>
      <c r="L7" s="2" t="s">
        <v>5</v>
      </c>
      <c r="M7" s="14">
        <f t="shared" ref="M7:M17" si="0">I7/8.033</f>
        <v>1.9917838914477781</v>
      </c>
      <c r="O7">
        <v>53</v>
      </c>
    </row>
    <row r="8" spans="1:22" x14ac:dyDescent="0.2">
      <c r="A8" t="s">
        <v>119</v>
      </c>
      <c r="B8">
        <v>771</v>
      </c>
      <c r="C8">
        <f t="shared" ref="C8:C17" si="1">1950-B8</f>
        <v>1179</v>
      </c>
      <c r="D8" s="26">
        <v>0.84940000000000004</v>
      </c>
      <c r="E8" s="2" t="s">
        <v>5</v>
      </c>
      <c r="F8" s="13">
        <v>1.78374E-3</v>
      </c>
      <c r="G8" s="24">
        <v>1311</v>
      </c>
      <c r="H8" s="2" t="s">
        <v>5</v>
      </c>
      <c r="I8" s="24">
        <v>17</v>
      </c>
      <c r="J8" s="28">
        <v>-25.2</v>
      </c>
      <c r="K8" s="9">
        <f t="shared" ref="K8:K17" si="2">(EXP(C8/8267)*EXP(-G8/8033)-1)*1000</f>
        <v>-20.376118601852067</v>
      </c>
      <c r="L8" s="2" t="s">
        <v>5</v>
      </c>
      <c r="M8" s="14">
        <f t="shared" si="0"/>
        <v>2.116270384663264</v>
      </c>
      <c r="O8">
        <v>52</v>
      </c>
    </row>
    <row r="9" spans="1:22" x14ac:dyDescent="0.2">
      <c r="A9" t="s">
        <v>120</v>
      </c>
      <c r="B9">
        <v>772</v>
      </c>
      <c r="C9">
        <f t="shared" si="1"/>
        <v>1178</v>
      </c>
      <c r="D9" s="26">
        <v>0.84870000000000001</v>
      </c>
      <c r="E9" s="2" t="s">
        <v>5</v>
      </c>
      <c r="F9" s="13">
        <v>1.6974E-3</v>
      </c>
      <c r="G9" s="24">
        <v>1317</v>
      </c>
      <c r="H9" s="2" t="s">
        <v>5</v>
      </c>
      <c r="I9" s="24">
        <v>16</v>
      </c>
      <c r="J9" s="28">
        <v>-23.5</v>
      </c>
      <c r="K9" s="9">
        <f t="shared" si="2"/>
        <v>-21.225947533690004</v>
      </c>
      <c r="L9" s="2" t="s">
        <v>5</v>
      </c>
      <c r="M9" s="14">
        <f t="shared" si="0"/>
        <v>1.9917838914477781</v>
      </c>
      <c r="O9">
        <v>51</v>
      </c>
    </row>
    <row r="10" spans="1:22" x14ac:dyDescent="0.2">
      <c r="A10" t="s">
        <v>121</v>
      </c>
      <c r="B10">
        <v>773</v>
      </c>
      <c r="C10">
        <f t="shared" si="1"/>
        <v>1177</v>
      </c>
      <c r="D10" s="26">
        <v>0.85260000000000002</v>
      </c>
      <c r="E10" s="2" t="s">
        <v>5</v>
      </c>
      <c r="F10" s="13">
        <v>1.7052E-3</v>
      </c>
      <c r="G10" s="24">
        <v>1281</v>
      </c>
      <c r="H10" s="2" t="s">
        <v>5</v>
      </c>
      <c r="I10" s="24">
        <v>16</v>
      </c>
      <c r="J10" s="28">
        <v>-22.1</v>
      </c>
      <c r="K10" s="9">
        <f t="shared" si="2"/>
        <v>-16.948634523786254</v>
      </c>
      <c r="L10" s="2" t="s">
        <v>5</v>
      </c>
      <c r="M10" s="14">
        <f t="shared" si="0"/>
        <v>1.9917838914477781</v>
      </c>
      <c r="O10">
        <v>50</v>
      </c>
    </row>
    <row r="11" spans="1:22" x14ac:dyDescent="0.2">
      <c r="A11" t="s">
        <v>122</v>
      </c>
      <c r="B11">
        <v>774</v>
      </c>
      <c r="C11">
        <f t="shared" si="1"/>
        <v>1176</v>
      </c>
      <c r="D11" s="26">
        <v>0.85750000000000004</v>
      </c>
      <c r="E11" s="2" t="s">
        <v>5</v>
      </c>
      <c r="F11" s="13">
        <v>1.7150000000000002E-3</v>
      </c>
      <c r="G11" s="24">
        <v>1235</v>
      </c>
      <c r="H11" s="2" t="s">
        <v>5</v>
      </c>
      <c r="I11" s="24">
        <v>16</v>
      </c>
      <c r="J11" s="28">
        <v>-23.8</v>
      </c>
      <c r="K11" s="9">
        <f t="shared" si="2"/>
        <v>-11.422749872706639</v>
      </c>
      <c r="L11" s="2" t="s">
        <v>5</v>
      </c>
      <c r="M11" s="14">
        <f t="shared" si="0"/>
        <v>1.9917838914477781</v>
      </c>
      <c r="O11">
        <v>49</v>
      </c>
      <c r="Q11" s="8">
        <v>0.85611895603022503</v>
      </c>
      <c r="R11" s="2" t="s">
        <v>5</v>
      </c>
      <c r="S11" s="13">
        <v>2.0221807938445601E-3</v>
      </c>
      <c r="T11" s="8">
        <v>0.85977484541039595</v>
      </c>
      <c r="U11" s="2" t="s">
        <v>5</v>
      </c>
      <c r="V11" s="13">
        <v>2.25816516360846E-3</v>
      </c>
    </row>
    <row r="12" spans="1:22" x14ac:dyDescent="0.2">
      <c r="A12" t="s">
        <v>123</v>
      </c>
      <c r="B12">
        <v>775</v>
      </c>
      <c r="C12">
        <f t="shared" si="1"/>
        <v>1175</v>
      </c>
      <c r="D12" s="26">
        <v>0.86219999999999997</v>
      </c>
      <c r="E12" s="2" t="s">
        <v>5</v>
      </c>
      <c r="F12" s="13">
        <v>1.7244000000000001E-3</v>
      </c>
      <c r="G12" s="24">
        <v>1191</v>
      </c>
      <c r="H12" s="2" t="s">
        <v>5</v>
      </c>
      <c r="I12" s="24">
        <v>16</v>
      </c>
      <c r="J12" s="28">
        <v>-23</v>
      </c>
      <c r="K12" s="9">
        <f t="shared" si="2"/>
        <v>-6.1132851148196776</v>
      </c>
      <c r="L12" s="2" t="s">
        <v>5</v>
      </c>
      <c r="M12" s="14">
        <f t="shared" si="0"/>
        <v>1.9917838914477781</v>
      </c>
      <c r="O12">
        <v>48.15</v>
      </c>
    </row>
    <row r="13" spans="1:22" x14ac:dyDescent="0.2">
      <c r="A13" t="s">
        <v>124</v>
      </c>
      <c r="B13">
        <v>776</v>
      </c>
      <c r="C13">
        <f t="shared" si="1"/>
        <v>1174</v>
      </c>
      <c r="D13" s="26">
        <v>0.86529999999999996</v>
      </c>
      <c r="E13" s="2" t="s">
        <v>5</v>
      </c>
      <c r="F13" s="13">
        <v>1.7305999999999999E-3</v>
      </c>
      <c r="G13" s="24">
        <v>1162</v>
      </c>
      <c r="H13" s="2" t="s">
        <v>5</v>
      </c>
      <c r="I13" s="24">
        <v>16</v>
      </c>
      <c r="J13" s="28">
        <v>-24.2</v>
      </c>
      <c r="K13" s="9">
        <f t="shared" si="2"/>
        <v>-2.6394129184634796</v>
      </c>
      <c r="L13" s="2" t="s">
        <v>5</v>
      </c>
      <c r="M13" s="14">
        <f t="shared" si="0"/>
        <v>1.9917838914477781</v>
      </c>
      <c r="O13">
        <v>48</v>
      </c>
    </row>
    <row r="14" spans="1:22" x14ac:dyDescent="0.2">
      <c r="A14" t="s">
        <v>125</v>
      </c>
      <c r="B14">
        <v>777</v>
      </c>
      <c r="C14">
        <f t="shared" si="1"/>
        <v>1173</v>
      </c>
      <c r="D14" s="26">
        <v>0.86529999999999996</v>
      </c>
      <c r="E14" s="2" t="s">
        <v>5</v>
      </c>
      <c r="F14" s="13">
        <v>1.7305999999999999E-3</v>
      </c>
      <c r="G14" s="24">
        <v>1163</v>
      </c>
      <c r="H14" s="2" t="s">
        <v>5</v>
      </c>
      <c r="I14" s="24">
        <v>16</v>
      </c>
      <c r="J14" s="28">
        <v>-23.4</v>
      </c>
      <c r="K14" s="9">
        <f t="shared" si="2"/>
        <v>-2.8841843931447508</v>
      </c>
      <c r="L14" s="2" t="s">
        <v>5</v>
      </c>
      <c r="M14" s="14">
        <f t="shared" si="0"/>
        <v>1.9917838914477781</v>
      </c>
      <c r="O14">
        <v>47.85</v>
      </c>
    </row>
    <row r="15" spans="1:22" x14ac:dyDescent="0.2">
      <c r="A15" t="s">
        <v>126</v>
      </c>
      <c r="B15">
        <v>778</v>
      </c>
      <c r="C15">
        <f t="shared" si="1"/>
        <v>1172</v>
      </c>
      <c r="D15" s="26">
        <v>0.86219999999999997</v>
      </c>
      <c r="E15" s="2" t="s">
        <v>5</v>
      </c>
      <c r="F15" s="13">
        <v>1.7244000000000001E-3</v>
      </c>
      <c r="G15" s="24">
        <v>1191</v>
      </c>
      <c r="H15" s="2" t="s">
        <v>5</v>
      </c>
      <c r="I15" s="24">
        <v>16</v>
      </c>
      <c r="J15" s="28">
        <v>-23.9</v>
      </c>
      <c r="K15" s="9">
        <f t="shared" si="2"/>
        <v>-6.4738898329598227</v>
      </c>
      <c r="L15" s="2" t="s">
        <v>5</v>
      </c>
      <c r="M15" s="14">
        <f t="shared" si="0"/>
        <v>1.9917838914477781</v>
      </c>
      <c r="O15">
        <v>47</v>
      </c>
    </row>
    <row r="16" spans="1:22" x14ac:dyDescent="0.2">
      <c r="A16" t="s">
        <v>127</v>
      </c>
      <c r="B16">
        <v>779</v>
      </c>
      <c r="C16">
        <f t="shared" si="1"/>
        <v>1171</v>
      </c>
      <c r="D16" s="26">
        <v>0.86250000000000004</v>
      </c>
      <c r="E16" s="2" t="s">
        <v>5</v>
      </c>
      <c r="F16" s="13">
        <v>1.7250000000000002E-3</v>
      </c>
      <c r="G16" s="24">
        <v>1188</v>
      </c>
      <c r="H16" s="2" t="s">
        <v>5</v>
      </c>
      <c r="I16" s="24">
        <v>16</v>
      </c>
      <c r="J16" s="28">
        <v>-23.1</v>
      </c>
      <c r="K16" s="9">
        <f t="shared" si="2"/>
        <v>-6.2229961794180166</v>
      </c>
      <c r="L16" s="2" t="s">
        <v>5</v>
      </c>
      <c r="M16" s="14">
        <f t="shared" si="0"/>
        <v>1.9917838914477781</v>
      </c>
      <c r="O16">
        <v>47</v>
      </c>
    </row>
    <row r="17" spans="1:15" x14ac:dyDescent="0.2">
      <c r="A17" t="s">
        <v>128</v>
      </c>
      <c r="B17">
        <v>780</v>
      </c>
      <c r="C17">
        <f t="shared" si="1"/>
        <v>1170</v>
      </c>
      <c r="D17" s="26">
        <v>0.86460000000000004</v>
      </c>
      <c r="E17" s="2" t="s">
        <v>5</v>
      </c>
      <c r="F17" s="13">
        <v>1.7292000000000002E-3</v>
      </c>
      <c r="G17" s="24">
        <v>1169</v>
      </c>
      <c r="H17" s="2" t="s">
        <v>5</v>
      </c>
      <c r="I17" s="24">
        <v>16</v>
      </c>
      <c r="J17" s="28">
        <v>-24.8</v>
      </c>
      <c r="K17" s="9">
        <f t="shared" si="2"/>
        <v>-3.9901772229011812</v>
      </c>
      <c r="L17" s="2" t="s">
        <v>5</v>
      </c>
      <c r="M17" s="14">
        <f t="shared" si="0"/>
        <v>1.9917838914477781</v>
      </c>
      <c r="O17">
        <v>46</v>
      </c>
    </row>
    <row r="20" spans="1:15" x14ac:dyDescent="0.2">
      <c r="A20" s="192" t="s">
        <v>330</v>
      </c>
      <c r="B20" s="171"/>
      <c r="C20" s="171"/>
      <c r="D20" s="193"/>
      <c r="E20" s="171"/>
      <c r="F20" s="194"/>
      <c r="G20" s="190"/>
      <c r="H20" s="190"/>
      <c r="I20" s="190"/>
      <c r="J20" s="195"/>
      <c r="K20" s="195"/>
      <c r="L20" s="171"/>
      <c r="M20" s="195"/>
    </row>
    <row r="21" spans="1:15" x14ac:dyDescent="0.2">
      <c r="A21" s="191"/>
      <c r="B21" s="191" t="s">
        <v>17</v>
      </c>
      <c r="C21" s="191" t="s">
        <v>15</v>
      </c>
      <c r="D21" s="353" t="s">
        <v>1</v>
      </c>
      <c r="E21" s="353"/>
      <c r="F21" s="353"/>
      <c r="G21" s="353" t="s">
        <v>2</v>
      </c>
      <c r="H21" s="353"/>
      <c r="I21" s="353"/>
      <c r="J21" s="191" t="s">
        <v>3</v>
      </c>
      <c r="K21" s="353" t="s">
        <v>16</v>
      </c>
      <c r="L21" s="353"/>
      <c r="M21" s="353"/>
    </row>
    <row r="22" spans="1:15" x14ac:dyDescent="0.2">
      <c r="A22" s="187" t="str">
        <f t="shared" ref="A22:M22" si="3">A7</f>
        <v>ETH-57508</v>
      </c>
      <c r="B22" s="187">
        <f t="shared" si="3"/>
        <v>770</v>
      </c>
      <c r="C22" s="187">
        <v>1180</v>
      </c>
      <c r="D22" s="196">
        <f t="shared" si="3"/>
        <v>0.8498</v>
      </c>
      <c r="E22" s="187" t="str">
        <f t="shared" si="3"/>
        <v>±</v>
      </c>
      <c r="F22" s="178">
        <f t="shared" si="3"/>
        <v>1.6995999999999999E-3</v>
      </c>
      <c r="G22" s="179">
        <f t="shared" si="3"/>
        <v>1308</v>
      </c>
      <c r="H22" s="179" t="str">
        <f t="shared" si="3"/>
        <v>±</v>
      </c>
      <c r="I22" s="179">
        <f t="shared" si="3"/>
        <v>16</v>
      </c>
      <c r="J22" s="180">
        <f t="shared" si="3"/>
        <v>-25.1</v>
      </c>
      <c r="K22" s="180">
        <f t="shared" si="3"/>
        <v>-19.891650910170089</v>
      </c>
      <c r="L22" s="187" t="str">
        <f t="shared" si="3"/>
        <v>±</v>
      </c>
      <c r="M22" s="180">
        <f t="shared" si="3"/>
        <v>1.9917838914477781</v>
      </c>
    </row>
    <row r="23" spans="1:15" x14ac:dyDescent="0.2">
      <c r="A23" s="187" t="str">
        <f t="shared" ref="A23:M23" si="4">A8</f>
        <v>ETH-57509</v>
      </c>
      <c r="B23" s="187">
        <f t="shared" si="4"/>
        <v>771</v>
      </c>
      <c r="C23" s="187">
        <v>1179</v>
      </c>
      <c r="D23" s="196">
        <f t="shared" si="4"/>
        <v>0.84940000000000004</v>
      </c>
      <c r="E23" s="187" t="str">
        <f t="shared" si="4"/>
        <v>±</v>
      </c>
      <c r="F23" s="178">
        <f t="shared" si="4"/>
        <v>1.78374E-3</v>
      </c>
      <c r="G23" s="179">
        <f t="shared" si="4"/>
        <v>1311</v>
      </c>
      <c r="H23" s="179" t="str">
        <f t="shared" si="4"/>
        <v>±</v>
      </c>
      <c r="I23" s="179">
        <f t="shared" si="4"/>
        <v>17</v>
      </c>
      <c r="J23" s="180">
        <f t="shared" si="4"/>
        <v>-25.2</v>
      </c>
      <c r="K23" s="180">
        <f t="shared" si="4"/>
        <v>-20.376118601852067</v>
      </c>
      <c r="L23" s="187" t="str">
        <f t="shared" si="4"/>
        <v>±</v>
      </c>
      <c r="M23" s="180">
        <f t="shared" si="4"/>
        <v>2.116270384663264</v>
      </c>
    </row>
    <row r="24" spans="1:15" x14ac:dyDescent="0.2">
      <c r="A24" s="187" t="str">
        <f t="shared" ref="A24:M24" si="5">A9</f>
        <v>ETH-57510</v>
      </c>
      <c r="B24" s="187">
        <f t="shared" si="5"/>
        <v>772</v>
      </c>
      <c r="C24" s="187">
        <v>1178</v>
      </c>
      <c r="D24" s="196">
        <f t="shared" si="5"/>
        <v>0.84870000000000001</v>
      </c>
      <c r="E24" s="187" t="str">
        <f t="shared" si="5"/>
        <v>±</v>
      </c>
      <c r="F24" s="178">
        <f t="shared" si="5"/>
        <v>1.6974E-3</v>
      </c>
      <c r="G24" s="179">
        <f t="shared" si="5"/>
        <v>1317</v>
      </c>
      <c r="H24" s="179" t="str">
        <f t="shared" si="5"/>
        <v>±</v>
      </c>
      <c r="I24" s="179">
        <f t="shared" si="5"/>
        <v>16</v>
      </c>
      <c r="J24" s="197">
        <f t="shared" si="5"/>
        <v>-23.5</v>
      </c>
      <c r="K24" s="180">
        <f t="shared" si="5"/>
        <v>-21.225947533690004</v>
      </c>
      <c r="L24" s="187" t="str">
        <f t="shared" si="5"/>
        <v>±</v>
      </c>
      <c r="M24" s="180">
        <f t="shared" si="5"/>
        <v>1.9917838914477781</v>
      </c>
    </row>
    <row r="25" spans="1:15" x14ac:dyDescent="0.2">
      <c r="A25" s="187" t="str">
        <f t="shared" ref="A25:M25" si="6">A10</f>
        <v>ETH-57511</v>
      </c>
      <c r="B25" s="187">
        <f t="shared" si="6"/>
        <v>773</v>
      </c>
      <c r="C25" s="187">
        <v>1177</v>
      </c>
      <c r="D25" s="196">
        <f t="shared" si="6"/>
        <v>0.85260000000000002</v>
      </c>
      <c r="E25" s="187" t="str">
        <f t="shared" si="6"/>
        <v>±</v>
      </c>
      <c r="F25" s="178">
        <f t="shared" si="6"/>
        <v>1.7052E-3</v>
      </c>
      <c r="G25" s="179">
        <f t="shared" si="6"/>
        <v>1281</v>
      </c>
      <c r="H25" s="179" t="str">
        <f t="shared" si="6"/>
        <v>±</v>
      </c>
      <c r="I25" s="179">
        <f t="shared" si="6"/>
        <v>16</v>
      </c>
      <c r="J25" s="197">
        <f t="shared" si="6"/>
        <v>-22.1</v>
      </c>
      <c r="K25" s="180">
        <f t="shared" si="6"/>
        <v>-16.948634523786254</v>
      </c>
      <c r="L25" s="187" t="str">
        <f t="shared" si="6"/>
        <v>±</v>
      </c>
      <c r="M25" s="180">
        <f t="shared" si="6"/>
        <v>1.9917838914477781</v>
      </c>
    </row>
    <row r="26" spans="1:15" x14ac:dyDescent="0.2">
      <c r="A26" s="187" t="str">
        <f t="shared" ref="A26:M26" si="7">A11</f>
        <v>ETH-57512</v>
      </c>
      <c r="B26" s="187">
        <f t="shared" si="7"/>
        <v>774</v>
      </c>
      <c r="C26" s="187">
        <v>1176</v>
      </c>
      <c r="D26" s="196">
        <f t="shared" si="7"/>
        <v>0.85750000000000004</v>
      </c>
      <c r="E26" s="187" t="str">
        <f t="shared" si="7"/>
        <v>±</v>
      </c>
      <c r="F26" s="178">
        <f t="shared" si="7"/>
        <v>1.7150000000000002E-3</v>
      </c>
      <c r="G26" s="179">
        <f t="shared" si="7"/>
        <v>1235</v>
      </c>
      <c r="H26" s="179" t="str">
        <f t="shared" si="7"/>
        <v>±</v>
      </c>
      <c r="I26" s="179">
        <f t="shared" si="7"/>
        <v>16</v>
      </c>
      <c r="J26" s="197">
        <f t="shared" si="7"/>
        <v>-23.8</v>
      </c>
      <c r="K26" s="180">
        <f t="shared" si="7"/>
        <v>-11.422749872706639</v>
      </c>
      <c r="L26" s="187" t="str">
        <f t="shared" si="7"/>
        <v>±</v>
      </c>
      <c r="M26" s="180">
        <f t="shared" si="7"/>
        <v>1.9917838914477781</v>
      </c>
    </row>
    <row r="27" spans="1:15" x14ac:dyDescent="0.2">
      <c r="A27" s="187" t="str">
        <f t="shared" ref="A27:M27" si="8">A12</f>
        <v>ETH-57513</v>
      </c>
      <c r="B27" s="187">
        <f t="shared" si="8"/>
        <v>775</v>
      </c>
      <c r="C27" s="187">
        <v>1175</v>
      </c>
      <c r="D27" s="196">
        <f t="shared" si="8"/>
        <v>0.86219999999999997</v>
      </c>
      <c r="E27" s="187" t="str">
        <f t="shared" si="8"/>
        <v>±</v>
      </c>
      <c r="F27" s="178">
        <f t="shared" si="8"/>
        <v>1.7244000000000001E-3</v>
      </c>
      <c r="G27" s="179">
        <f t="shared" si="8"/>
        <v>1191</v>
      </c>
      <c r="H27" s="179" t="str">
        <f t="shared" si="8"/>
        <v>±</v>
      </c>
      <c r="I27" s="179">
        <f t="shared" si="8"/>
        <v>16</v>
      </c>
      <c r="J27" s="197">
        <f t="shared" si="8"/>
        <v>-23</v>
      </c>
      <c r="K27" s="180">
        <f t="shared" si="8"/>
        <v>-6.1132851148196776</v>
      </c>
      <c r="L27" s="187" t="str">
        <f t="shared" si="8"/>
        <v>±</v>
      </c>
      <c r="M27" s="180">
        <f t="shared" si="8"/>
        <v>1.9917838914477781</v>
      </c>
    </row>
    <row r="28" spans="1:15" x14ac:dyDescent="0.2">
      <c r="A28" s="187" t="str">
        <f t="shared" ref="A28:M28" si="9">A13</f>
        <v>ETH-57514</v>
      </c>
      <c r="B28" s="187">
        <f t="shared" si="9"/>
        <v>776</v>
      </c>
      <c r="C28" s="187">
        <v>1174</v>
      </c>
      <c r="D28" s="196">
        <f t="shared" si="9"/>
        <v>0.86529999999999996</v>
      </c>
      <c r="E28" s="187" t="str">
        <f t="shared" si="9"/>
        <v>±</v>
      </c>
      <c r="F28" s="178">
        <f t="shared" si="9"/>
        <v>1.7305999999999999E-3</v>
      </c>
      <c r="G28" s="179">
        <f t="shared" si="9"/>
        <v>1162</v>
      </c>
      <c r="H28" s="179" t="str">
        <f t="shared" si="9"/>
        <v>±</v>
      </c>
      <c r="I28" s="179">
        <f t="shared" si="9"/>
        <v>16</v>
      </c>
      <c r="J28" s="197">
        <f t="shared" si="9"/>
        <v>-24.2</v>
      </c>
      <c r="K28" s="180">
        <f t="shared" si="9"/>
        <v>-2.6394129184634796</v>
      </c>
      <c r="L28" s="187" t="str">
        <f t="shared" si="9"/>
        <v>±</v>
      </c>
      <c r="M28" s="180">
        <f t="shared" si="9"/>
        <v>1.9917838914477781</v>
      </c>
    </row>
    <row r="29" spans="1:15" x14ac:dyDescent="0.2">
      <c r="A29" s="187" t="str">
        <f t="shared" ref="A29:M29" si="10">A14</f>
        <v>ETH-57515</v>
      </c>
      <c r="B29" s="187">
        <f t="shared" si="10"/>
        <v>777</v>
      </c>
      <c r="C29" s="187">
        <v>1173</v>
      </c>
      <c r="D29" s="196">
        <f t="shared" si="10"/>
        <v>0.86529999999999996</v>
      </c>
      <c r="E29" s="187" t="str">
        <f t="shared" si="10"/>
        <v>±</v>
      </c>
      <c r="F29" s="178">
        <f t="shared" si="10"/>
        <v>1.7305999999999999E-3</v>
      </c>
      <c r="G29" s="179">
        <f t="shared" si="10"/>
        <v>1163</v>
      </c>
      <c r="H29" s="179" t="str">
        <f t="shared" si="10"/>
        <v>±</v>
      </c>
      <c r="I29" s="179">
        <f t="shared" si="10"/>
        <v>16</v>
      </c>
      <c r="J29" s="197">
        <f t="shared" si="10"/>
        <v>-23.4</v>
      </c>
      <c r="K29" s="180">
        <f t="shared" si="10"/>
        <v>-2.8841843931447508</v>
      </c>
      <c r="L29" s="187" t="str">
        <f t="shared" si="10"/>
        <v>±</v>
      </c>
      <c r="M29" s="180">
        <f t="shared" si="10"/>
        <v>1.9917838914477781</v>
      </c>
    </row>
    <row r="30" spans="1:15" x14ac:dyDescent="0.2">
      <c r="A30" s="187" t="str">
        <f t="shared" ref="A30:M30" si="11">A15</f>
        <v>ETH-57516</v>
      </c>
      <c r="B30" s="187">
        <f t="shared" si="11"/>
        <v>778</v>
      </c>
      <c r="C30" s="187">
        <v>1172</v>
      </c>
      <c r="D30" s="196">
        <f t="shared" si="11"/>
        <v>0.86219999999999997</v>
      </c>
      <c r="E30" s="187" t="str">
        <f t="shared" si="11"/>
        <v>±</v>
      </c>
      <c r="F30" s="178">
        <f t="shared" si="11"/>
        <v>1.7244000000000001E-3</v>
      </c>
      <c r="G30" s="179">
        <f t="shared" si="11"/>
        <v>1191</v>
      </c>
      <c r="H30" s="179" t="str">
        <f t="shared" si="11"/>
        <v>±</v>
      </c>
      <c r="I30" s="179">
        <f t="shared" si="11"/>
        <v>16</v>
      </c>
      <c r="J30" s="180">
        <f t="shared" si="11"/>
        <v>-23.9</v>
      </c>
      <c r="K30" s="180">
        <f t="shared" si="11"/>
        <v>-6.4738898329598227</v>
      </c>
      <c r="L30" s="187" t="str">
        <f t="shared" si="11"/>
        <v>±</v>
      </c>
      <c r="M30" s="180">
        <f t="shared" si="11"/>
        <v>1.9917838914477781</v>
      </c>
    </row>
    <row r="31" spans="1:15" x14ac:dyDescent="0.2">
      <c r="A31" s="187" t="str">
        <f t="shared" ref="A31:M31" si="12">A16</f>
        <v>ETH-57517</v>
      </c>
      <c r="B31" s="187">
        <f t="shared" si="12"/>
        <v>779</v>
      </c>
      <c r="C31" s="187">
        <v>1171</v>
      </c>
      <c r="D31" s="196">
        <f t="shared" si="12"/>
        <v>0.86250000000000004</v>
      </c>
      <c r="E31" s="187" t="str">
        <f t="shared" si="12"/>
        <v>±</v>
      </c>
      <c r="F31" s="178">
        <f t="shared" si="12"/>
        <v>1.7250000000000002E-3</v>
      </c>
      <c r="G31" s="179">
        <f t="shared" si="12"/>
        <v>1188</v>
      </c>
      <c r="H31" s="179" t="str">
        <f t="shared" si="12"/>
        <v>±</v>
      </c>
      <c r="I31" s="179">
        <f t="shared" si="12"/>
        <v>16</v>
      </c>
      <c r="J31" s="180">
        <f t="shared" si="12"/>
        <v>-23.1</v>
      </c>
      <c r="K31" s="180">
        <f t="shared" si="12"/>
        <v>-6.2229961794180166</v>
      </c>
      <c r="L31" s="187" t="str">
        <f t="shared" si="12"/>
        <v>±</v>
      </c>
      <c r="M31" s="180">
        <f t="shared" si="12"/>
        <v>1.9917838914477781</v>
      </c>
    </row>
    <row r="32" spans="1:15" x14ac:dyDescent="0.2">
      <c r="A32" s="187" t="str">
        <f t="shared" ref="A32:M32" si="13">A17</f>
        <v>ETH-57518</v>
      </c>
      <c r="B32" s="187">
        <f t="shared" si="13"/>
        <v>780</v>
      </c>
      <c r="C32" s="187">
        <v>1170</v>
      </c>
      <c r="D32" s="196">
        <f t="shared" si="13"/>
        <v>0.86460000000000004</v>
      </c>
      <c r="E32" s="187" t="str">
        <f t="shared" si="13"/>
        <v>±</v>
      </c>
      <c r="F32" s="178">
        <f t="shared" si="13"/>
        <v>1.7292000000000002E-3</v>
      </c>
      <c r="G32" s="179">
        <f t="shared" si="13"/>
        <v>1169</v>
      </c>
      <c r="H32" s="179" t="str">
        <f t="shared" si="13"/>
        <v>±</v>
      </c>
      <c r="I32" s="179">
        <f t="shared" si="13"/>
        <v>16</v>
      </c>
      <c r="J32" s="180">
        <f t="shared" si="13"/>
        <v>-24.8</v>
      </c>
      <c r="K32" s="180">
        <f t="shared" si="13"/>
        <v>-3.9901772229011812</v>
      </c>
      <c r="L32" s="187" t="str">
        <f t="shared" si="13"/>
        <v>±</v>
      </c>
      <c r="M32" s="180">
        <f t="shared" si="13"/>
        <v>1.9917838914477781</v>
      </c>
    </row>
    <row r="41" spans="1:13" x14ac:dyDescent="0.2">
      <c r="A41" s="23"/>
      <c r="B41" s="23"/>
      <c r="C41" s="23"/>
      <c r="D41" s="23"/>
      <c r="E41" s="24"/>
      <c r="F41" s="25"/>
      <c r="G41" s="26"/>
      <c r="H41" s="27"/>
      <c r="I41" s="24"/>
      <c r="J41" s="24"/>
      <c r="K41" s="28"/>
      <c r="L41" s="24"/>
      <c r="M41" s="24"/>
    </row>
    <row r="42" spans="1:13" x14ac:dyDescent="0.2">
      <c r="A42" s="23"/>
      <c r="B42" s="23"/>
      <c r="C42" s="23"/>
      <c r="D42" s="23"/>
      <c r="E42" s="24"/>
      <c r="F42" s="25"/>
      <c r="G42" s="26"/>
      <c r="H42" s="27"/>
      <c r="I42" s="24"/>
      <c r="J42" s="24"/>
      <c r="K42" s="28"/>
      <c r="L42" s="24"/>
      <c r="M42" s="24"/>
    </row>
    <row r="43" spans="1:13" x14ac:dyDescent="0.2">
      <c r="A43" s="23"/>
      <c r="B43" s="23"/>
      <c r="C43" s="23"/>
      <c r="D43" s="23"/>
      <c r="E43" s="24"/>
      <c r="F43" s="25"/>
      <c r="G43" s="26"/>
      <c r="H43" s="27"/>
      <c r="I43" s="24"/>
      <c r="J43" s="24"/>
      <c r="K43" s="28"/>
      <c r="L43" s="24"/>
      <c r="M43" s="24"/>
    </row>
    <row r="44" spans="1:13" x14ac:dyDescent="0.2">
      <c r="A44" s="23"/>
      <c r="B44" s="23"/>
      <c r="C44" s="23"/>
      <c r="D44" s="23"/>
      <c r="E44" s="24"/>
      <c r="F44" s="25"/>
      <c r="G44" s="26"/>
      <c r="H44" s="27"/>
      <c r="I44" s="24"/>
      <c r="J44" s="24"/>
      <c r="K44" s="28"/>
      <c r="L44" s="24"/>
      <c r="M44" s="24"/>
    </row>
    <row r="45" spans="1:13" x14ac:dyDescent="0.2">
      <c r="A45" s="23"/>
      <c r="B45" s="23"/>
      <c r="C45" s="23"/>
      <c r="D45" s="23"/>
      <c r="E45" s="24"/>
      <c r="F45" s="25"/>
      <c r="G45" s="26"/>
      <c r="H45" s="27"/>
      <c r="I45" s="24"/>
      <c r="J45" s="24"/>
      <c r="K45" s="28"/>
      <c r="L45" s="24"/>
      <c r="M45" s="24"/>
    </row>
    <row r="46" spans="1:13" x14ac:dyDescent="0.2">
      <c r="A46" s="23"/>
      <c r="B46" s="23"/>
      <c r="C46" s="23"/>
      <c r="D46" s="23"/>
      <c r="E46" s="24"/>
      <c r="F46" s="25"/>
      <c r="G46" s="26"/>
      <c r="H46" s="27"/>
      <c r="I46" s="24"/>
      <c r="J46" s="24"/>
      <c r="K46" s="28"/>
      <c r="L46" s="24"/>
      <c r="M46" s="24"/>
    </row>
    <row r="47" spans="1:13" x14ac:dyDescent="0.2">
      <c r="A47" s="23"/>
      <c r="B47" s="23"/>
      <c r="C47" s="23"/>
      <c r="D47" s="23"/>
      <c r="E47" s="24"/>
      <c r="F47" s="25"/>
      <c r="G47" s="26"/>
      <c r="H47" s="27"/>
      <c r="I47" s="24"/>
      <c r="J47" s="24"/>
      <c r="K47" s="28"/>
      <c r="L47" s="24"/>
      <c r="M47" s="24"/>
    </row>
    <row r="48" spans="1:13" x14ac:dyDescent="0.2">
      <c r="A48" s="23"/>
      <c r="B48" s="23"/>
      <c r="C48" s="23"/>
      <c r="D48" s="23"/>
      <c r="E48" s="24"/>
      <c r="F48" s="25"/>
      <c r="G48" s="26"/>
      <c r="H48" s="27"/>
      <c r="I48" s="24"/>
      <c r="J48" s="24"/>
      <c r="K48" s="28"/>
      <c r="L48" s="24"/>
      <c r="M48" s="24"/>
    </row>
    <row r="49" spans="1:13" x14ac:dyDescent="0.2">
      <c r="A49" s="23"/>
      <c r="B49" s="23"/>
      <c r="C49" s="23"/>
      <c r="D49" s="23"/>
      <c r="E49" s="24"/>
      <c r="F49" s="25"/>
      <c r="G49" s="26"/>
      <c r="H49" s="27"/>
      <c r="I49" s="24"/>
      <c r="J49" s="24"/>
      <c r="K49" s="28"/>
      <c r="L49" s="24"/>
      <c r="M49" s="24"/>
    </row>
    <row r="50" spans="1:13" x14ac:dyDescent="0.2">
      <c r="A50" s="23"/>
      <c r="B50" s="23"/>
      <c r="C50" s="23"/>
      <c r="D50" s="23"/>
      <c r="E50" s="24"/>
      <c r="F50" s="25"/>
      <c r="G50" s="26"/>
      <c r="H50" s="27"/>
      <c r="I50" s="24"/>
      <c r="J50" s="24"/>
      <c r="K50" s="28"/>
      <c r="L50" s="24"/>
      <c r="M50" s="24"/>
    </row>
    <row r="51" spans="1:13" x14ac:dyDescent="0.2">
      <c r="A51" s="23"/>
      <c r="B51" s="23"/>
      <c r="C51" s="23"/>
      <c r="D51" s="23"/>
      <c r="E51" s="24"/>
      <c r="F51" s="25"/>
      <c r="G51" s="26"/>
      <c r="H51" s="27"/>
      <c r="I51" s="24"/>
      <c r="J51" s="24"/>
      <c r="K51" s="28"/>
      <c r="L51" s="24"/>
      <c r="M51" s="24"/>
    </row>
  </sheetData>
  <mergeCells count="6">
    <mergeCell ref="D6:F6"/>
    <mergeCell ref="G6:I6"/>
    <mergeCell ref="K6:M6"/>
    <mergeCell ref="D21:F21"/>
    <mergeCell ref="G21:I21"/>
    <mergeCell ref="K21:M21"/>
  </mergeCells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C45" sqref="C45"/>
    </sheetView>
  </sheetViews>
  <sheetFormatPr baseColWidth="10" defaultColWidth="9" defaultRowHeight="16" x14ac:dyDescent="0.2"/>
  <cols>
    <col min="1" max="1" width="9.6640625" bestFit="1" customWidth="1"/>
  </cols>
  <sheetData>
    <row r="1" spans="1:34" s="264" customFormat="1" ht="15" x14ac:dyDescent="0.2">
      <c r="A1" s="263"/>
      <c r="B1" s="263"/>
      <c r="C1" s="263"/>
      <c r="D1" s="263"/>
      <c r="F1" s="265"/>
      <c r="G1" s="265"/>
      <c r="R1" s="266"/>
      <c r="S1" s="266"/>
    </row>
    <row r="2" spans="1:34" s="231" customFormat="1" ht="15" x14ac:dyDescent="0.2">
      <c r="A2" s="267"/>
      <c r="B2" s="267"/>
      <c r="C2" s="267"/>
      <c r="D2" s="230"/>
      <c r="R2" s="232"/>
      <c r="S2" s="232"/>
      <c r="AG2" s="294"/>
      <c r="AH2" s="294"/>
    </row>
    <row r="4" spans="1:34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317" t="s">
        <v>17</v>
      </c>
      <c r="J4" s="318" t="s">
        <v>15</v>
      </c>
      <c r="K4" s="345" t="s">
        <v>1</v>
      </c>
      <c r="L4" s="345"/>
      <c r="M4" s="345"/>
      <c r="N4" s="345" t="s">
        <v>2</v>
      </c>
      <c r="O4" s="345"/>
      <c r="P4" s="345"/>
      <c r="Q4" s="317" t="s">
        <v>3</v>
      </c>
      <c r="R4" s="346" t="s">
        <v>16</v>
      </c>
      <c r="S4" s="345"/>
      <c r="T4" s="345"/>
    </row>
    <row r="5" spans="1:34" x14ac:dyDescent="0.2">
      <c r="A5" s="258" t="s">
        <v>711</v>
      </c>
      <c r="B5" s="156" t="s">
        <v>216</v>
      </c>
      <c r="C5" s="34">
        <v>0.85456223246305174</v>
      </c>
      <c r="D5" s="34">
        <v>1.624932653010696E-3</v>
      </c>
      <c r="E5" s="32">
        <v>1262.5024440374541</v>
      </c>
      <c r="F5" s="32">
        <v>15.274444904378303</v>
      </c>
      <c r="G5" s="36">
        <v>-24.77020473952085</v>
      </c>
      <c r="I5" s="270">
        <v>770</v>
      </c>
      <c r="J5" s="271">
        <f>1950-I5</f>
        <v>1180</v>
      </c>
      <c r="K5" s="272">
        <f>C5</f>
        <v>0.85456223246305174</v>
      </c>
      <c r="L5" s="273" t="s">
        <v>5</v>
      </c>
      <c r="M5" s="274">
        <f>D5</f>
        <v>1.624932653010696E-3</v>
      </c>
      <c r="N5" s="275">
        <f>-8033*LN(K5)</f>
        <v>1262.514076203744</v>
      </c>
      <c r="O5" s="276" t="s">
        <v>5</v>
      </c>
      <c r="P5" s="275">
        <f>M5/K5*8033</f>
        <v>15.274585636686549</v>
      </c>
      <c r="Q5" s="277">
        <f>G5</f>
        <v>-24.77020473952085</v>
      </c>
      <c r="R5" s="271">
        <f>(EXP(J5/8267)*EXP(-N5/8033)-1)*1000</f>
        <v>-14.32615981376939</v>
      </c>
      <c r="S5" s="273" t="s">
        <v>5</v>
      </c>
      <c r="T5" s="278">
        <f>P5/8.033</f>
        <v>1.901479601230742</v>
      </c>
    </row>
    <row r="6" spans="1:34" x14ac:dyDescent="0.2">
      <c r="A6" s="258" t="s">
        <v>712</v>
      </c>
      <c r="B6" s="156" t="s">
        <v>217</v>
      </c>
      <c r="C6" s="34">
        <v>0.85182011030862081</v>
      </c>
      <c r="D6" s="34">
        <v>1.6039949392416038E-3</v>
      </c>
      <c r="E6" s="32">
        <v>1288.3199677253801</v>
      </c>
      <c r="F6" s="32">
        <v>15.126166283378906</v>
      </c>
      <c r="G6" s="36">
        <v>-24.187321838642696</v>
      </c>
      <c r="I6" s="270">
        <v>771</v>
      </c>
      <c r="J6" s="271">
        <f t="shared" ref="J6:J15" si="0">1950-I6</f>
        <v>1179</v>
      </c>
      <c r="K6" s="272">
        <f t="shared" ref="K6:K15" si="1">C6</f>
        <v>0.85182011030862081</v>
      </c>
      <c r="L6" s="273" t="s">
        <v>5</v>
      </c>
      <c r="M6" s="274">
        <f t="shared" ref="M6:M15" si="2">D6</f>
        <v>1.6039949392416038E-3</v>
      </c>
      <c r="N6" s="275">
        <f t="shared" ref="N6:N15" si="3">-8033*LN(K6)</f>
        <v>1288.33183776347</v>
      </c>
      <c r="O6" s="276" t="s">
        <v>5</v>
      </c>
      <c r="P6" s="275">
        <f t="shared" ref="P6:P15" si="4">M6/K6*8033</f>
        <v>15.12630564951033</v>
      </c>
      <c r="Q6" s="277">
        <f t="shared" ref="Q6:Q15" si="5">G6</f>
        <v>-24.187321838642696</v>
      </c>
      <c r="R6" s="271">
        <f t="shared" ref="R6:R15" si="6">(EXP(J6/8267)*EXP(-N6/8033)-1)*1000</f>
        <v>-17.607833492208179</v>
      </c>
      <c r="S6" s="273" t="s">
        <v>5</v>
      </c>
      <c r="T6" s="278">
        <f t="shared" ref="T6:T15" si="7">P6/8.033</f>
        <v>1.8830207456131371</v>
      </c>
    </row>
    <row r="7" spans="1:34" x14ac:dyDescent="0.2">
      <c r="A7" s="258" t="s">
        <v>713</v>
      </c>
      <c r="B7" s="156" t="s">
        <v>218</v>
      </c>
      <c r="C7" s="34">
        <v>0.85277211835742672</v>
      </c>
      <c r="D7" s="34">
        <v>1.6164177029209044E-3</v>
      </c>
      <c r="E7" s="32">
        <v>1279.3472517144148</v>
      </c>
      <c r="F7" s="32">
        <v>15.226299610107926</v>
      </c>
      <c r="G7" s="36">
        <v>-23.054972109968762</v>
      </c>
      <c r="I7" s="270">
        <v>772</v>
      </c>
      <c r="J7" s="271">
        <f t="shared" si="0"/>
        <v>1178</v>
      </c>
      <c r="K7" s="272">
        <f t="shared" si="1"/>
        <v>0.85277211835742672</v>
      </c>
      <c r="L7" s="273" t="s">
        <v>5</v>
      </c>
      <c r="M7" s="274">
        <f t="shared" si="2"/>
        <v>1.6164177029209044E-3</v>
      </c>
      <c r="N7" s="275">
        <f t="shared" si="3"/>
        <v>1279.3590390816748</v>
      </c>
      <c r="O7" s="276" t="s">
        <v>5</v>
      </c>
      <c r="P7" s="275">
        <f t="shared" si="4"/>
        <v>15.226439898825689</v>
      </c>
      <c r="Q7" s="277">
        <f t="shared" si="5"/>
        <v>-23.054972109968762</v>
      </c>
      <c r="R7" s="271">
        <f t="shared" si="6"/>
        <v>-16.628854568872864</v>
      </c>
      <c r="S7" s="273" t="s">
        <v>5</v>
      </c>
      <c r="T7" s="278">
        <f t="shared" si="7"/>
        <v>1.8954861071611713</v>
      </c>
    </row>
    <row r="8" spans="1:34" x14ac:dyDescent="0.2">
      <c r="A8" s="258" t="s">
        <v>714</v>
      </c>
      <c r="B8" s="156" t="s">
        <v>219</v>
      </c>
      <c r="C8" s="34">
        <v>0.85186114542517088</v>
      </c>
      <c r="D8" s="34">
        <v>1.6629044798372927E-3</v>
      </c>
      <c r="E8" s="32">
        <v>1287.9330032587463</v>
      </c>
      <c r="F8" s="32">
        <v>15.680945989125409</v>
      </c>
      <c r="G8" s="36">
        <v>-24.091574222793621</v>
      </c>
      <c r="I8" s="270">
        <v>773</v>
      </c>
      <c r="J8" s="271">
        <f t="shared" si="0"/>
        <v>1177</v>
      </c>
      <c r="K8" s="272">
        <f t="shared" si="1"/>
        <v>0.85186114542517088</v>
      </c>
      <c r="L8" s="273" t="s">
        <v>5</v>
      </c>
      <c r="M8" s="274">
        <f t="shared" si="2"/>
        <v>1.6629044798372927E-3</v>
      </c>
      <c r="N8" s="275">
        <f t="shared" si="3"/>
        <v>1287.9448697315086</v>
      </c>
      <c r="O8" s="276" t="s">
        <v>5</v>
      </c>
      <c r="P8" s="275">
        <f t="shared" si="4"/>
        <v>15.681090466763605</v>
      </c>
      <c r="Q8" s="277">
        <f t="shared" si="5"/>
        <v>-24.091574222793621</v>
      </c>
      <c r="R8" s="271">
        <f t="shared" si="6"/>
        <v>-17.798156910989515</v>
      </c>
      <c r="S8" s="273" t="s">
        <v>5</v>
      </c>
      <c r="T8" s="278">
        <f t="shared" si="7"/>
        <v>1.9520839620021917</v>
      </c>
    </row>
    <row r="9" spans="1:34" x14ac:dyDescent="0.2">
      <c r="A9" s="258" t="s">
        <v>715</v>
      </c>
      <c r="B9" s="156" t="s">
        <v>298</v>
      </c>
      <c r="C9" s="34">
        <v>0.85060930174596372</v>
      </c>
      <c r="D9" s="34">
        <v>1.6463148402671422E-3</v>
      </c>
      <c r="E9" s="32">
        <v>1299.7463882754239</v>
      </c>
      <c r="F9" s="32">
        <v>15.547355569315872</v>
      </c>
      <c r="G9" s="36">
        <v>-22.596581572654763</v>
      </c>
      <c r="I9" s="220">
        <v>774</v>
      </c>
      <c r="J9" s="9">
        <f t="shared" si="0"/>
        <v>1176</v>
      </c>
      <c r="K9" s="69">
        <f t="shared" si="1"/>
        <v>0.85060930174596372</v>
      </c>
      <c r="L9" s="2" t="s">
        <v>5</v>
      </c>
      <c r="M9" s="13">
        <f t="shared" si="2"/>
        <v>1.6463148402671422E-3</v>
      </c>
      <c r="N9" s="12">
        <f t="shared" si="3"/>
        <v>1299.7583635917449</v>
      </c>
      <c r="O9" s="66" t="s">
        <v>5</v>
      </c>
      <c r="P9" s="12">
        <f t="shared" si="4"/>
        <v>15.547498816108151</v>
      </c>
      <c r="Q9" s="5">
        <f t="shared" si="5"/>
        <v>-22.596581572654763</v>
      </c>
      <c r="R9" s="9">
        <f t="shared" si="6"/>
        <v>-19.360169583217733</v>
      </c>
      <c r="S9" s="2" t="s">
        <v>5</v>
      </c>
      <c r="T9" s="14">
        <f t="shared" si="7"/>
        <v>1.935453605889226</v>
      </c>
    </row>
    <row r="10" spans="1:34" x14ac:dyDescent="0.2">
      <c r="A10" s="258" t="s">
        <v>716</v>
      </c>
      <c r="B10" s="156" t="s">
        <v>299</v>
      </c>
      <c r="C10" s="34">
        <v>0.8571713551910719</v>
      </c>
      <c r="D10" s="34">
        <v>1.6567415616638463E-3</v>
      </c>
      <c r="E10" s="32">
        <v>1238.0139299945313</v>
      </c>
      <c r="F10" s="32">
        <v>15.526046531411009</v>
      </c>
      <c r="G10" s="36">
        <v>-22.473394435756354</v>
      </c>
      <c r="I10" s="220">
        <v>775</v>
      </c>
      <c r="J10" s="9">
        <f t="shared" si="0"/>
        <v>1175</v>
      </c>
      <c r="K10" s="69">
        <f t="shared" si="1"/>
        <v>0.8571713551910719</v>
      </c>
      <c r="L10" s="2" t="s">
        <v>5</v>
      </c>
      <c r="M10" s="13">
        <f t="shared" si="2"/>
        <v>1.6567415616638463E-3</v>
      </c>
      <c r="N10" s="12">
        <f t="shared" si="3"/>
        <v>1238.025336533957</v>
      </c>
      <c r="O10" s="66" t="s">
        <v>5</v>
      </c>
      <c r="P10" s="12">
        <f t="shared" si="4"/>
        <v>15.52618958187078</v>
      </c>
      <c r="Q10" s="5">
        <f t="shared" si="5"/>
        <v>-22.473394435756354</v>
      </c>
      <c r="R10" s="9">
        <f t="shared" si="6"/>
        <v>-11.914520225445813</v>
      </c>
      <c r="S10" s="2" t="s">
        <v>5</v>
      </c>
      <c r="T10" s="14">
        <f t="shared" si="7"/>
        <v>1.9328008940459083</v>
      </c>
    </row>
    <row r="11" spans="1:34" x14ac:dyDescent="0.2">
      <c r="A11" s="258" t="s">
        <v>717</v>
      </c>
      <c r="B11" s="156" t="s">
        <v>220</v>
      </c>
      <c r="C11" s="34">
        <v>0.86479062424994657</v>
      </c>
      <c r="D11" s="34">
        <v>1.6613040768333328E-3</v>
      </c>
      <c r="E11" s="32">
        <v>1166.9259215456677</v>
      </c>
      <c r="F11" s="32">
        <v>15.431634338472829</v>
      </c>
      <c r="G11" s="36">
        <v>-21.818064628848276</v>
      </c>
      <c r="I11" s="220">
        <v>776</v>
      </c>
      <c r="J11" s="9">
        <f t="shared" si="0"/>
        <v>1174</v>
      </c>
      <c r="K11" s="69">
        <f t="shared" si="1"/>
        <v>0.86479062424994657</v>
      </c>
      <c r="L11" s="2" t="s">
        <v>5</v>
      </c>
      <c r="M11" s="13">
        <f t="shared" si="2"/>
        <v>1.6613040768333328E-3</v>
      </c>
      <c r="N11" s="12">
        <f t="shared" si="3"/>
        <v>1166.9366731100956</v>
      </c>
      <c r="O11" s="66" t="s">
        <v>5</v>
      </c>
      <c r="P11" s="12">
        <f t="shared" si="4"/>
        <v>15.43177651905838</v>
      </c>
      <c r="Q11" s="5">
        <f t="shared" si="5"/>
        <v>-21.818064628848276</v>
      </c>
      <c r="R11" s="9">
        <f t="shared" si="6"/>
        <v>-3.2521516948710305</v>
      </c>
      <c r="S11" s="2" t="s">
        <v>5</v>
      </c>
      <c r="T11" s="14">
        <f t="shared" si="7"/>
        <v>1.9210477429426591</v>
      </c>
    </row>
    <row r="12" spans="1:34" x14ac:dyDescent="0.2">
      <c r="A12" s="258" t="s">
        <v>718</v>
      </c>
      <c r="B12" s="156" t="s">
        <v>221</v>
      </c>
      <c r="C12" s="34">
        <v>0.86789355447953354</v>
      </c>
      <c r="D12" s="34">
        <v>1.6620543861045152E-3</v>
      </c>
      <c r="E12" s="32">
        <v>1138.1547977227592</v>
      </c>
      <c r="F12" s="32">
        <v>15.383407104129139</v>
      </c>
      <c r="G12" s="36">
        <v>-22.880007653748645</v>
      </c>
      <c r="I12" s="220">
        <v>777</v>
      </c>
      <c r="J12" s="9">
        <f t="shared" si="0"/>
        <v>1173</v>
      </c>
      <c r="K12" s="69">
        <f t="shared" si="1"/>
        <v>0.86789355447953354</v>
      </c>
      <c r="L12" s="2" t="s">
        <v>5</v>
      </c>
      <c r="M12" s="13">
        <f t="shared" si="2"/>
        <v>1.6620543861045152E-3</v>
      </c>
      <c r="N12" s="12">
        <f t="shared" si="3"/>
        <v>1138.1652842021585</v>
      </c>
      <c r="O12" s="66" t="s">
        <v>5</v>
      </c>
      <c r="P12" s="12">
        <f t="shared" si="4"/>
        <v>15.383548840369246</v>
      </c>
      <c r="Q12" s="5">
        <f t="shared" si="5"/>
        <v>-22.880007653748645</v>
      </c>
      <c r="R12" s="9">
        <f t="shared" si="6"/>
        <v>0.20325566563816899</v>
      </c>
      <c r="S12" s="2" t="s">
        <v>5</v>
      </c>
      <c r="T12" s="14">
        <f t="shared" si="7"/>
        <v>1.9150440483467255</v>
      </c>
    </row>
    <row r="13" spans="1:34" x14ac:dyDescent="0.2">
      <c r="A13" s="258" t="s">
        <v>719</v>
      </c>
      <c r="B13" s="156" t="s">
        <v>222</v>
      </c>
      <c r="C13" s="34">
        <v>0.86616795849716488</v>
      </c>
      <c r="D13" s="34">
        <v>1.680886515013048E-3</v>
      </c>
      <c r="E13" s="32">
        <v>1154.1422229477039</v>
      </c>
      <c r="F13" s="32">
        <v>15.588705212271208</v>
      </c>
      <c r="G13" s="36">
        <v>-23.791337408115453</v>
      </c>
      <c r="I13" s="220">
        <v>778</v>
      </c>
      <c r="J13" s="9">
        <f t="shared" si="0"/>
        <v>1172</v>
      </c>
      <c r="K13" s="69">
        <f t="shared" si="1"/>
        <v>0.86616795849716488</v>
      </c>
      <c r="L13" s="2" t="s">
        <v>5</v>
      </c>
      <c r="M13" s="13">
        <f t="shared" si="2"/>
        <v>1.680886515013048E-3</v>
      </c>
      <c r="N13" s="12">
        <f t="shared" si="3"/>
        <v>1154.152856728512</v>
      </c>
      <c r="O13" s="66" t="s">
        <v>5</v>
      </c>
      <c r="P13" s="12">
        <f t="shared" si="4"/>
        <v>15.588848840041699</v>
      </c>
      <c r="Q13" s="5">
        <f t="shared" si="5"/>
        <v>-23.791337408115453</v>
      </c>
      <c r="R13" s="9">
        <f t="shared" si="6"/>
        <v>-1.9061456836505508</v>
      </c>
      <c r="S13" s="2" t="s">
        <v>5</v>
      </c>
      <c r="T13" s="14">
        <f t="shared" si="7"/>
        <v>1.9406011253630897</v>
      </c>
    </row>
    <row r="14" spans="1:34" x14ac:dyDescent="0.2">
      <c r="A14" s="258" t="s">
        <v>720</v>
      </c>
      <c r="B14" s="156" t="s">
        <v>223</v>
      </c>
      <c r="C14" s="34">
        <v>0.86666421122393755</v>
      </c>
      <c r="D14" s="34">
        <v>1.6776225338086413E-3</v>
      </c>
      <c r="E14" s="32">
        <v>1149.5412447293345</v>
      </c>
      <c r="F14" s="32">
        <v>15.549525958680347</v>
      </c>
      <c r="G14" s="36">
        <v>-23.94949064625451</v>
      </c>
      <c r="I14" s="220">
        <v>779</v>
      </c>
      <c r="J14" s="9">
        <f t="shared" si="0"/>
        <v>1171</v>
      </c>
      <c r="K14" s="69">
        <f t="shared" si="1"/>
        <v>0.86666421122393755</v>
      </c>
      <c r="L14" s="2" t="s">
        <v>5</v>
      </c>
      <c r="M14" s="13">
        <f t="shared" si="2"/>
        <v>1.6776225338086413E-3</v>
      </c>
      <c r="N14" s="12">
        <f t="shared" si="3"/>
        <v>1149.5518361186653</v>
      </c>
      <c r="O14" s="66" t="s">
        <v>5</v>
      </c>
      <c r="P14" s="12">
        <f t="shared" si="4"/>
        <v>15.54966922546968</v>
      </c>
      <c r="Q14" s="5">
        <f t="shared" si="5"/>
        <v>-23.94949064625451</v>
      </c>
      <c r="R14" s="9">
        <f t="shared" si="6"/>
        <v>-1.455102944312836</v>
      </c>
      <c r="S14" s="2" t="s">
        <v>5</v>
      </c>
      <c r="T14" s="14">
        <f t="shared" si="7"/>
        <v>1.9357237925394848</v>
      </c>
    </row>
    <row r="15" spans="1:34" x14ac:dyDescent="0.2">
      <c r="A15" s="258" t="s">
        <v>721</v>
      </c>
      <c r="B15" s="156" t="s">
        <v>224</v>
      </c>
      <c r="C15" s="34">
        <v>0.86446201540094725</v>
      </c>
      <c r="D15" s="34">
        <v>1.6597608490382697E-3</v>
      </c>
      <c r="E15" s="32">
        <v>1169.9789058630088</v>
      </c>
      <c r="F15" s="32">
        <v>15.423160093298707</v>
      </c>
      <c r="G15" s="36">
        <v>-22.030420167376661</v>
      </c>
      <c r="I15" s="220">
        <v>780</v>
      </c>
      <c r="J15" s="9">
        <f t="shared" si="0"/>
        <v>1170</v>
      </c>
      <c r="K15" s="69">
        <f t="shared" si="1"/>
        <v>0.86446201540094725</v>
      </c>
      <c r="L15" s="2" t="s">
        <v>5</v>
      </c>
      <c r="M15" s="13">
        <f t="shared" si="2"/>
        <v>1.6597608490382697E-3</v>
      </c>
      <c r="N15" s="12">
        <f t="shared" si="3"/>
        <v>1169.9896855563497</v>
      </c>
      <c r="O15" s="66" t="s">
        <v>5</v>
      </c>
      <c r="P15" s="12">
        <f t="shared" si="4"/>
        <v>15.423302195806128</v>
      </c>
      <c r="Q15" s="5">
        <f t="shared" si="5"/>
        <v>-22.030420167376661</v>
      </c>
      <c r="R15" s="9">
        <f t="shared" si="6"/>
        <v>-4.1128805486180253</v>
      </c>
      <c r="S15" s="2" t="s">
        <v>5</v>
      </c>
      <c r="T15" s="14">
        <f t="shared" si="7"/>
        <v>1.9199928041586118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A36" sqref="A36"/>
    </sheetView>
  </sheetViews>
  <sheetFormatPr baseColWidth="10" defaultColWidth="9" defaultRowHeight="16" x14ac:dyDescent="0.2"/>
  <sheetData>
    <row r="1" spans="1:34" s="264" customFormat="1" ht="15" x14ac:dyDescent="0.2">
      <c r="A1" s="263"/>
      <c r="B1" s="263"/>
      <c r="C1" s="263"/>
      <c r="D1" s="263"/>
      <c r="F1" s="265"/>
      <c r="G1" s="265"/>
      <c r="R1" s="266"/>
      <c r="S1" s="266"/>
    </row>
    <row r="2" spans="1:34" s="231" customFormat="1" ht="15" x14ac:dyDescent="0.2">
      <c r="A2" s="267"/>
      <c r="B2" s="267"/>
      <c r="C2" s="267"/>
      <c r="D2" s="230"/>
      <c r="R2" s="232"/>
      <c r="S2" s="232"/>
      <c r="AG2" s="294"/>
      <c r="AH2" s="294"/>
    </row>
    <row r="4" spans="1:34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90" t="s">
        <v>17</v>
      </c>
      <c r="J4" s="291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90" t="s">
        <v>3</v>
      </c>
      <c r="R4" s="346" t="s">
        <v>16</v>
      </c>
      <c r="S4" s="345"/>
      <c r="T4" s="345"/>
    </row>
    <row r="5" spans="1:34" x14ac:dyDescent="0.2">
      <c r="A5" s="156" t="s">
        <v>560</v>
      </c>
      <c r="B5" s="156" t="s">
        <v>216</v>
      </c>
      <c r="C5" s="34">
        <v>0.85448315918645401</v>
      </c>
      <c r="D5" s="34">
        <v>2.019154725918538E-3</v>
      </c>
      <c r="E5" s="32">
        <v>1263.2457710223255</v>
      </c>
      <c r="F5" s="32">
        <v>18.981907714912364</v>
      </c>
      <c r="G5" s="36">
        <v>-24.750149913809416</v>
      </c>
      <c r="I5" s="270">
        <v>770</v>
      </c>
      <c r="J5" s="271">
        <f>1950-I5</f>
        <v>1180</v>
      </c>
      <c r="K5" s="272">
        <f>C5</f>
        <v>0.85448315918645401</v>
      </c>
      <c r="L5" s="273" t="s">
        <v>5</v>
      </c>
      <c r="M5" s="274">
        <f>D5</f>
        <v>2.019154725918538E-3</v>
      </c>
      <c r="N5" s="275">
        <f>-8033*LN(K5)</f>
        <v>1263.2574100373174</v>
      </c>
      <c r="O5" s="276" t="s">
        <v>5</v>
      </c>
      <c r="P5" s="275">
        <f>M5/K5*8033</f>
        <v>18.982082606222939</v>
      </c>
      <c r="Q5" s="277">
        <f>G5</f>
        <v>-24.750149913809416</v>
      </c>
      <c r="R5" s="271">
        <f>(EXP(J5/8267)*EXP(-N5/8033)-1)*1000</f>
        <v>-14.41736494458301</v>
      </c>
      <c r="S5" s="273" t="s">
        <v>5</v>
      </c>
      <c r="T5" s="278">
        <f>P5/8.033</f>
        <v>2.363012897575369</v>
      </c>
    </row>
    <row r="6" spans="1:34" x14ac:dyDescent="0.2">
      <c r="A6" s="156" t="s">
        <v>561</v>
      </c>
      <c r="B6" s="156" t="s">
        <v>217</v>
      </c>
      <c r="C6" s="34">
        <v>0.85089765151695451</v>
      </c>
      <c r="D6" s="34">
        <v>2.0164865469620157E-3</v>
      </c>
      <c r="E6" s="32">
        <v>1297.0237518656722</v>
      </c>
      <c r="F6" s="32">
        <v>19.036704542157029</v>
      </c>
      <c r="G6" s="36">
        <v>-26.436320349480734</v>
      </c>
      <c r="I6" s="270">
        <v>771</v>
      </c>
      <c r="J6" s="271">
        <f t="shared" ref="J6:J15" si="0">1950-I6</f>
        <v>1179</v>
      </c>
      <c r="K6" s="272">
        <f t="shared" ref="K6:K15" si="1">C6</f>
        <v>0.85089765151695451</v>
      </c>
      <c r="L6" s="273" t="s">
        <v>5</v>
      </c>
      <c r="M6" s="274">
        <f t="shared" ref="M6:M15" si="2">D6</f>
        <v>2.0164865469620157E-3</v>
      </c>
      <c r="N6" s="275">
        <f t="shared" ref="N6:N15" si="3">-8033*LN(K6)</f>
        <v>1297.035702096767</v>
      </c>
      <c r="O6" s="276" t="s">
        <v>5</v>
      </c>
      <c r="P6" s="275">
        <f t="shared" ref="P6:P15" si="4">M6/K6*8033</f>
        <v>19.036879938342516</v>
      </c>
      <c r="Q6" s="277">
        <f t="shared" ref="Q6:Q15" si="5">G6</f>
        <v>-26.436320349480734</v>
      </c>
      <c r="R6" s="271">
        <f t="shared" ref="R6:R15" si="6">(EXP(J6/8267)*EXP(-N6/8033)-1)*1000</f>
        <v>-18.671692257565155</v>
      </c>
      <c r="S6" s="273" t="s">
        <v>5</v>
      </c>
      <c r="T6" s="278">
        <f t="shared" ref="T6:T15" si="7">P6/8.033</f>
        <v>2.3698344252884995</v>
      </c>
    </row>
    <row r="7" spans="1:34" x14ac:dyDescent="0.2">
      <c r="A7" s="156" t="s">
        <v>562</v>
      </c>
      <c r="B7" s="156" t="s">
        <v>218</v>
      </c>
      <c r="C7" s="34">
        <v>0.85423978198063244</v>
      </c>
      <c r="D7" s="34">
        <v>2.0975966582602958E-3</v>
      </c>
      <c r="E7" s="32">
        <v>1265.5340660380359</v>
      </c>
      <c r="F7" s="32">
        <v>19.724952014542342</v>
      </c>
      <c r="G7" s="36">
        <v>-26.246418392846358</v>
      </c>
      <c r="I7" s="270">
        <v>772</v>
      </c>
      <c r="J7" s="271">
        <f t="shared" si="0"/>
        <v>1178</v>
      </c>
      <c r="K7" s="272">
        <f t="shared" si="1"/>
        <v>0.85423978198063244</v>
      </c>
      <c r="L7" s="273" t="s">
        <v>5</v>
      </c>
      <c r="M7" s="274">
        <f t="shared" si="2"/>
        <v>2.0975966582602958E-3</v>
      </c>
      <c r="N7" s="275">
        <f t="shared" si="3"/>
        <v>1265.5457261364154</v>
      </c>
      <c r="O7" s="276" t="s">
        <v>5</v>
      </c>
      <c r="P7" s="275">
        <f t="shared" si="4"/>
        <v>19.725133751950441</v>
      </c>
      <c r="Q7" s="277">
        <f t="shared" si="5"/>
        <v>-26.246418392846358</v>
      </c>
      <c r="R7" s="271">
        <f t="shared" si="6"/>
        <v>-14.936423464254499</v>
      </c>
      <c r="S7" s="273" t="s">
        <v>5</v>
      </c>
      <c r="T7" s="278">
        <f t="shared" si="7"/>
        <v>2.4555127289867351</v>
      </c>
    </row>
    <row r="8" spans="1:34" x14ac:dyDescent="0.2">
      <c r="A8" s="156" t="s">
        <v>563</v>
      </c>
      <c r="B8" s="156" t="s">
        <v>219</v>
      </c>
      <c r="C8" s="34">
        <v>0.85404169828444942</v>
      </c>
      <c r="D8" s="34">
        <v>2.1033243752659257E-3</v>
      </c>
      <c r="E8" s="32">
        <v>1267.3969811329794</v>
      </c>
      <c r="F8" s="32">
        <v>19.783400587122319</v>
      </c>
      <c r="G8" s="36">
        <v>-24.585593044040067</v>
      </c>
      <c r="I8" s="270">
        <v>773</v>
      </c>
      <c r="J8" s="271">
        <f t="shared" si="0"/>
        <v>1177</v>
      </c>
      <c r="K8" s="272">
        <f t="shared" si="1"/>
        <v>0.85404169828444942</v>
      </c>
      <c r="L8" s="273" t="s">
        <v>5</v>
      </c>
      <c r="M8" s="274">
        <f t="shared" si="2"/>
        <v>2.1033243752659257E-3</v>
      </c>
      <c r="N8" s="275">
        <f t="shared" si="3"/>
        <v>1267.4086583954747</v>
      </c>
      <c r="O8" s="276" t="s">
        <v>5</v>
      </c>
      <c r="P8" s="275">
        <f t="shared" si="4"/>
        <v>19.78358286305097</v>
      </c>
      <c r="Q8" s="277">
        <f t="shared" si="5"/>
        <v>-24.585593044040067</v>
      </c>
      <c r="R8" s="271">
        <f t="shared" si="6"/>
        <v>-15.283964253138604</v>
      </c>
      <c r="S8" s="273" t="s">
        <v>5</v>
      </c>
      <c r="T8" s="278">
        <f t="shared" si="7"/>
        <v>2.4627888538592022</v>
      </c>
    </row>
    <row r="9" spans="1:34" x14ac:dyDescent="0.2">
      <c r="A9" s="156" t="s">
        <v>564</v>
      </c>
      <c r="B9" s="156" t="s">
        <v>298</v>
      </c>
      <c r="C9" s="34">
        <v>0.85330902991066337</v>
      </c>
      <c r="D9" s="34">
        <v>2.044747846381474E-3</v>
      </c>
      <c r="E9" s="32">
        <v>1274.2912543299826</v>
      </c>
      <c r="F9" s="32">
        <v>19.248956167526334</v>
      </c>
      <c r="G9" s="36">
        <v>-23.304400049025233</v>
      </c>
      <c r="I9" s="220">
        <v>774</v>
      </c>
      <c r="J9" s="9">
        <f t="shared" si="0"/>
        <v>1176</v>
      </c>
      <c r="K9" s="69">
        <f t="shared" si="1"/>
        <v>0.85330902991066337</v>
      </c>
      <c r="L9" s="2" t="s">
        <v>5</v>
      </c>
      <c r="M9" s="13">
        <f t="shared" si="2"/>
        <v>2.044747846381474E-3</v>
      </c>
      <c r="N9" s="12">
        <f t="shared" si="3"/>
        <v>1274.3029951134101</v>
      </c>
      <c r="O9" s="66" t="s">
        <v>5</v>
      </c>
      <c r="P9" s="12">
        <f t="shared" si="4"/>
        <v>19.249133519308984</v>
      </c>
      <c r="Q9" s="5">
        <f t="shared" si="5"/>
        <v>-23.304400049025233</v>
      </c>
      <c r="R9" s="9">
        <f t="shared" si="6"/>
        <v>-16.247740687638569</v>
      </c>
      <c r="S9" s="2" t="s">
        <v>5</v>
      </c>
      <c r="T9" s="14">
        <f t="shared" si="7"/>
        <v>2.3962571292554444</v>
      </c>
    </row>
    <row r="10" spans="1:34" x14ac:dyDescent="0.2">
      <c r="A10" s="156" t="s">
        <v>565</v>
      </c>
      <c r="B10" s="156" t="s">
        <v>299</v>
      </c>
      <c r="C10" s="34">
        <v>0.86257115849860855</v>
      </c>
      <c r="D10" s="34">
        <v>2.0590112684543355E-3</v>
      </c>
      <c r="E10" s="32">
        <v>1187.5687470416049</v>
      </c>
      <c r="F10" s="32">
        <v>19.175096413774142</v>
      </c>
      <c r="G10" s="36">
        <v>-24.540125588406458</v>
      </c>
      <c r="I10" s="220">
        <v>775</v>
      </c>
      <c r="J10" s="9">
        <f t="shared" si="0"/>
        <v>1175</v>
      </c>
      <c r="K10" s="69">
        <f t="shared" si="1"/>
        <v>0.86257115849860855</v>
      </c>
      <c r="L10" s="2" t="s">
        <v>5</v>
      </c>
      <c r="M10" s="13">
        <f t="shared" si="2"/>
        <v>2.0590112684543355E-3</v>
      </c>
      <c r="N10" s="12">
        <f t="shared" si="3"/>
        <v>1187.579688800341</v>
      </c>
      <c r="O10" s="66" t="s">
        <v>5</v>
      </c>
      <c r="P10" s="12">
        <f t="shared" si="4"/>
        <v>19.1752730850441</v>
      </c>
      <c r="Q10" s="5">
        <f t="shared" si="5"/>
        <v>-24.540125588406458</v>
      </c>
      <c r="R10" s="9">
        <f t="shared" si="6"/>
        <v>-5.6900153939396514</v>
      </c>
      <c r="S10" s="2" t="s">
        <v>5</v>
      </c>
      <c r="T10" s="14">
        <f t="shared" si="7"/>
        <v>2.3870625028064363</v>
      </c>
    </row>
    <row r="11" spans="1:34" x14ac:dyDescent="0.2">
      <c r="A11" s="156" t="s">
        <v>566</v>
      </c>
      <c r="B11" s="156" t="s">
        <v>220</v>
      </c>
      <c r="C11" s="34">
        <v>0.8675990858913778</v>
      </c>
      <c r="D11" s="34">
        <v>2.1107419802167959E-3</v>
      </c>
      <c r="E11" s="32">
        <v>1140.8807607630179</v>
      </c>
      <c r="F11" s="32">
        <v>19.542936804072287</v>
      </c>
      <c r="G11" s="36">
        <v>-25.685325806598215</v>
      </c>
      <c r="I11" s="220">
        <v>776</v>
      </c>
      <c r="J11" s="9">
        <f t="shared" si="0"/>
        <v>1174</v>
      </c>
      <c r="K11" s="69">
        <f t="shared" si="1"/>
        <v>0.8675990858913778</v>
      </c>
      <c r="L11" s="2" t="s">
        <v>5</v>
      </c>
      <c r="M11" s="13">
        <f t="shared" si="2"/>
        <v>2.1107419802167959E-3</v>
      </c>
      <c r="N11" s="12">
        <f t="shared" si="3"/>
        <v>1140.8912723582935</v>
      </c>
      <c r="O11" s="66" t="s">
        <v>5</v>
      </c>
      <c r="P11" s="12">
        <f t="shared" si="4"/>
        <v>19.543116864468825</v>
      </c>
      <c r="Q11" s="5">
        <f t="shared" si="5"/>
        <v>-25.685325806598215</v>
      </c>
      <c r="R11" s="9">
        <f t="shared" si="6"/>
        <v>-1.5150714926415176E-2</v>
      </c>
      <c r="S11" s="2" t="s">
        <v>5</v>
      </c>
      <c r="T11" s="14">
        <f t="shared" si="7"/>
        <v>2.432854084958151</v>
      </c>
    </row>
    <row r="12" spans="1:34" x14ac:dyDescent="0.2">
      <c r="A12" s="156" t="s">
        <v>567</v>
      </c>
      <c r="B12" s="156" t="s">
        <v>221</v>
      </c>
      <c r="C12" s="34">
        <v>0.86526621045423857</v>
      </c>
      <c r="D12" s="34">
        <v>2.0742464289808973E-3</v>
      </c>
      <c r="E12" s="32">
        <v>1162.5094783403474</v>
      </c>
      <c r="F12" s="32">
        <v>19.256811191239816</v>
      </c>
      <c r="G12" s="36">
        <v>-24.877603384518277</v>
      </c>
      <c r="I12" s="220">
        <v>777</v>
      </c>
      <c r="J12" s="9">
        <f t="shared" si="0"/>
        <v>1173</v>
      </c>
      <c r="K12" s="69">
        <f t="shared" si="1"/>
        <v>0.86526621045423857</v>
      </c>
      <c r="L12" s="2" t="s">
        <v>5</v>
      </c>
      <c r="M12" s="13">
        <f t="shared" si="2"/>
        <v>2.0742464289808973E-3</v>
      </c>
      <c r="N12" s="12">
        <f t="shared" si="3"/>
        <v>1162.520189213526</v>
      </c>
      <c r="O12" s="66" t="s">
        <v>5</v>
      </c>
      <c r="P12" s="12">
        <f t="shared" si="4"/>
        <v>19.25698861539535</v>
      </c>
      <c r="Q12" s="5">
        <f t="shared" si="5"/>
        <v>-24.877603384518277</v>
      </c>
      <c r="R12" s="9">
        <f t="shared" si="6"/>
        <v>-2.8246249244298083</v>
      </c>
      <c r="S12" s="2" t="s">
        <v>5</v>
      </c>
      <c r="T12" s="14">
        <f t="shared" si="7"/>
        <v>2.3972349826211068</v>
      </c>
    </row>
    <row r="13" spans="1:34" x14ac:dyDescent="0.2">
      <c r="A13" s="156" t="s">
        <v>568</v>
      </c>
      <c r="B13" s="156" t="s">
        <v>222</v>
      </c>
      <c r="C13" s="34">
        <v>0.86451256642477226</v>
      </c>
      <c r="D13" s="34">
        <v>2.0903717101356796E-3</v>
      </c>
      <c r="E13" s="32">
        <v>1169.5091793124996</v>
      </c>
      <c r="F13" s="32">
        <v>19.423432217269088</v>
      </c>
      <c r="G13" s="36">
        <v>-21.969942649907594</v>
      </c>
      <c r="I13" s="220">
        <v>778</v>
      </c>
      <c r="J13" s="9">
        <f t="shared" si="0"/>
        <v>1172</v>
      </c>
      <c r="K13" s="69">
        <f t="shared" si="1"/>
        <v>0.86451256642477226</v>
      </c>
      <c r="L13" s="2" t="s">
        <v>5</v>
      </c>
      <c r="M13" s="13">
        <f t="shared" si="2"/>
        <v>2.0903717101356796E-3</v>
      </c>
      <c r="N13" s="12">
        <f t="shared" si="3"/>
        <v>1169.5199546779777</v>
      </c>
      <c r="O13" s="66" t="s">
        <v>5</v>
      </c>
      <c r="P13" s="12">
        <f t="shared" si="4"/>
        <v>19.423611176600645</v>
      </c>
      <c r="Q13" s="5">
        <f t="shared" si="5"/>
        <v>-21.969942649907594</v>
      </c>
      <c r="R13" s="9">
        <f t="shared" si="6"/>
        <v>-3.8136702436744052</v>
      </c>
      <c r="S13" s="2" t="s">
        <v>5</v>
      </c>
      <c r="T13" s="14">
        <f t="shared" si="7"/>
        <v>2.4179772409561369</v>
      </c>
    </row>
    <row r="14" spans="1:34" x14ac:dyDescent="0.2">
      <c r="A14" s="156" t="s">
        <v>569</v>
      </c>
      <c r="B14" s="156" t="s">
        <v>223</v>
      </c>
      <c r="C14" s="34">
        <v>0.86634173924659863</v>
      </c>
      <c r="D14" s="34">
        <v>2.174187312595873E-3</v>
      </c>
      <c r="E14" s="32">
        <v>1152.5307250093776</v>
      </c>
      <c r="F14" s="32">
        <v>20.159580192130097</v>
      </c>
      <c r="G14" s="36">
        <v>-25.109504608156421</v>
      </c>
      <c r="I14" s="220">
        <v>779</v>
      </c>
      <c r="J14" s="9">
        <f t="shared" si="0"/>
        <v>1171</v>
      </c>
      <c r="K14" s="69">
        <f t="shared" si="1"/>
        <v>0.86634173924659863</v>
      </c>
      <c r="L14" s="2" t="s">
        <v>5</v>
      </c>
      <c r="M14" s="13">
        <f t="shared" si="2"/>
        <v>2.174187312595873E-3</v>
      </c>
      <c r="N14" s="12">
        <f t="shared" si="3"/>
        <v>1152.541343942522</v>
      </c>
      <c r="O14" s="66" t="s">
        <v>5</v>
      </c>
      <c r="P14" s="12">
        <f t="shared" si="4"/>
        <v>20.15976593401934</v>
      </c>
      <c r="Q14" s="5">
        <f t="shared" si="5"/>
        <v>-25.109504608156421</v>
      </c>
      <c r="R14" s="9">
        <f t="shared" si="6"/>
        <v>-1.8266456286016863</v>
      </c>
      <c r="S14" s="2" t="s">
        <v>5</v>
      </c>
      <c r="T14" s="14">
        <f t="shared" si="7"/>
        <v>2.5096185651710869</v>
      </c>
    </row>
    <row r="15" spans="1:34" x14ac:dyDescent="0.2">
      <c r="A15" s="156" t="s">
        <v>570</v>
      </c>
      <c r="B15" s="156" t="s">
        <v>224</v>
      </c>
      <c r="C15" s="34">
        <v>0.86493183780164584</v>
      </c>
      <c r="D15" s="34">
        <v>2.2018287646553406E-3</v>
      </c>
      <c r="E15" s="32">
        <v>1165.6143145836147</v>
      </c>
      <c r="F15" s="32">
        <v>20.449157646549711</v>
      </c>
      <c r="G15" s="36">
        <v>-23.808671817577732</v>
      </c>
      <c r="I15" s="220">
        <v>780</v>
      </c>
      <c r="J15" s="9">
        <f t="shared" si="0"/>
        <v>1170</v>
      </c>
      <c r="K15" s="69">
        <f t="shared" si="1"/>
        <v>0.86493183780164584</v>
      </c>
      <c r="L15" s="2" t="s">
        <v>5</v>
      </c>
      <c r="M15" s="13">
        <f t="shared" si="2"/>
        <v>2.2018287646553406E-3</v>
      </c>
      <c r="N15" s="12">
        <f t="shared" si="3"/>
        <v>1165.6250540634483</v>
      </c>
      <c r="O15" s="66" t="s">
        <v>5</v>
      </c>
      <c r="P15" s="12">
        <f t="shared" si="4"/>
        <v>20.449346056483776</v>
      </c>
      <c r="Q15" s="5">
        <f t="shared" si="5"/>
        <v>-23.808671817577732</v>
      </c>
      <c r="R15" s="9">
        <f t="shared" si="6"/>
        <v>-3.571630535373127</v>
      </c>
      <c r="S15" s="2" t="s">
        <v>5</v>
      </c>
      <c r="T15" s="14">
        <f t="shared" si="7"/>
        <v>2.5456673791215958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B16" sqref="B16:B22"/>
    </sheetView>
  </sheetViews>
  <sheetFormatPr baseColWidth="10" defaultColWidth="11" defaultRowHeight="16" x14ac:dyDescent="0.2"/>
  <cols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  <col min="19" max="19" width="11" style="16"/>
    <col min="24" max="24" width="11" style="16"/>
  </cols>
  <sheetData>
    <row r="1" spans="1:24" x14ac:dyDescent="0.2">
      <c r="A1" s="1" t="s">
        <v>68</v>
      </c>
    </row>
    <row r="3" spans="1:24" x14ac:dyDescent="0.2">
      <c r="A3" s="3"/>
      <c r="B3" s="3" t="s">
        <v>17</v>
      </c>
      <c r="C3" s="11" t="s">
        <v>15</v>
      </c>
      <c r="D3" s="345" t="s">
        <v>1</v>
      </c>
      <c r="E3" s="345"/>
      <c r="F3" s="345"/>
      <c r="G3" s="345" t="s">
        <v>2</v>
      </c>
      <c r="H3" s="345"/>
      <c r="I3" s="345"/>
      <c r="J3" s="3" t="s">
        <v>3</v>
      </c>
      <c r="K3" s="346" t="s">
        <v>16</v>
      </c>
      <c r="L3" s="345"/>
      <c r="M3" s="345"/>
    </row>
    <row r="4" spans="1:24" x14ac:dyDescent="0.2">
      <c r="A4" t="s">
        <v>61</v>
      </c>
      <c r="B4">
        <v>769</v>
      </c>
      <c r="C4">
        <f>1950-B4</f>
        <v>1181</v>
      </c>
      <c r="D4" s="8">
        <v>0.84930123187634199</v>
      </c>
      <c r="E4" s="2" t="s">
        <v>5</v>
      </c>
      <c r="F4" s="13">
        <v>1.88033772323595E-3</v>
      </c>
      <c r="G4" s="12">
        <f t="shared" ref="G4:G11" si="0">-8033*LN(D4)</f>
        <v>1312.121046366851</v>
      </c>
      <c r="H4" s="2" t="s">
        <v>5</v>
      </c>
      <c r="I4" s="4">
        <f t="shared" ref="I4:I11" si="1">F4/D4*8033</f>
        <v>17.78491819372945</v>
      </c>
      <c r="J4" s="15">
        <v>-28.458082986083301</v>
      </c>
      <c r="K4" s="9">
        <f t="shared" ref="K4:K11" si="2">(EXP(C4/8267)*EXP(-G4/8033)-1)*1000</f>
        <v>-20.275828786158854</v>
      </c>
      <c r="L4" s="2" t="s">
        <v>5</v>
      </c>
      <c r="M4" s="14">
        <f t="shared" ref="M4:M11" si="3">I4/8.033</f>
        <v>2.2139820980616771</v>
      </c>
    </row>
    <row r="5" spans="1:24" x14ac:dyDescent="0.2">
      <c r="A5" t="s">
        <v>62</v>
      </c>
      <c r="B5">
        <v>771</v>
      </c>
      <c r="C5">
        <f t="shared" ref="C5:C11" si="4">1950-B5</f>
        <v>1179</v>
      </c>
      <c r="D5" s="8">
        <v>0.85318284762770602</v>
      </c>
      <c r="E5" s="2" t="s">
        <v>5</v>
      </c>
      <c r="F5" s="13">
        <v>1.8782665315192201E-3</v>
      </c>
      <c r="G5" s="12">
        <f t="shared" si="0"/>
        <v>1275.4909553893253</v>
      </c>
      <c r="H5" s="2" t="s">
        <v>5</v>
      </c>
      <c r="I5" s="4">
        <f t="shared" si="1"/>
        <v>17.684503491422426</v>
      </c>
      <c r="J5" s="15">
        <v>-27.458082986083301</v>
      </c>
      <c r="K5" s="9">
        <f t="shared" si="2"/>
        <v>-16.036207686388583</v>
      </c>
      <c r="L5" s="2" t="s">
        <v>5</v>
      </c>
      <c r="M5" s="14">
        <f t="shared" si="3"/>
        <v>2.2014818239041984</v>
      </c>
    </row>
    <row r="6" spans="1:24" x14ac:dyDescent="0.2">
      <c r="A6" t="s">
        <v>63</v>
      </c>
      <c r="B6">
        <v>772</v>
      </c>
      <c r="C6">
        <f t="shared" si="4"/>
        <v>1178</v>
      </c>
      <c r="D6" s="8">
        <v>0.85198659211050798</v>
      </c>
      <c r="E6" s="2" t="s">
        <v>5</v>
      </c>
      <c r="F6" s="13">
        <v>1.8758389170493201E-3</v>
      </c>
      <c r="G6" s="12">
        <f t="shared" si="0"/>
        <v>1286.762002033963</v>
      </c>
      <c r="H6" s="2" t="s">
        <v>5</v>
      </c>
      <c r="I6" s="4">
        <f t="shared" si="1"/>
        <v>17.686445021781157</v>
      </c>
      <c r="J6" s="15">
        <v>-26.458082986083301</v>
      </c>
      <c r="K6" s="9">
        <f t="shared" si="2"/>
        <v>-17.534681376023322</v>
      </c>
      <c r="L6" s="2" t="s">
        <v>5</v>
      </c>
      <c r="M6" s="14">
        <f t="shared" si="3"/>
        <v>2.2017235182100285</v>
      </c>
    </row>
    <row r="7" spans="1:24" x14ac:dyDescent="0.2">
      <c r="A7" t="s">
        <v>63</v>
      </c>
      <c r="B7">
        <v>772</v>
      </c>
      <c r="C7">
        <f t="shared" si="4"/>
        <v>1178</v>
      </c>
      <c r="D7" s="8">
        <v>0.851735500009004</v>
      </c>
      <c r="E7" s="2" t="s">
        <v>5</v>
      </c>
      <c r="F7" s="13">
        <v>1.89130053836533E-3</v>
      </c>
      <c r="G7" s="12">
        <f t="shared" si="0"/>
        <v>1289.12978592937</v>
      </c>
      <c r="H7" s="2" t="s">
        <v>5</v>
      </c>
      <c r="I7" s="4">
        <f t="shared" si="1"/>
        <v>17.837482674525234</v>
      </c>
      <c r="J7" s="15">
        <v>-25.458082986083301</v>
      </c>
      <c r="K7" s="9">
        <f t="shared" si="2"/>
        <v>-17.824227342817302</v>
      </c>
      <c r="L7" s="2" t="s">
        <v>5</v>
      </c>
      <c r="M7" s="14">
        <f t="shared" si="3"/>
        <v>2.220525665943637</v>
      </c>
    </row>
    <row r="8" spans="1:24" x14ac:dyDescent="0.2">
      <c r="A8" t="s">
        <v>64</v>
      </c>
      <c r="B8">
        <v>773</v>
      </c>
      <c r="C8">
        <f t="shared" si="4"/>
        <v>1177</v>
      </c>
      <c r="D8" s="8">
        <v>0.84861674220901795</v>
      </c>
      <c r="E8" s="2" t="s">
        <v>5</v>
      </c>
      <c r="F8" s="13">
        <v>1.8664723985904099E-3</v>
      </c>
      <c r="G8" s="12">
        <f t="shared" si="0"/>
        <v>1318.5978089424329</v>
      </c>
      <c r="H8" s="2" t="s">
        <v>5</v>
      </c>
      <c r="I8" s="4">
        <f t="shared" si="1"/>
        <v>17.668014348677357</v>
      </c>
      <c r="J8" s="15">
        <v>-24.458082986083301</v>
      </c>
      <c r="K8" s="9">
        <f t="shared" si="2"/>
        <v>-21.538976451524803</v>
      </c>
      <c r="L8" s="2" t="s">
        <v>5</v>
      </c>
      <c r="M8" s="14">
        <f t="shared" si="3"/>
        <v>2.1994291483477353</v>
      </c>
    </row>
    <row r="9" spans="1:24" x14ac:dyDescent="0.2">
      <c r="A9" t="s">
        <v>65</v>
      </c>
      <c r="B9">
        <v>774</v>
      </c>
      <c r="C9">
        <f t="shared" si="4"/>
        <v>1176</v>
      </c>
      <c r="D9" s="8">
        <f>(1/W9^2*U9+1/R9^2*P9)/(1/R9^2+1/W9^2)</f>
        <v>0.85522811894145145</v>
      </c>
      <c r="E9" s="2" t="s">
        <v>5</v>
      </c>
      <c r="F9" s="13">
        <f>SQRT(1/(1/R9^2+1/W9^2))</f>
        <v>1.3702427509074354E-3</v>
      </c>
      <c r="G9" s="12">
        <f t="shared" si="0"/>
        <v>1256.2570911329942</v>
      </c>
      <c r="H9" s="2" t="s">
        <v>5</v>
      </c>
      <c r="I9" s="4">
        <f t="shared" si="1"/>
        <v>12.870437459029541</v>
      </c>
      <c r="J9" s="15">
        <f>(1/W9^2*X9+1/R9^2*S9)/(1/R9^2+1/W9^2)</f>
        <v>-22.885853965493109</v>
      </c>
      <c r="K9" s="9">
        <f t="shared" si="2"/>
        <v>-14.035285289086264</v>
      </c>
      <c r="L9" s="2" t="s">
        <v>5</v>
      </c>
      <c r="M9" s="14">
        <f t="shared" si="3"/>
        <v>1.6021956254238194</v>
      </c>
      <c r="O9" t="s">
        <v>65</v>
      </c>
      <c r="P9" s="8">
        <v>0.85482365904922697</v>
      </c>
      <c r="Q9" s="2" t="s">
        <v>5</v>
      </c>
      <c r="R9" s="13">
        <v>1.8933650082587801E-3</v>
      </c>
      <c r="S9" s="16">
        <v>-22.373948181431</v>
      </c>
      <c r="T9" t="s">
        <v>65</v>
      </c>
      <c r="U9" s="8">
        <v>0.85567292360581604</v>
      </c>
      <c r="V9" s="2" t="s">
        <v>5</v>
      </c>
      <c r="W9" s="13">
        <v>1.98555207616512E-3</v>
      </c>
      <c r="X9" s="16">
        <v>-23.448822222280398</v>
      </c>
    </row>
    <row r="10" spans="1:24" x14ac:dyDescent="0.2">
      <c r="A10" t="s">
        <v>66</v>
      </c>
      <c r="B10">
        <v>775</v>
      </c>
      <c r="C10">
        <f t="shared" si="4"/>
        <v>1175</v>
      </c>
      <c r="D10" s="8">
        <f>(1/W10^2*U10+1/R10^2*P10)/(1/R10^2+1/W10^2)</f>
        <v>0.86643112948932965</v>
      </c>
      <c r="E10" s="2" t="s">
        <v>5</v>
      </c>
      <c r="F10" s="13">
        <f>SQRT(1/(1/R10^2+1/W10^2))</f>
        <v>1.3531842900707752E-3</v>
      </c>
      <c r="G10" s="12">
        <f t="shared" si="0"/>
        <v>1151.7125315419455</v>
      </c>
      <c r="H10" s="2" t="s">
        <v>5</v>
      </c>
      <c r="I10" s="4">
        <f t="shared" si="1"/>
        <v>12.545866638639056</v>
      </c>
      <c r="J10" s="15">
        <f>(1/W10^2*X10+1/R10^2*S10)/(1/R10^2+1/W10^2)</f>
        <v>-21.504545902562814</v>
      </c>
      <c r="K10" s="9">
        <f t="shared" si="2"/>
        <v>-1.2405184932501312</v>
      </c>
      <c r="L10" s="2" t="s">
        <v>5</v>
      </c>
      <c r="M10" s="14">
        <f t="shared" si="3"/>
        <v>1.5617909421933347</v>
      </c>
      <c r="O10" t="s">
        <v>66</v>
      </c>
      <c r="P10" s="8">
        <v>0.86664103278749105</v>
      </c>
      <c r="Q10" s="2" t="s">
        <v>5</v>
      </c>
      <c r="R10" s="13">
        <v>1.88333947872181E-3</v>
      </c>
      <c r="S10" s="16">
        <v>-21.2036620229722</v>
      </c>
      <c r="T10" t="s">
        <v>66</v>
      </c>
      <c r="U10" s="8">
        <v>0.86620712777612496</v>
      </c>
      <c r="V10" s="2" t="s">
        <v>5</v>
      </c>
      <c r="W10" s="13">
        <v>1.94556009013429E-3</v>
      </c>
      <c r="X10" s="16">
        <v>-21.825639020652901</v>
      </c>
    </row>
    <row r="11" spans="1:24" x14ac:dyDescent="0.2">
      <c r="A11" t="s">
        <v>67</v>
      </c>
      <c r="B11">
        <v>776</v>
      </c>
      <c r="C11">
        <f t="shared" si="4"/>
        <v>1174</v>
      </c>
      <c r="D11" s="8">
        <v>0.86541183149438605</v>
      </c>
      <c r="E11" s="2" t="s">
        <v>5</v>
      </c>
      <c r="F11" s="13">
        <v>1.8587962454656799E-3</v>
      </c>
      <c r="G11" s="12">
        <f t="shared" si="0"/>
        <v>1161.1683793564505</v>
      </c>
      <c r="H11" s="2" t="s">
        <v>5</v>
      </c>
      <c r="I11" s="4">
        <f t="shared" si="1"/>
        <v>17.253878091823463</v>
      </c>
      <c r="J11" s="15">
        <v>-19.458082986083301</v>
      </c>
      <c r="K11" s="9">
        <f t="shared" si="2"/>
        <v>-2.5361552826947964</v>
      </c>
      <c r="L11" s="2" t="s">
        <v>5</v>
      </c>
      <c r="M11" s="14">
        <f t="shared" si="3"/>
        <v>2.1478747780186063</v>
      </c>
    </row>
    <row r="14" spans="1:24" x14ac:dyDescent="0.2">
      <c r="B14" s="347" t="s">
        <v>331</v>
      </c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</row>
    <row r="15" spans="1:24" x14ac:dyDescent="0.2">
      <c r="B15" s="189" t="s">
        <v>17</v>
      </c>
      <c r="C15" s="189" t="s">
        <v>15</v>
      </c>
      <c r="D15" s="348" t="s">
        <v>1</v>
      </c>
      <c r="E15" s="348"/>
      <c r="F15" s="348"/>
      <c r="G15" s="348" t="s">
        <v>2</v>
      </c>
      <c r="H15" s="348"/>
      <c r="I15" s="348"/>
      <c r="J15" s="189" t="s">
        <v>3</v>
      </c>
      <c r="K15" s="349" t="s">
        <v>16</v>
      </c>
      <c r="L15" s="349"/>
      <c r="M15" s="349"/>
    </row>
    <row r="16" spans="1:24" x14ac:dyDescent="0.2">
      <c r="B16" s="187">
        <v>769</v>
      </c>
      <c r="C16" s="187">
        <f>1950-B16</f>
        <v>1181</v>
      </c>
      <c r="D16" s="178">
        <f t="shared" ref="D16:M16" si="5">D4</f>
        <v>0.84930123187634199</v>
      </c>
      <c r="E16" s="178" t="str">
        <f t="shared" si="5"/>
        <v>±</v>
      </c>
      <c r="F16" s="178">
        <f t="shared" si="5"/>
        <v>1.88033772323595E-3</v>
      </c>
      <c r="G16" s="179">
        <f t="shared" si="5"/>
        <v>1312.121046366851</v>
      </c>
      <c r="H16" s="178" t="str">
        <f t="shared" si="5"/>
        <v>±</v>
      </c>
      <c r="I16" s="179">
        <f t="shared" si="5"/>
        <v>17.78491819372945</v>
      </c>
      <c r="J16" s="180">
        <f t="shared" si="5"/>
        <v>-28.458082986083301</v>
      </c>
      <c r="K16" s="180">
        <f t="shared" si="5"/>
        <v>-20.275828786158854</v>
      </c>
      <c r="L16" s="180" t="str">
        <f t="shared" si="5"/>
        <v>±</v>
      </c>
      <c r="M16" s="180">
        <f t="shared" si="5"/>
        <v>2.2139820980616771</v>
      </c>
    </row>
    <row r="17" spans="2:13" x14ac:dyDescent="0.2">
      <c r="B17" s="189">
        <v>770</v>
      </c>
      <c r="C17" s="187">
        <f>1950-B17</f>
        <v>1180</v>
      </c>
      <c r="D17" s="178"/>
      <c r="E17" s="178"/>
      <c r="F17" s="178"/>
      <c r="G17" s="179"/>
      <c r="H17" s="178"/>
      <c r="I17" s="179"/>
      <c r="J17" s="180"/>
      <c r="K17" s="180"/>
      <c r="L17" s="180"/>
      <c r="M17" s="180"/>
    </row>
    <row r="18" spans="2:13" x14ac:dyDescent="0.2">
      <c r="B18" s="189">
        <v>771</v>
      </c>
      <c r="C18" s="187">
        <f t="shared" ref="C18:C23" si="6">1950-B18</f>
        <v>1179</v>
      </c>
      <c r="D18" s="178">
        <f t="shared" ref="D18:M19" si="7">D5</f>
        <v>0.85318284762770602</v>
      </c>
      <c r="E18" s="178" t="str">
        <f t="shared" si="7"/>
        <v>±</v>
      </c>
      <c r="F18" s="178">
        <f t="shared" si="7"/>
        <v>1.8782665315192201E-3</v>
      </c>
      <c r="G18" s="179">
        <f t="shared" si="7"/>
        <v>1275.4909553893253</v>
      </c>
      <c r="H18" s="178" t="str">
        <f t="shared" si="7"/>
        <v>±</v>
      </c>
      <c r="I18" s="179">
        <f t="shared" si="7"/>
        <v>17.684503491422426</v>
      </c>
      <c r="J18" s="180">
        <f t="shared" si="7"/>
        <v>-27.458082986083301</v>
      </c>
      <c r="K18" s="180">
        <f t="shared" si="7"/>
        <v>-16.036207686388583</v>
      </c>
      <c r="L18" s="180" t="str">
        <f t="shared" si="7"/>
        <v>±</v>
      </c>
      <c r="M18" s="180">
        <f t="shared" si="7"/>
        <v>2.2014818239041984</v>
      </c>
    </row>
    <row r="19" spans="2:13" x14ac:dyDescent="0.2">
      <c r="B19" s="189">
        <v>772</v>
      </c>
      <c r="C19" s="187">
        <f t="shared" si="6"/>
        <v>1178</v>
      </c>
      <c r="D19" s="178">
        <f>(D6/(F6^2)+D7/(F7^2))/(1/(F6^2)+1/(F7^2))</f>
        <v>0.85186207660976265</v>
      </c>
      <c r="E19" s="178" t="str">
        <f t="shared" si="7"/>
        <v>±</v>
      </c>
      <c r="F19" s="178">
        <f>SQRT(1/(1/(F6^2)+1/(F7^2)))</f>
        <v>1.3318512730147892E-3</v>
      </c>
      <c r="G19" s="179">
        <f>-8033*LN(D19)</f>
        <v>1287.9360887209207</v>
      </c>
      <c r="H19" s="178" t="str">
        <f t="shared" si="7"/>
        <v>±</v>
      </c>
      <c r="I19" s="179">
        <f>F19/D19*8033</f>
        <v>12.559264662545713</v>
      </c>
      <c r="J19" s="180">
        <f>AVERAGE(J6:J7)</f>
        <v>-25.958082986083301</v>
      </c>
      <c r="K19" s="180">
        <f>(EXP(C19/8267)*EXP(-G19/8033)-1)*1000</f>
        <v>-17.678265984333198</v>
      </c>
      <c r="L19" s="178" t="s">
        <v>5</v>
      </c>
      <c r="M19" s="180">
        <f>I19/8.033</f>
        <v>1.5634588152054916</v>
      </c>
    </row>
    <row r="20" spans="2:13" x14ac:dyDescent="0.2">
      <c r="B20" s="189">
        <v>773</v>
      </c>
      <c r="C20" s="187">
        <f t="shared" si="6"/>
        <v>1177</v>
      </c>
      <c r="D20" s="178">
        <f t="shared" ref="D20:M20" si="8">D8</f>
        <v>0.84861674220901795</v>
      </c>
      <c r="E20" s="178" t="str">
        <f t="shared" si="8"/>
        <v>±</v>
      </c>
      <c r="F20" s="178">
        <f t="shared" si="8"/>
        <v>1.8664723985904099E-3</v>
      </c>
      <c r="G20" s="179">
        <f t="shared" si="8"/>
        <v>1318.5978089424329</v>
      </c>
      <c r="H20" s="178" t="str">
        <f t="shared" si="8"/>
        <v>±</v>
      </c>
      <c r="I20" s="179">
        <f t="shared" si="8"/>
        <v>17.668014348677357</v>
      </c>
      <c r="J20" s="180">
        <f t="shared" si="8"/>
        <v>-24.458082986083301</v>
      </c>
      <c r="K20" s="180">
        <f t="shared" si="8"/>
        <v>-21.538976451524803</v>
      </c>
      <c r="L20" s="180" t="str">
        <f t="shared" si="8"/>
        <v>±</v>
      </c>
      <c r="M20" s="180">
        <f t="shared" si="8"/>
        <v>2.1994291483477353</v>
      </c>
    </row>
    <row r="21" spans="2:13" x14ac:dyDescent="0.2">
      <c r="B21" s="189">
        <v>774</v>
      </c>
      <c r="C21" s="187">
        <f t="shared" si="6"/>
        <v>1176</v>
      </c>
      <c r="D21" s="178">
        <f t="shared" ref="D21:M21" si="9">D9</f>
        <v>0.85522811894145145</v>
      </c>
      <c r="E21" s="178" t="str">
        <f t="shared" si="9"/>
        <v>±</v>
      </c>
      <c r="F21" s="178">
        <f t="shared" si="9"/>
        <v>1.3702427509074354E-3</v>
      </c>
      <c r="G21" s="179">
        <f t="shared" si="9"/>
        <v>1256.2570911329942</v>
      </c>
      <c r="H21" s="178" t="str">
        <f t="shared" si="9"/>
        <v>±</v>
      </c>
      <c r="I21" s="179">
        <f t="shared" si="9"/>
        <v>12.870437459029541</v>
      </c>
      <c r="J21" s="180">
        <f t="shared" si="9"/>
        <v>-22.885853965493109</v>
      </c>
      <c r="K21" s="180">
        <f t="shared" si="9"/>
        <v>-14.035285289086264</v>
      </c>
      <c r="L21" s="180" t="str">
        <f t="shared" si="9"/>
        <v>±</v>
      </c>
      <c r="M21" s="180">
        <f t="shared" si="9"/>
        <v>1.6021956254238194</v>
      </c>
    </row>
    <row r="22" spans="2:13" x14ac:dyDescent="0.2">
      <c r="B22" s="189">
        <v>775</v>
      </c>
      <c r="C22" s="187">
        <f t="shared" si="6"/>
        <v>1175</v>
      </c>
      <c r="D22" s="178">
        <f t="shared" ref="D22:M22" si="10">D10</f>
        <v>0.86643112948932965</v>
      </c>
      <c r="E22" s="178" t="str">
        <f t="shared" si="10"/>
        <v>±</v>
      </c>
      <c r="F22" s="178">
        <f t="shared" si="10"/>
        <v>1.3531842900707752E-3</v>
      </c>
      <c r="G22" s="179">
        <f t="shared" si="10"/>
        <v>1151.7125315419455</v>
      </c>
      <c r="H22" s="178" t="str">
        <f t="shared" si="10"/>
        <v>±</v>
      </c>
      <c r="I22" s="179">
        <f t="shared" si="10"/>
        <v>12.545866638639056</v>
      </c>
      <c r="J22" s="180">
        <f t="shared" si="10"/>
        <v>-21.504545902562814</v>
      </c>
      <c r="K22" s="180">
        <f t="shared" si="10"/>
        <v>-1.2405184932501312</v>
      </c>
      <c r="L22" s="180" t="str">
        <f t="shared" si="10"/>
        <v>±</v>
      </c>
      <c r="M22" s="180">
        <f t="shared" si="10"/>
        <v>1.5617909421933347</v>
      </c>
    </row>
    <row r="23" spans="2:13" x14ac:dyDescent="0.2">
      <c r="B23" s="189">
        <v>776</v>
      </c>
      <c r="C23" s="187">
        <f t="shared" si="6"/>
        <v>1174</v>
      </c>
      <c r="D23" s="178">
        <f t="shared" ref="D23:M23" si="11">D11</f>
        <v>0.86541183149438605</v>
      </c>
      <c r="E23" s="178" t="str">
        <f t="shared" si="11"/>
        <v>±</v>
      </c>
      <c r="F23" s="178">
        <f t="shared" si="11"/>
        <v>1.8587962454656799E-3</v>
      </c>
      <c r="G23" s="179">
        <f t="shared" si="11"/>
        <v>1161.1683793564505</v>
      </c>
      <c r="H23" s="178" t="str">
        <f t="shared" si="11"/>
        <v>±</v>
      </c>
      <c r="I23" s="179">
        <f t="shared" si="11"/>
        <v>17.253878091823463</v>
      </c>
      <c r="J23" s="180">
        <f t="shared" si="11"/>
        <v>-19.458082986083301</v>
      </c>
      <c r="K23" s="180">
        <f t="shared" si="11"/>
        <v>-2.5361552826947964</v>
      </c>
      <c r="L23" s="178" t="str">
        <f t="shared" si="11"/>
        <v>±</v>
      </c>
      <c r="M23" s="180">
        <f t="shared" si="11"/>
        <v>2.1478747780186063</v>
      </c>
    </row>
  </sheetData>
  <mergeCells count="7">
    <mergeCell ref="D3:F3"/>
    <mergeCell ref="G3:I3"/>
    <mergeCell ref="K3:M3"/>
    <mergeCell ref="B14:M14"/>
    <mergeCell ref="D15:F15"/>
    <mergeCell ref="G15:I15"/>
    <mergeCell ref="K15:M15"/>
  </mergeCells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5"/>
  <sheetViews>
    <sheetView workbookViewId="0">
      <selection activeCell="I5" sqref="I5:I15"/>
    </sheetView>
  </sheetViews>
  <sheetFormatPr baseColWidth="10" defaultColWidth="8.6640625" defaultRowHeight="16" x14ac:dyDescent="0.2"/>
  <cols>
    <col min="1" max="1" width="9.6640625" bestFit="1" customWidth="1"/>
  </cols>
  <sheetData>
    <row r="3" spans="1:20" x14ac:dyDescent="0.2">
      <c r="I3" s="223"/>
    </row>
    <row r="4" spans="1:20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317" t="s">
        <v>17</v>
      </c>
      <c r="J4" s="318" t="s">
        <v>15</v>
      </c>
      <c r="K4" s="345" t="s">
        <v>1</v>
      </c>
      <c r="L4" s="345"/>
      <c r="M4" s="345"/>
      <c r="N4" s="345" t="s">
        <v>2</v>
      </c>
      <c r="O4" s="345"/>
      <c r="P4" s="345"/>
      <c r="Q4" s="317" t="s">
        <v>3</v>
      </c>
      <c r="R4" s="346" t="s">
        <v>16</v>
      </c>
      <c r="S4" s="345"/>
      <c r="T4" s="345"/>
    </row>
    <row r="5" spans="1:20" x14ac:dyDescent="0.2">
      <c r="A5" s="258" t="s">
        <v>689</v>
      </c>
      <c r="B5" s="156" t="s">
        <v>216</v>
      </c>
      <c r="C5" s="34">
        <v>0.84870652856061413</v>
      </c>
      <c r="D5" s="34">
        <v>1.9612444903326907E-3</v>
      </c>
      <c r="E5" s="32">
        <v>1317.7357958773273</v>
      </c>
      <c r="F5" s="32">
        <v>18.562991216686633</v>
      </c>
      <c r="G5" s="36">
        <v>-19.710223173270201</v>
      </c>
      <c r="I5" s="270">
        <v>770</v>
      </c>
      <c r="J5" s="271">
        <f>1950-I5</f>
        <v>1180</v>
      </c>
      <c r="K5" s="34">
        <f>C5</f>
        <v>0.84870652856061413</v>
      </c>
      <c r="L5" s="273" t="s">
        <v>5</v>
      </c>
      <c r="M5" s="274">
        <f>D5</f>
        <v>1.9612444903326907E-3</v>
      </c>
      <c r="N5" s="275">
        <f>-8033*LN(K5)</f>
        <v>1317.7479369404805</v>
      </c>
      <c r="O5" s="276" t="s">
        <v>5</v>
      </c>
      <c r="P5" s="275">
        <f>M5/K5*8033</f>
        <v>18.563162248276864</v>
      </c>
      <c r="Q5" s="277">
        <f>G5</f>
        <v>-19.710223173270201</v>
      </c>
      <c r="R5" s="271">
        <f>(EXP(J5/8267)*EXP(-N5/8033)-1)*1000</f>
        <v>-21.08027780921762</v>
      </c>
      <c r="S5" s="273" t="s">
        <v>5</v>
      </c>
      <c r="T5" s="278">
        <f>P5/8.033</f>
        <v>2.3108629712780862</v>
      </c>
    </row>
    <row r="6" spans="1:20" x14ac:dyDescent="0.2">
      <c r="A6" s="258" t="s">
        <v>690</v>
      </c>
      <c r="B6" s="156" t="s">
        <v>217</v>
      </c>
      <c r="C6" s="34">
        <v>0.84874372392500308</v>
      </c>
      <c r="D6" s="34">
        <v>1.9661244548325549E-3</v>
      </c>
      <c r="E6" s="32">
        <v>1317.3837530308952</v>
      </c>
      <c r="F6" s="32">
        <v>18.608364084071077</v>
      </c>
      <c r="G6" s="36">
        <v>-21.558770976944363</v>
      </c>
      <c r="I6" s="270">
        <v>771</v>
      </c>
      <c r="J6" s="271">
        <f t="shared" ref="J6:J14" si="0">1950-I6</f>
        <v>1179</v>
      </c>
      <c r="K6" s="34">
        <f>C6</f>
        <v>0.84874372392500308</v>
      </c>
      <c r="L6" s="273" t="s">
        <v>5</v>
      </c>
      <c r="M6" s="274">
        <f t="shared" ref="M6:M15" si="1">D6</f>
        <v>1.9661244548325549E-3</v>
      </c>
      <c r="N6" s="275">
        <f t="shared" ref="N6:N15" si="2">-8033*LN(K6)</f>
        <v>1317.3958908504737</v>
      </c>
      <c r="O6" s="276" t="s">
        <v>5</v>
      </c>
      <c r="P6" s="275">
        <f t="shared" ref="P6:P15" si="3">M6/K6*8033</f>
        <v>18.608535533707816</v>
      </c>
      <c r="Q6" s="277">
        <f t="shared" ref="Q6:Q15" si="4">G6</f>
        <v>-21.558770976944363</v>
      </c>
      <c r="R6" s="271">
        <f t="shared" ref="R6:R15" si="5">(EXP(J6/8267)*EXP(-N6/8033)-1)*1000</f>
        <v>-21.155786690122635</v>
      </c>
      <c r="S6" s="273" t="s">
        <v>5</v>
      </c>
      <c r="T6" s="278">
        <f t="shared" ref="T6:T15" si="6">P6/8.033</f>
        <v>2.3165113324670505</v>
      </c>
    </row>
    <row r="7" spans="1:20" x14ac:dyDescent="0.2">
      <c r="A7" s="258" t="s">
        <v>691</v>
      </c>
      <c r="B7" s="156" t="s">
        <v>218</v>
      </c>
      <c r="C7" s="34">
        <v>0.85127172733554413</v>
      </c>
      <c r="D7" s="34">
        <v>1.980403735187031E-3</v>
      </c>
      <c r="E7" s="32">
        <v>1293.4930533930769</v>
      </c>
      <c r="F7" s="32">
        <v>18.687847981171789</v>
      </c>
      <c r="G7" s="36">
        <v>-24.845580419981417</v>
      </c>
      <c r="I7" s="270">
        <v>772</v>
      </c>
      <c r="J7" s="271">
        <f t="shared" si="0"/>
        <v>1178</v>
      </c>
      <c r="K7" s="34">
        <f t="shared" ref="K7:K15" si="7">C7</f>
        <v>0.85127172733554413</v>
      </c>
      <c r="L7" s="273" t="s">
        <v>5</v>
      </c>
      <c r="M7" s="274">
        <f t="shared" si="1"/>
        <v>1.980403735187031E-3</v>
      </c>
      <c r="N7" s="275">
        <f t="shared" si="2"/>
        <v>1293.5049710938015</v>
      </c>
      <c r="O7" s="276" t="s">
        <v>5</v>
      </c>
      <c r="P7" s="275">
        <f t="shared" si="3"/>
        <v>18.688020163139711</v>
      </c>
      <c r="Q7" s="277">
        <f t="shared" si="4"/>
        <v>-24.845580419981417</v>
      </c>
      <c r="R7" s="271">
        <f t="shared" si="5"/>
        <v>-18.359025157265396</v>
      </c>
      <c r="S7" s="273" t="s">
        <v>5</v>
      </c>
      <c r="T7" s="278">
        <f>P7/8.033</f>
        <v>2.3264060952495598</v>
      </c>
    </row>
    <row r="8" spans="1:20" x14ac:dyDescent="0.2">
      <c r="A8" s="258" t="s">
        <v>692</v>
      </c>
      <c r="B8" s="156" t="s">
        <v>219</v>
      </c>
      <c r="C8" s="34">
        <v>0.84573742046374389</v>
      </c>
      <c r="D8" s="34">
        <v>1.9517983336319932E-3</v>
      </c>
      <c r="E8" s="32">
        <v>1345.8873909971035</v>
      </c>
      <c r="F8" s="32">
        <v>18.538438974321892</v>
      </c>
      <c r="G8" s="36">
        <v>-19.548223893971482</v>
      </c>
      <c r="I8" s="270">
        <v>773</v>
      </c>
      <c r="J8" s="271">
        <f t="shared" si="0"/>
        <v>1177</v>
      </c>
      <c r="K8" s="34">
        <f t="shared" si="7"/>
        <v>0.84573742046374389</v>
      </c>
      <c r="L8" s="273" t="s">
        <v>5</v>
      </c>
      <c r="M8" s="274">
        <f t="shared" si="1"/>
        <v>1.9517983336319932E-3</v>
      </c>
      <c r="N8" s="275">
        <f t="shared" si="2"/>
        <v>1345.8997914372085</v>
      </c>
      <c r="O8" s="276" t="s">
        <v>5</v>
      </c>
      <c r="P8" s="275">
        <f t="shared" si="3"/>
        <v>18.538609779698092</v>
      </c>
      <c r="Q8" s="277">
        <f t="shared" si="4"/>
        <v>-19.548223893971482</v>
      </c>
      <c r="R8" s="271">
        <f t="shared" si="5"/>
        <v>-24.858854509401173</v>
      </c>
      <c r="S8" s="273" t="s">
        <v>5</v>
      </c>
      <c r="T8" s="278">
        <f t="shared" si="6"/>
        <v>2.3078065205649314</v>
      </c>
    </row>
    <row r="9" spans="1:20" x14ac:dyDescent="0.2">
      <c r="A9" s="258" t="s">
        <v>693</v>
      </c>
      <c r="B9" s="156" t="s">
        <v>298</v>
      </c>
      <c r="C9" s="34">
        <v>0.85761100130527579</v>
      </c>
      <c r="D9" s="34">
        <v>2.0102970127486184E-3</v>
      </c>
      <c r="E9" s="32">
        <v>1233.8948710826933</v>
      </c>
      <c r="F9" s="32">
        <v>18.829710781145742</v>
      </c>
      <c r="G9" s="36">
        <v>-21.19589055658988</v>
      </c>
      <c r="I9" s="270">
        <v>774</v>
      </c>
      <c r="J9" s="271">
        <f t="shared" si="0"/>
        <v>1176</v>
      </c>
      <c r="K9" s="34">
        <f t="shared" si="7"/>
        <v>0.85761100130527579</v>
      </c>
      <c r="L9" s="2" t="s">
        <v>5</v>
      </c>
      <c r="M9" s="274">
        <f t="shared" si="1"/>
        <v>2.0102970127486184E-3</v>
      </c>
      <c r="N9" s="275">
        <f t="shared" si="2"/>
        <v>1233.9062396708437</v>
      </c>
      <c r="O9" s="66" t="s">
        <v>5</v>
      </c>
      <c r="P9" s="275">
        <f t="shared" si="3"/>
        <v>18.829884270177811</v>
      </c>
      <c r="Q9" s="277">
        <f t="shared" si="4"/>
        <v>-21.19589055658988</v>
      </c>
      <c r="R9" s="271">
        <f t="shared" si="5"/>
        <v>-11.288137624033133</v>
      </c>
      <c r="S9" s="2" t="s">
        <v>5</v>
      </c>
      <c r="T9" s="278">
        <f t="shared" si="6"/>
        <v>2.344066260447879</v>
      </c>
    </row>
    <row r="10" spans="1:20" x14ac:dyDescent="0.2">
      <c r="A10" s="258" t="s">
        <v>694</v>
      </c>
      <c r="B10" s="156" t="s">
        <v>299</v>
      </c>
      <c r="C10" s="34">
        <v>0.86148394843202603</v>
      </c>
      <c r="D10" s="34">
        <v>2.0080915168457824E-3</v>
      </c>
      <c r="E10" s="32">
        <v>1197.7000695507793</v>
      </c>
      <c r="F10" s="32">
        <v>18.724493429404394</v>
      </c>
      <c r="G10" s="36">
        <v>-19.503931199176037</v>
      </c>
      <c r="I10" s="270">
        <v>775</v>
      </c>
      <c r="J10" s="271">
        <f t="shared" si="0"/>
        <v>1175</v>
      </c>
      <c r="K10" s="34">
        <f t="shared" si="7"/>
        <v>0.86148394843202603</v>
      </c>
      <c r="L10" s="2" t="s">
        <v>5</v>
      </c>
      <c r="M10" s="274">
        <f t="shared" si="1"/>
        <v>2.0080915168457824E-3</v>
      </c>
      <c r="N10" s="275">
        <f t="shared" si="2"/>
        <v>1197.7111046552582</v>
      </c>
      <c r="O10" s="66" t="s">
        <v>5</v>
      </c>
      <c r="P10" s="275">
        <f t="shared" si="3"/>
        <v>18.724665949008056</v>
      </c>
      <c r="Q10" s="277">
        <f t="shared" si="4"/>
        <v>-19.503931199176037</v>
      </c>
      <c r="R10" s="271">
        <f t="shared" si="5"/>
        <v>-6.9432729529436132</v>
      </c>
      <c r="S10" s="2" t="s">
        <v>5</v>
      </c>
      <c r="T10" s="278">
        <f t="shared" si="6"/>
        <v>2.3309680006234355</v>
      </c>
    </row>
    <row r="11" spans="1:20" x14ac:dyDescent="0.2">
      <c r="A11" s="258" t="s">
        <v>695</v>
      </c>
      <c r="B11" s="156" t="s">
        <v>220</v>
      </c>
      <c r="C11" s="34">
        <v>0.86484657977794721</v>
      </c>
      <c r="D11" s="34">
        <v>2.0316720105963506E-3</v>
      </c>
      <c r="E11" s="32">
        <v>1166.4061748448464</v>
      </c>
      <c r="F11" s="32">
        <v>18.870712187127953</v>
      </c>
      <c r="G11" s="36">
        <v>-22.292957355220409</v>
      </c>
      <c r="I11" s="270">
        <v>776</v>
      </c>
      <c r="J11" s="271">
        <f t="shared" si="0"/>
        <v>1174</v>
      </c>
      <c r="K11" s="34">
        <f t="shared" si="7"/>
        <v>0.86484657977794721</v>
      </c>
      <c r="L11" s="2" t="s">
        <v>5</v>
      </c>
      <c r="M11" s="274">
        <f t="shared" si="1"/>
        <v>2.0316720105963506E-3</v>
      </c>
      <c r="N11" s="275">
        <f t="shared" si="2"/>
        <v>1166.4169216205471</v>
      </c>
      <c r="O11" s="66" t="s">
        <v>5</v>
      </c>
      <c r="P11" s="275">
        <f t="shared" si="3"/>
        <v>18.870886053929723</v>
      </c>
      <c r="Q11" s="277">
        <f t="shared" si="4"/>
        <v>-22.292957355220409</v>
      </c>
      <c r="R11" s="271">
        <f t="shared" si="5"/>
        <v>-3.1876579890288692</v>
      </c>
      <c r="S11" s="2" t="s">
        <v>5</v>
      </c>
      <c r="T11" s="278">
        <f t="shared" si="6"/>
        <v>2.3491704287227342</v>
      </c>
    </row>
    <row r="12" spans="1:20" x14ac:dyDescent="0.2">
      <c r="A12" s="258" t="s">
        <v>696</v>
      </c>
      <c r="B12" s="156" t="s">
        <v>221</v>
      </c>
      <c r="C12" s="34">
        <v>0.86368240951874686</v>
      </c>
      <c r="D12" s="34">
        <v>2.0257966283497939E-3</v>
      </c>
      <c r="E12" s="32">
        <v>1177.2265834136265</v>
      </c>
      <c r="F12" s="32">
        <v>18.841502620553971</v>
      </c>
      <c r="G12" s="36">
        <v>-21.64491087032583</v>
      </c>
      <c r="I12" s="270">
        <v>777</v>
      </c>
      <c r="J12" s="271">
        <f t="shared" si="0"/>
        <v>1173</v>
      </c>
      <c r="K12" s="34">
        <f t="shared" si="7"/>
        <v>0.86368240951874686</v>
      </c>
      <c r="L12" s="2" t="s">
        <v>5</v>
      </c>
      <c r="M12" s="274">
        <f t="shared" si="1"/>
        <v>2.0257966283497939E-3</v>
      </c>
      <c r="N12" s="275">
        <f t="shared" si="2"/>
        <v>1177.2374298840186</v>
      </c>
      <c r="O12" s="66" t="s">
        <v>5</v>
      </c>
      <c r="P12" s="275">
        <f t="shared" si="3"/>
        <v>18.841676218231086</v>
      </c>
      <c r="Q12" s="277">
        <f t="shared" si="4"/>
        <v>-21.64491087032583</v>
      </c>
      <c r="R12" s="271">
        <f t="shared" si="5"/>
        <v>-4.6498750876886596</v>
      </c>
      <c r="S12" s="2" t="s">
        <v>5</v>
      </c>
      <c r="T12" s="278">
        <f t="shared" si="6"/>
        <v>2.3455341987092106</v>
      </c>
    </row>
    <row r="13" spans="1:20" x14ac:dyDescent="0.2">
      <c r="A13" s="258" t="s">
        <v>697</v>
      </c>
      <c r="B13" s="156" t="s">
        <v>222</v>
      </c>
      <c r="C13" s="34">
        <v>0.86125740124366557</v>
      </c>
      <c r="D13" s="34">
        <v>1.9994078213392192E-3</v>
      </c>
      <c r="E13" s="32">
        <v>1199.8127915885036</v>
      </c>
      <c r="F13" s="32">
        <v>18.648426156284835</v>
      </c>
      <c r="G13" s="36">
        <v>-16.500153035375774</v>
      </c>
      <c r="I13" s="270">
        <v>778</v>
      </c>
      <c r="J13" s="271">
        <f t="shared" si="0"/>
        <v>1172</v>
      </c>
      <c r="K13" s="34">
        <f t="shared" si="7"/>
        <v>0.86125740124366557</v>
      </c>
      <c r="L13" s="2" t="s">
        <v>5</v>
      </c>
      <c r="M13" s="274">
        <f t="shared" si="1"/>
        <v>1.9994078213392192E-3</v>
      </c>
      <c r="N13" s="275">
        <f t="shared" si="2"/>
        <v>1199.8238461587143</v>
      </c>
      <c r="O13" s="66" t="s">
        <v>5</v>
      </c>
      <c r="P13" s="275">
        <f t="shared" si="3"/>
        <v>18.648597975036648</v>
      </c>
      <c r="Q13" s="277">
        <f t="shared" si="4"/>
        <v>-16.500153035375774</v>
      </c>
      <c r="R13" s="271">
        <f t="shared" si="5"/>
        <v>-7.5646290850569509</v>
      </c>
      <c r="S13" s="2" t="s">
        <v>5</v>
      </c>
      <c r="T13" s="278">
        <f t="shared" si="6"/>
        <v>2.3214985652977278</v>
      </c>
    </row>
    <row r="14" spans="1:20" x14ac:dyDescent="0.2">
      <c r="A14" s="258" t="s">
        <v>698</v>
      </c>
      <c r="B14" s="156" t="s">
        <v>223</v>
      </c>
      <c r="C14" s="34">
        <v>0.8627624549006957</v>
      </c>
      <c r="D14" s="34">
        <v>2.0143309331303004E-3</v>
      </c>
      <c r="E14" s="32">
        <v>1185.7874453454001</v>
      </c>
      <c r="F14" s="32">
        <v>18.754839422210505</v>
      </c>
      <c r="G14" s="36">
        <v>-21.03451331407036</v>
      </c>
      <c r="I14" s="270">
        <v>779</v>
      </c>
      <c r="J14" s="271">
        <f t="shared" si="0"/>
        <v>1171</v>
      </c>
      <c r="K14" s="34">
        <f t="shared" si="7"/>
        <v>0.8627624549006957</v>
      </c>
      <c r="L14" s="2" t="s">
        <v>5</v>
      </c>
      <c r="M14" s="274">
        <f t="shared" si="1"/>
        <v>2.0143309331303004E-3</v>
      </c>
      <c r="N14" s="275">
        <f t="shared" si="2"/>
        <v>1185.798370691972</v>
      </c>
      <c r="O14" s="66" t="s">
        <v>5</v>
      </c>
      <c r="P14" s="275">
        <f t="shared" si="3"/>
        <v>18.755012221409377</v>
      </c>
      <c r="Q14" s="277">
        <f t="shared" si="4"/>
        <v>-21.03451331407036</v>
      </c>
      <c r="R14" s="271">
        <f t="shared" si="5"/>
        <v>-5.9505912957076301</v>
      </c>
      <c r="S14" s="2" t="s">
        <v>5</v>
      </c>
      <c r="T14" s="278">
        <f t="shared" si="6"/>
        <v>2.3347457016568378</v>
      </c>
    </row>
    <row r="15" spans="1:20" x14ac:dyDescent="0.2">
      <c r="A15" s="258" t="s">
        <v>699</v>
      </c>
      <c r="B15" s="156" t="s">
        <v>224</v>
      </c>
      <c r="C15" s="34">
        <v>0.85921078567480402</v>
      </c>
      <c r="D15" s="34">
        <v>1.9917391058014229E-3</v>
      </c>
      <c r="E15" s="32">
        <v>1218.9242395888998</v>
      </c>
      <c r="F15" s="32">
        <v>18.621149886686425</v>
      </c>
      <c r="G15" s="36">
        <v>-16.097238289643268</v>
      </c>
      <c r="I15" s="270">
        <v>780</v>
      </c>
      <c r="J15" s="271">
        <f>1950-I15</f>
        <v>1170</v>
      </c>
      <c r="K15" s="34">
        <f t="shared" si="7"/>
        <v>0.85921078567480402</v>
      </c>
      <c r="L15" s="2" t="s">
        <v>5</v>
      </c>
      <c r="M15" s="274">
        <f t="shared" si="1"/>
        <v>1.9917391058014229E-3</v>
      </c>
      <c r="N15" s="275">
        <f t="shared" si="2"/>
        <v>1218.9354702439507</v>
      </c>
      <c r="O15" s="66" t="s">
        <v>5</v>
      </c>
      <c r="P15" s="275">
        <f t="shared" si="3"/>
        <v>18.621321454126168</v>
      </c>
      <c r="Q15" s="277">
        <f t="shared" si="4"/>
        <v>-16.097238289643268</v>
      </c>
      <c r="R15" s="271">
        <f t="shared" si="5"/>
        <v>-10.162460463498002</v>
      </c>
      <c r="S15" s="2" t="s">
        <v>5</v>
      </c>
      <c r="T15" s="278">
        <f t="shared" si="6"/>
        <v>2.3181030068624633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A3" workbookViewId="0">
      <selection activeCell="I53" sqref="I53:I63"/>
    </sheetView>
  </sheetViews>
  <sheetFormatPr baseColWidth="10" defaultColWidth="8.6640625" defaultRowHeight="16" x14ac:dyDescent="0.2"/>
  <cols>
    <col min="1" max="1" width="9.6640625" bestFit="1" customWidth="1"/>
    <col min="2" max="2" width="7.6640625" bestFit="1" customWidth="1"/>
    <col min="3" max="4" width="7" bestFit="1" customWidth="1"/>
    <col min="5" max="5" width="7.6640625" bestFit="1" customWidth="1"/>
    <col min="6" max="6" width="6.1640625" bestFit="1" customWidth="1"/>
    <col min="7" max="7" width="5.6640625" bestFit="1" customWidth="1"/>
  </cols>
  <sheetData>
    <row r="1" spans="1:21" s="225" customFormat="1" ht="14" x14ac:dyDescent="0.2"/>
    <row r="2" spans="1:21" s="225" customFormat="1" ht="14" x14ac:dyDescent="0.2"/>
    <row r="4" spans="1:21" s="60" customFormat="1" ht="42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21" t="s">
        <v>17</v>
      </c>
      <c r="J4" s="222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21" t="s">
        <v>3</v>
      </c>
      <c r="R4" s="346" t="s">
        <v>16</v>
      </c>
      <c r="S4" s="345"/>
      <c r="T4" s="345"/>
    </row>
    <row r="5" spans="1:21" s="154" customFormat="1" x14ac:dyDescent="0.2">
      <c r="A5" s="156" t="s">
        <v>431</v>
      </c>
      <c r="B5" s="156" t="s">
        <v>216</v>
      </c>
      <c r="C5" s="34">
        <v>0.84917124697410407</v>
      </c>
      <c r="D5" s="34">
        <v>1.7325388128568528E-3</v>
      </c>
      <c r="E5" s="32">
        <v>1313.3384844008051</v>
      </c>
      <c r="F5" s="32">
        <v>16.389339729305387</v>
      </c>
      <c r="G5" s="36">
        <v>-15.675743550857991</v>
      </c>
      <c r="I5" s="220">
        <v>770</v>
      </c>
      <c r="J5" s="9">
        <f>1950-I5</f>
        <v>1180</v>
      </c>
      <c r="K5" s="69">
        <f>C5</f>
        <v>0.84917124697410407</v>
      </c>
      <c r="L5" s="2" t="s">
        <v>5</v>
      </c>
      <c r="M5" s="13">
        <f>D5</f>
        <v>1.7325388128568528E-3</v>
      </c>
      <c r="N5" s="12">
        <f>-8033*LN(K5)</f>
        <v>1313.3505849489804</v>
      </c>
      <c r="O5" s="66" t="s">
        <v>5</v>
      </c>
      <c r="P5" s="12">
        <f>M5/K5*8033</f>
        <v>16.389490733785433</v>
      </c>
      <c r="Q5" s="5">
        <f>G5</f>
        <v>-15.675743550857991</v>
      </c>
      <c r="R5" s="9">
        <f>(EXP(J5/8267)*EXP(-N5/8033)-1)*1000</f>
        <v>-20.544259757133034</v>
      </c>
      <c r="S5" s="2" t="s">
        <v>5</v>
      </c>
      <c r="T5" s="14">
        <f>P5/8.033</f>
        <v>2.0402702270366531</v>
      </c>
      <c r="U5" s="154">
        <f>1/M5^2</f>
        <v>333145.57936365687</v>
      </c>
    </row>
    <row r="6" spans="1:21" s="154" customFormat="1" x14ac:dyDescent="0.2">
      <c r="A6" s="156" t="s">
        <v>432</v>
      </c>
      <c r="B6" s="156" t="s">
        <v>217</v>
      </c>
      <c r="C6" s="34">
        <v>0.84993212709934363</v>
      </c>
      <c r="D6" s="34">
        <v>1.7953736988718921E-3</v>
      </c>
      <c r="E6" s="32">
        <v>1306.1439908418854</v>
      </c>
      <c r="F6" s="32">
        <v>16.968536173658478</v>
      </c>
      <c r="G6" s="36">
        <v>-15.960078289926294</v>
      </c>
      <c r="I6" s="220">
        <v>771</v>
      </c>
      <c r="J6" s="9">
        <f t="shared" ref="J6:J15" si="0">1950-I6</f>
        <v>1179</v>
      </c>
      <c r="K6" s="69">
        <f t="shared" ref="K6:K15" si="1">C6</f>
        <v>0.84993212709934363</v>
      </c>
      <c r="L6" s="2" t="s">
        <v>5</v>
      </c>
      <c r="M6" s="13">
        <f t="shared" ref="M6:M15" si="2">D6</f>
        <v>1.7953736988718921E-3</v>
      </c>
      <c r="N6" s="12">
        <f t="shared" ref="N6:N15" si="3">-8033*LN(K6)</f>
        <v>1306.1560251030244</v>
      </c>
      <c r="O6" s="66" t="s">
        <v>5</v>
      </c>
      <c r="P6" s="12">
        <f t="shared" ref="P6:P15" si="4">M6/K6*8033</f>
        <v>16.968692514610851</v>
      </c>
      <c r="Q6" s="5">
        <f t="shared" ref="Q6:Q15" si="5">G6</f>
        <v>-15.960078289926294</v>
      </c>
      <c r="R6" s="9">
        <f t="shared" ref="R6:R15" si="6">(EXP(J6/8267)*EXP(-N6/8033)-1)*1000</f>
        <v>-19.785218004320871</v>
      </c>
      <c r="S6" s="2" t="s">
        <v>5</v>
      </c>
      <c r="T6" s="14">
        <f t="shared" ref="T6:T15" si="7">P6/8.033</f>
        <v>2.1123730255957738</v>
      </c>
      <c r="U6" s="154">
        <f t="shared" ref="U6:U24" si="8">1/M6^2</f>
        <v>310234.63580155006</v>
      </c>
    </row>
    <row r="7" spans="1:21" s="154" customFormat="1" x14ac:dyDescent="0.2">
      <c r="A7" s="156" t="s">
        <v>433</v>
      </c>
      <c r="B7" s="156" t="s">
        <v>218</v>
      </c>
      <c r="C7" s="34">
        <v>0.84792030239974603</v>
      </c>
      <c r="D7" s="34">
        <v>1.7116632054754927E-3</v>
      </c>
      <c r="E7" s="32">
        <v>1325.1808001610275</v>
      </c>
      <c r="F7" s="32">
        <v>16.215750238617694</v>
      </c>
      <c r="G7" s="36">
        <v>-17.921374607273389</v>
      </c>
      <c r="I7" s="220">
        <v>772</v>
      </c>
      <c r="J7" s="9">
        <f t="shared" si="0"/>
        <v>1178</v>
      </c>
      <c r="K7" s="69">
        <f t="shared" si="1"/>
        <v>0.84792030239974603</v>
      </c>
      <c r="L7" s="2" t="s">
        <v>5</v>
      </c>
      <c r="M7" s="13">
        <f t="shared" si="2"/>
        <v>1.7116632054754927E-3</v>
      </c>
      <c r="N7" s="12">
        <f t="shared" si="3"/>
        <v>1325.1930098193172</v>
      </c>
      <c r="O7" s="66" t="s">
        <v>5</v>
      </c>
      <c r="P7" s="12">
        <f t="shared" si="4"/>
        <v>16.215899643717215</v>
      </c>
      <c r="Q7" s="5">
        <f t="shared" si="5"/>
        <v>-17.921374607273389</v>
      </c>
      <c r="R7" s="9">
        <f t="shared" si="6"/>
        <v>-22.223708942061606</v>
      </c>
      <c r="S7" s="2" t="s">
        <v>5</v>
      </c>
      <c r="T7" s="14">
        <f t="shared" si="7"/>
        <v>2.018660480980607</v>
      </c>
      <c r="U7" s="154">
        <f t="shared" si="8"/>
        <v>341321.28340932925</v>
      </c>
    </row>
    <row r="8" spans="1:21" s="154" customFormat="1" x14ac:dyDescent="0.2">
      <c r="A8" s="156" t="s">
        <v>434</v>
      </c>
      <c r="B8" s="156" t="s">
        <v>219</v>
      </c>
      <c r="C8" s="34">
        <v>0.84896400291564611</v>
      </c>
      <c r="D8" s="34">
        <v>1.6989907287367568E-3</v>
      </c>
      <c r="E8" s="32">
        <v>1315.2991953529142</v>
      </c>
      <c r="F8" s="32">
        <v>16.075907495923143</v>
      </c>
      <c r="G8" s="36">
        <v>-15.799428760499111</v>
      </c>
      <c r="I8" s="220">
        <v>773</v>
      </c>
      <c r="J8" s="9">
        <f t="shared" si="0"/>
        <v>1177</v>
      </c>
      <c r="K8" s="69">
        <f t="shared" si="1"/>
        <v>0.84896400291564611</v>
      </c>
      <c r="L8" s="2" t="s">
        <v>5</v>
      </c>
      <c r="M8" s="13">
        <f t="shared" si="2"/>
        <v>1.6989907287367568E-3</v>
      </c>
      <c r="N8" s="12">
        <f t="shared" si="3"/>
        <v>1315.3113139662553</v>
      </c>
      <c r="O8" s="66" t="s">
        <v>5</v>
      </c>
      <c r="P8" s="12">
        <f t="shared" si="4"/>
        <v>16.076055612570471</v>
      </c>
      <c r="Q8" s="5">
        <f t="shared" si="5"/>
        <v>-15.799428760499111</v>
      </c>
      <c r="R8" s="9">
        <f t="shared" si="6"/>
        <v>-21.138582434361062</v>
      </c>
      <c r="S8" s="2" t="s">
        <v>5</v>
      </c>
      <c r="T8" s="14">
        <f t="shared" si="7"/>
        <v>2.0012517879460314</v>
      </c>
      <c r="U8" s="154">
        <f t="shared" si="8"/>
        <v>346431.98484228709</v>
      </c>
    </row>
    <row r="9" spans="1:21" s="154" customFormat="1" x14ac:dyDescent="0.2">
      <c r="A9" s="156" t="s">
        <v>435</v>
      </c>
      <c r="B9" s="156" t="s">
        <v>298</v>
      </c>
      <c r="C9" s="34">
        <v>0.85251396947648495</v>
      </c>
      <c r="D9" s="34">
        <v>1.7118530374185378E-3</v>
      </c>
      <c r="E9" s="32">
        <v>1281.7793255876788</v>
      </c>
      <c r="F9" s="32">
        <v>16.13016237183831</v>
      </c>
      <c r="G9" s="36">
        <v>-16.094143061458066</v>
      </c>
      <c r="I9" s="220">
        <v>774</v>
      </c>
      <c r="J9" s="9">
        <f t="shared" si="0"/>
        <v>1176</v>
      </c>
      <c r="K9" s="69">
        <f t="shared" si="1"/>
        <v>0.85251396947648495</v>
      </c>
      <c r="L9" s="2" t="s">
        <v>5</v>
      </c>
      <c r="M9" s="13">
        <f t="shared" si="2"/>
        <v>1.7118530374185378E-3</v>
      </c>
      <c r="N9" s="12">
        <f t="shared" si="3"/>
        <v>1281.7911353630443</v>
      </c>
      <c r="O9" s="66" t="s">
        <v>5</v>
      </c>
      <c r="P9" s="12">
        <f t="shared" si="4"/>
        <v>16.130310988367235</v>
      </c>
      <c r="Q9" s="5">
        <f t="shared" si="5"/>
        <v>-16.094143061458066</v>
      </c>
      <c r="R9" s="9">
        <f t="shared" si="6"/>
        <v>-17.164340033241189</v>
      </c>
      <c r="S9" s="2" t="s">
        <v>5</v>
      </c>
      <c r="T9" s="14">
        <f t="shared" si="7"/>
        <v>2.0080058494170592</v>
      </c>
      <c r="U9" s="154">
        <f t="shared" si="8"/>
        <v>341245.58755408466</v>
      </c>
    </row>
    <row r="10" spans="1:21" s="154" customFormat="1" x14ac:dyDescent="0.2">
      <c r="A10" s="156" t="s">
        <v>436</v>
      </c>
      <c r="B10" s="156" t="s">
        <v>299</v>
      </c>
      <c r="C10" s="34">
        <v>0.859799257074224</v>
      </c>
      <c r="D10" s="34">
        <v>1.7325160169655283E-3</v>
      </c>
      <c r="E10" s="32">
        <v>1213.4243911125111</v>
      </c>
      <c r="F10" s="32">
        <v>16.186537523499176</v>
      </c>
      <c r="G10" s="36">
        <v>-17.591050788783868</v>
      </c>
      <c r="I10" s="220">
        <v>775</v>
      </c>
      <c r="J10" s="9">
        <f t="shared" si="0"/>
        <v>1175</v>
      </c>
      <c r="K10" s="69">
        <f t="shared" si="1"/>
        <v>0.859799257074224</v>
      </c>
      <c r="L10" s="2" t="s">
        <v>5</v>
      </c>
      <c r="M10" s="13">
        <f t="shared" si="2"/>
        <v>1.7325160169655283E-3</v>
      </c>
      <c r="N10" s="12">
        <f t="shared" si="3"/>
        <v>1213.4355710942723</v>
      </c>
      <c r="O10" s="66" t="s">
        <v>5</v>
      </c>
      <c r="P10" s="12">
        <f t="shared" si="4"/>
        <v>16.18668665944503</v>
      </c>
      <c r="Q10" s="5">
        <f t="shared" si="5"/>
        <v>-17.591050788783868</v>
      </c>
      <c r="R10" s="9">
        <f t="shared" si="6"/>
        <v>-8.885263966134648</v>
      </c>
      <c r="S10" s="2" t="s">
        <v>5</v>
      </c>
      <c r="T10" s="14">
        <f t="shared" si="7"/>
        <v>2.0150238590122034</v>
      </c>
      <c r="U10" s="154">
        <f t="shared" si="8"/>
        <v>333154.34626717761</v>
      </c>
    </row>
    <row r="11" spans="1:21" s="154" customFormat="1" x14ac:dyDescent="0.2">
      <c r="A11" s="156" t="s">
        <v>437</v>
      </c>
      <c r="B11" s="156" t="s">
        <v>220</v>
      </c>
      <c r="C11" s="34">
        <v>0.86400120477893705</v>
      </c>
      <c r="D11" s="34">
        <v>1.7246376291780361E-3</v>
      </c>
      <c r="E11" s="32">
        <v>1174.2620837352079</v>
      </c>
      <c r="F11" s="32">
        <v>16.034568418051688</v>
      </c>
      <c r="G11" s="36">
        <v>-17.530617944371606</v>
      </c>
      <c r="I11" s="220">
        <v>776</v>
      </c>
      <c r="J11" s="9">
        <f t="shared" si="0"/>
        <v>1174</v>
      </c>
      <c r="K11" s="69">
        <f t="shared" si="1"/>
        <v>0.86400120477893705</v>
      </c>
      <c r="L11" s="2" t="s">
        <v>5</v>
      </c>
      <c r="M11" s="13">
        <f t="shared" si="2"/>
        <v>1.7246376291780361E-3</v>
      </c>
      <c r="N11" s="12">
        <f t="shared" si="3"/>
        <v>1174.2729028919473</v>
      </c>
      <c r="O11" s="66" t="s">
        <v>5</v>
      </c>
      <c r="P11" s="12">
        <f t="shared" si="4"/>
        <v>16.034716153818149</v>
      </c>
      <c r="Q11" s="5">
        <f t="shared" si="5"/>
        <v>-17.530617944371606</v>
      </c>
      <c r="R11" s="9">
        <f t="shared" si="6"/>
        <v>-4.1620276082707797</v>
      </c>
      <c r="S11" s="2" t="s">
        <v>5</v>
      </c>
      <c r="T11" s="14">
        <f t="shared" si="7"/>
        <v>1.9961055836945287</v>
      </c>
      <c r="U11" s="154">
        <f t="shared" si="8"/>
        <v>336205.09053015569</v>
      </c>
    </row>
    <row r="12" spans="1:21" s="154" customFormat="1" x14ac:dyDescent="0.2">
      <c r="A12" s="156" t="s">
        <v>438</v>
      </c>
      <c r="B12" s="156" t="s">
        <v>221</v>
      </c>
      <c r="C12" s="34">
        <v>0.86163178742218383</v>
      </c>
      <c r="D12" s="34">
        <v>1.7276463888440629E-3</v>
      </c>
      <c r="E12" s="32">
        <v>1196.3216599126088</v>
      </c>
      <c r="F12" s="32">
        <v>16.106712609268943</v>
      </c>
      <c r="G12" s="36">
        <v>-18.173485899976249</v>
      </c>
      <c r="I12" s="220">
        <v>777</v>
      </c>
      <c r="J12" s="9">
        <f t="shared" si="0"/>
        <v>1173</v>
      </c>
      <c r="K12" s="69">
        <f t="shared" si="1"/>
        <v>0.86163178742218383</v>
      </c>
      <c r="L12" s="2" t="s">
        <v>5</v>
      </c>
      <c r="M12" s="13">
        <f t="shared" si="2"/>
        <v>1.7276463888440629E-3</v>
      </c>
      <c r="N12" s="12">
        <f t="shared" si="3"/>
        <v>1196.3326823170012</v>
      </c>
      <c r="O12" s="66" t="s">
        <v>5</v>
      </c>
      <c r="P12" s="12">
        <f t="shared" si="4"/>
        <v>16.106861009741625</v>
      </c>
      <c r="Q12" s="5">
        <f t="shared" si="5"/>
        <v>-18.173485899976249</v>
      </c>
      <c r="R12" s="9">
        <f t="shared" si="6"/>
        <v>-7.0131129370032408</v>
      </c>
      <c r="S12" s="2" t="s">
        <v>5</v>
      </c>
      <c r="T12" s="14">
        <f t="shared" si="7"/>
        <v>2.0050866438119788</v>
      </c>
      <c r="U12" s="154">
        <f t="shared" si="8"/>
        <v>335035.08318641095</v>
      </c>
    </row>
    <row r="13" spans="1:21" s="154" customFormat="1" x14ac:dyDescent="0.2">
      <c r="A13" s="156" t="s">
        <v>439</v>
      </c>
      <c r="B13" s="156" t="s">
        <v>222</v>
      </c>
      <c r="C13" s="34">
        <v>0.86022194596657198</v>
      </c>
      <c r="D13" s="34">
        <v>1.7987309379925906E-3</v>
      </c>
      <c r="E13" s="32">
        <v>1209.476266925984</v>
      </c>
      <c r="F13" s="32">
        <v>16.796912198031489</v>
      </c>
      <c r="G13" s="36">
        <v>-18.711835931321975</v>
      </c>
      <c r="I13" s="220">
        <v>778</v>
      </c>
      <c r="J13" s="9">
        <f t="shared" si="0"/>
        <v>1172</v>
      </c>
      <c r="K13" s="69">
        <f t="shared" si="1"/>
        <v>0.86022194596657198</v>
      </c>
      <c r="L13" s="2" t="s">
        <v>5</v>
      </c>
      <c r="M13" s="13">
        <f t="shared" si="2"/>
        <v>1.7987309379925906E-3</v>
      </c>
      <c r="N13" s="12">
        <f t="shared" si="3"/>
        <v>1209.4874105313902</v>
      </c>
      <c r="O13" s="66" t="s">
        <v>5</v>
      </c>
      <c r="P13" s="12">
        <f t="shared" si="4"/>
        <v>16.797066957712765</v>
      </c>
      <c r="Q13" s="5">
        <f t="shared" si="5"/>
        <v>-18.711835931321975</v>
      </c>
      <c r="R13" s="9">
        <f t="shared" si="6"/>
        <v>-8.7577943809421512</v>
      </c>
      <c r="S13" s="2" t="s">
        <v>5</v>
      </c>
      <c r="T13" s="14">
        <f t="shared" si="7"/>
        <v>2.0910079618713762</v>
      </c>
      <c r="U13" s="154">
        <f t="shared" si="8"/>
        <v>309077.64244472067</v>
      </c>
    </row>
    <row r="14" spans="1:21" s="154" customFormat="1" x14ac:dyDescent="0.2">
      <c r="A14" s="156" t="s">
        <v>440</v>
      </c>
      <c r="B14" s="156" t="s">
        <v>223</v>
      </c>
      <c r="C14" s="34">
        <v>0.86217821899353153</v>
      </c>
      <c r="D14" s="34">
        <v>1.7770471877968006E-3</v>
      </c>
      <c r="E14" s="32">
        <v>1191.2289356554952</v>
      </c>
      <c r="F14" s="32">
        <v>16.556772396105188</v>
      </c>
      <c r="G14" s="36">
        <v>-18.308251574267299</v>
      </c>
      <c r="I14" s="220">
        <v>779</v>
      </c>
      <c r="J14" s="9">
        <f t="shared" si="0"/>
        <v>1171</v>
      </c>
      <c r="K14" s="69">
        <f t="shared" si="1"/>
        <v>0.86217821899353153</v>
      </c>
      <c r="L14" s="2" t="s">
        <v>5</v>
      </c>
      <c r="M14" s="13">
        <f t="shared" si="2"/>
        <v>1.7770471877968006E-3</v>
      </c>
      <c r="N14" s="12">
        <f t="shared" si="3"/>
        <v>1191.2399111376692</v>
      </c>
      <c r="O14" s="66" t="s">
        <v>5</v>
      </c>
      <c r="P14" s="12">
        <f t="shared" si="4"/>
        <v>16.556924943239373</v>
      </c>
      <c r="Q14" s="5">
        <f t="shared" si="5"/>
        <v>-18.308251574267299</v>
      </c>
      <c r="R14" s="9">
        <f t="shared" si="6"/>
        <v>-6.623730645666015</v>
      </c>
      <c r="S14" s="2" t="s">
        <v>5</v>
      </c>
      <c r="T14" s="14">
        <f t="shared" si="7"/>
        <v>2.0611135246158812</v>
      </c>
      <c r="U14" s="154">
        <f t="shared" si="8"/>
        <v>316666.46903790033</v>
      </c>
    </row>
    <row r="15" spans="1:21" s="154" customFormat="1" x14ac:dyDescent="0.2">
      <c r="A15" s="156" t="s">
        <v>441</v>
      </c>
      <c r="B15" s="156" t="s">
        <v>224</v>
      </c>
      <c r="C15" s="34">
        <v>0.86187601202270647</v>
      </c>
      <c r="D15" s="34">
        <v>1.7642456055522024E-3</v>
      </c>
      <c r="E15" s="32">
        <v>1194.0450956241152</v>
      </c>
      <c r="F15" s="32">
        <v>16.443263504683447</v>
      </c>
      <c r="G15" s="36">
        <v>-19.17498758361258</v>
      </c>
      <c r="I15" s="220">
        <v>780</v>
      </c>
      <c r="J15" s="9">
        <f t="shared" si="0"/>
        <v>1170</v>
      </c>
      <c r="K15" s="69">
        <f t="shared" si="1"/>
        <v>0.86187601202270647</v>
      </c>
      <c r="L15" s="2" t="s">
        <v>5</v>
      </c>
      <c r="M15" s="13">
        <f t="shared" si="2"/>
        <v>1.7642456055522024E-3</v>
      </c>
      <c r="N15" s="12">
        <f t="shared" si="3"/>
        <v>1194.0560970532022</v>
      </c>
      <c r="O15" s="66" t="s">
        <v>5</v>
      </c>
      <c r="P15" s="12">
        <f t="shared" si="4"/>
        <v>16.443415005994467</v>
      </c>
      <c r="Q15" s="5">
        <f t="shared" si="5"/>
        <v>-19.17498758361258</v>
      </c>
      <c r="R15" s="9">
        <f t="shared" si="6"/>
        <v>-7.092036843939109</v>
      </c>
      <c r="S15" s="2" t="s">
        <v>5</v>
      </c>
      <c r="T15" s="14">
        <f t="shared" si="7"/>
        <v>2.0469830705831531</v>
      </c>
      <c r="U15" s="154">
        <f t="shared" si="8"/>
        <v>321278.68332931568</v>
      </c>
    </row>
    <row r="16" spans="1:21" x14ac:dyDescent="0.2">
      <c r="I16" s="220"/>
      <c r="J16" s="9"/>
      <c r="K16" s="69"/>
      <c r="L16" s="2"/>
      <c r="M16" s="13"/>
      <c r="N16" s="12"/>
      <c r="O16" s="66"/>
      <c r="P16" s="12"/>
      <c r="Q16" s="5"/>
      <c r="R16" s="9"/>
      <c r="S16" s="2"/>
      <c r="T16" s="14"/>
      <c r="U16" s="154"/>
    </row>
    <row r="17" spans="1:21" ht="42" x14ac:dyDescent="0.2">
      <c r="A17" s="60" t="s">
        <v>166</v>
      </c>
      <c r="B17" s="60" t="s">
        <v>168</v>
      </c>
      <c r="C17" s="60" t="s">
        <v>153</v>
      </c>
      <c r="D17" s="60" t="s">
        <v>178</v>
      </c>
      <c r="E17" s="60" t="s">
        <v>179</v>
      </c>
      <c r="F17" s="60" t="s">
        <v>180</v>
      </c>
      <c r="G17" s="60" t="s">
        <v>181</v>
      </c>
      <c r="I17" s="220"/>
      <c r="J17" s="9"/>
      <c r="K17" s="69"/>
      <c r="L17" s="2"/>
      <c r="M17" s="13"/>
      <c r="N17" s="12"/>
      <c r="O17" s="66"/>
      <c r="P17" s="12"/>
      <c r="Q17" s="5"/>
      <c r="R17" s="9"/>
      <c r="S17" s="2"/>
      <c r="T17" s="14"/>
      <c r="U17" s="154"/>
    </row>
    <row r="18" spans="1:21" x14ac:dyDescent="0.2">
      <c r="A18" s="156" t="s">
        <v>474</v>
      </c>
      <c r="B18" s="156" t="s">
        <v>218</v>
      </c>
      <c r="C18" s="34">
        <v>0.85014677527487026</v>
      </c>
      <c r="D18" s="34">
        <v>2.0629471181477493E-3</v>
      </c>
      <c r="E18" s="32">
        <v>1304.1155521450473</v>
      </c>
      <c r="F18" s="32">
        <v>19.492518232373286</v>
      </c>
      <c r="G18" s="36">
        <v>-20.118358538956272</v>
      </c>
      <c r="I18" s="220">
        <v>772</v>
      </c>
      <c r="J18" s="9">
        <f t="shared" ref="J18:J24" si="9">1950-I18</f>
        <v>1178</v>
      </c>
      <c r="K18" s="69">
        <f t="shared" ref="K18:K24" si="10">C18</f>
        <v>0.85014677527487026</v>
      </c>
      <c r="L18" s="2" t="s">
        <v>5</v>
      </c>
      <c r="M18" s="13">
        <f t="shared" ref="M18:M24" si="11">D18</f>
        <v>2.0629471181477493E-3</v>
      </c>
      <c r="N18" s="12">
        <f t="shared" ref="N18:N24" si="12">-8033*LN(K18)</f>
        <v>1304.1275677170058</v>
      </c>
      <c r="O18" s="66" t="s">
        <v>5</v>
      </c>
      <c r="P18" s="12">
        <f t="shared" ref="P18:P24" si="13">M18/K18*8033</f>
        <v>19.492697828234316</v>
      </c>
      <c r="Q18" s="5">
        <f t="shared" ref="Q18:Q24" si="14">G18</f>
        <v>-20.118358538956272</v>
      </c>
      <c r="R18" s="9">
        <f t="shared" ref="R18:R24" si="15">(EXP(J18/8267)*EXP(-N18/8033)-1)*1000</f>
        <v>-19.656259638372475</v>
      </c>
      <c r="S18" s="2" t="s">
        <v>5</v>
      </c>
      <c r="T18" s="14">
        <f t="shared" ref="T18:T24" si="16">P18/8.033</f>
        <v>2.4265775959460125</v>
      </c>
      <c r="U18" s="154">
        <f t="shared" si="8"/>
        <v>234976.1638101268</v>
      </c>
    </row>
    <row r="19" spans="1:21" x14ac:dyDescent="0.2">
      <c r="A19" s="156" t="s">
        <v>475</v>
      </c>
      <c r="B19" s="156" t="s">
        <v>219</v>
      </c>
      <c r="C19" s="34">
        <v>0.84903026596070175</v>
      </c>
      <c r="D19" s="34">
        <v>2.0737390861026305E-3</v>
      </c>
      <c r="E19" s="32">
        <v>1314.672236656176</v>
      </c>
      <c r="F19" s="32">
        <v>19.620257680962613</v>
      </c>
      <c r="G19" s="36">
        <v>-19.038691707435884</v>
      </c>
      <c r="I19" s="220">
        <v>773</v>
      </c>
      <c r="J19" s="9">
        <f t="shared" si="9"/>
        <v>1177</v>
      </c>
      <c r="K19" s="69">
        <f t="shared" si="10"/>
        <v>0.84903026596070175</v>
      </c>
      <c r="L19" s="2" t="s">
        <v>5</v>
      </c>
      <c r="M19" s="13">
        <f t="shared" si="11"/>
        <v>2.0737390861026305E-3</v>
      </c>
      <c r="N19" s="12">
        <f t="shared" si="12"/>
        <v>1314.6843494929835</v>
      </c>
      <c r="O19" s="66" t="s">
        <v>5</v>
      </c>
      <c r="P19" s="12">
        <f t="shared" si="13"/>
        <v>19.620438453761174</v>
      </c>
      <c r="Q19" s="5">
        <f t="shared" si="14"/>
        <v>-19.038691707435884</v>
      </c>
      <c r="R19" s="9">
        <f t="shared" si="15"/>
        <v>-21.062180681174048</v>
      </c>
      <c r="S19" s="2" t="s">
        <v>5</v>
      </c>
      <c r="T19" s="14">
        <f t="shared" si="16"/>
        <v>2.4424795784590034</v>
      </c>
      <c r="U19" s="154">
        <f t="shared" si="8"/>
        <v>232536.84363608281</v>
      </c>
    </row>
    <row r="20" spans="1:21" x14ac:dyDescent="0.2">
      <c r="A20" s="156" t="s">
        <v>476</v>
      </c>
      <c r="B20" s="156" t="s">
        <v>298</v>
      </c>
      <c r="C20" s="34">
        <v>0.85218913398405494</v>
      </c>
      <c r="D20" s="34">
        <v>2.0487860223415513E-3</v>
      </c>
      <c r="E20" s="32">
        <v>1284.840714395209</v>
      </c>
      <c r="F20" s="32">
        <v>19.312316745670369</v>
      </c>
      <c r="G20" s="36">
        <v>-18.820097518470803</v>
      </c>
      <c r="I20" s="220">
        <v>774</v>
      </c>
      <c r="J20" s="9">
        <f t="shared" si="9"/>
        <v>1176</v>
      </c>
      <c r="K20" s="69">
        <f t="shared" si="10"/>
        <v>0.85218913398405494</v>
      </c>
      <c r="L20" s="2" t="s">
        <v>5</v>
      </c>
      <c r="M20" s="13">
        <f t="shared" si="11"/>
        <v>2.0487860223415513E-3</v>
      </c>
      <c r="N20" s="12">
        <f t="shared" si="12"/>
        <v>1284.8525523769229</v>
      </c>
      <c r="O20" s="66" t="s">
        <v>5</v>
      </c>
      <c r="P20" s="12">
        <f t="shared" si="13"/>
        <v>19.312494681230728</v>
      </c>
      <c r="Q20" s="5">
        <f t="shared" si="14"/>
        <v>-18.820097518470803</v>
      </c>
      <c r="R20" s="9">
        <f t="shared" si="15"/>
        <v>-17.538832319601184</v>
      </c>
      <c r="S20" s="2" t="s">
        <v>5</v>
      </c>
      <c r="T20" s="14">
        <f t="shared" si="16"/>
        <v>2.404144738109141</v>
      </c>
      <c r="U20" s="154">
        <f t="shared" si="8"/>
        <v>238235.67431886267</v>
      </c>
    </row>
    <row r="21" spans="1:21" x14ac:dyDescent="0.2">
      <c r="A21" s="156" t="s">
        <v>477</v>
      </c>
      <c r="B21" s="156" t="s">
        <v>299</v>
      </c>
      <c r="C21" s="34">
        <v>0.86133153166438114</v>
      </c>
      <c r="D21" s="34">
        <v>2.0885856321631916E-3</v>
      </c>
      <c r="E21" s="32">
        <v>1199.1214087843312</v>
      </c>
      <c r="F21" s="32">
        <v>19.47850878087262</v>
      </c>
      <c r="G21" s="36">
        <v>-21.459555388108953</v>
      </c>
      <c r="I21" s="220">
        <v>775</v>
      </c>
      <c r="J21" s="9">
        <f t="shared" si="9"/>
        <v>1175</v>
      </c>
      <c r="K21" s="69">
        <f t="shared" si="10"/>
        <v>0.86133153166438114</v>
      </c>
      <c r="L21" s="2" t="s">
        <v>5</v>
      </c>
      <c r="M21" s="13">
        <f t="shared" si="11"/>
        <v>2.0885856321631916E-3</v>
      </c>
      <c r="N21" s="12">
        <f t="shared" si="12"/>
        <v>1199.1324569844317</v>
      </c>
      <c r="O21" s="66" t="s">
        <v>5</v>
      </c>
      <c r="P21" s="12">
        <f t="shared" si="13"/>
        <v>19.478688247656461</v>
      </c>
      <c r="Q21" s="5">
        <f t="shared" si="14"/>
        <v>-21.459555388108953</v>
      </c>
      <c r="R21" s="9">
        <f t="shared" si="15"/>
        <v>-7.1189680389635024</v>
      </c>
      <c r="S21" s="2" t="s">
        <v>5</v>
      </c>
      <c r="T21" s="14">
        <f t="shared" si="16"/>
        <v>2.4248335923884552</v>
      </c>
      <c r="U21" s="154">
        <f t="shared" si="8"/>
        <v>229242.65405557302</v>
      </c>
    </row>
    <row r="22" spans="1:21" x14ac:dyDescent="0.2">
      <c r="A22" s="156" t="s">
        <v>478</v>
      </c>
      <c r="B22" s="156" t="s">
        <v>220</v>
      </c>
      <c r="C22" s="34">
        <v>0.86608665821250641</v>
      </c>
      <c r="D22" s="34">
        <v>2.0679326999335996E-3</v>
      </c>
      <c r="E22" s="32">
        <v>1154.8962450916135</v>
      </c>
      <c r="F22" s="32">
        <v>19.180009493525464</v>
      </c>
      <c r="G22" s="36">
        <v>-17.65109423670652</v>
      </c>
      <c r="I22" s="220">
        <v>776</v>
      </c>
      <c r="J22" s="9">
        <f t="shared" si="9"/>
        <v>1174</v>
      </c>
      <c r="K22" s="69">
        <f t="shared" si="10"/>
        <v>0.86608665821250641</v>
      </c>
      <c r="L22" s="2" t="s">
        <v>5</v>
      </c>
      <c r="M22" s="13">
        <f t="shared" si="11"/>
        <v>2.0679326999335996E-3</v>
      </c>
      <c r="N22" s="12">
        <f t="shared" si="12"/>
        <v>1154.9068858196645</v>
      </c>
      <c r="O22" s="66" t="s">
        <v>5</v>
      </c>
      <c r="P22" s="12">
        <f t="shared" si="13"/>
        <v>19.180186210062473</v>
      </c>
      <c r="Q22" s="5">
        <f t="shared" si="14"/>
        <v>-17.65109423670652</v>
      </c>
      <c r="R22" s="9">
        <f t="shared" si="15"/>
        <v>-1.7583576743446239</v>
      </c>
      <c r="S22" s="2" t="s">
        <v>5</v>
      </c>
      <c r="T22" s="14">
        <f t="shared" si="16"/>
        <v>2.3876741205107028</v>
      </c>
      <c r="U22" s="154">
        <f t="shared" si="8"/>
        <v>233844.52088428216</v>
      </c>
    </row>
    <row r="23" spans="1:21" x14ac:dyDescent="0.2">
      <c r="A23" s="156" t="s">
        <v>479</v>
      </c>
      <c r="B23" s="156" t="s">
        <v>221</v>
      </c>
      <c r="C23" s="34">
        <v>0.86252145218802379</v>
      </c>
      <c r="D23" s="34">
        <v>2.0557438947930479E-3</v>
      </c>
      <c r="E23" s="32">
        <v>1188.0316637704818</v>
      </c>
      <c r="F23" s="32">
        <v>19.145771406918641</v>
      </c>
      <c r="G23" s="36">
        <v>-20.303745455770184</v>
      </c>
      <c r="I23" s="220">
        <v>777</v>
      </c>
      <c r="J23" s="9">
        <f t="shared" si="9"/>
        <v>1173</v>
      </c>
      <c r="K23" s="69">
        <f t="shared" si="10"/>
        <v>0.86252145218802379</v>
      </c>
      <c r="L23" s="2" t="s">
        <v>5</v>
      </c>
      <c r="M23" s="13">
        <f t="shared" si="11"/>
        <v>2.0557438947930479E-3</v>
      </c>
      <c r="N23" s="12">
        <f t="shared" si="12"/>
        <v>1188.0426097943377</v>
      </c>
      <c r="O23" s="66" t="s">
        <v>5</v>
      </c>
      <c r="P23" s="12">
        <f t="shared" si="13"/>
        <v>19.145947808000326</v>
      </c>
      <c r="Q23" s="5">
        <f t="shared" si="14"/>
        <v>-20.303745455770184</v>
      </c>
      <c r="R23" s="9">
        <f t="shared" si="15"/>
        <v>-5.9878194656423078</v>
      </c>
      <c r="S23" s="2" t="s">
        <v>5</v>
      </c>
      <c r="T23" s="14">
        <f t="shared" si="16"/>
        <v>2.383411901904684</v>
      </c>
      <c r="U23" s="154">
        <f t="shared" si="8"/>
        <v>236625.7381204768</v>
      </c>
    </row>
    <row r="24" spans="1:21" x14ac:dyDescent="0.2">
      <c r="A24" s="156" t="s">
        <v>480</v>
      </c>
      <c r="B24" s="156" t="s">
        <v>222</v>
      </c>
      <c r="C24" s="34">
        <v>0.85861561909900252</v>
      </c>
      <c r="D24" s="34">
        <v>2.0318757850759719E-3</v>
      </c>
      <c r="E24" s="32">
        <v>1224.4904938180307</v>
      </c>
      <c r="F24" s="32">
        <v>19.009563109802549</v>
      </c>
      <c r="G24" s="36">
        <v>-17.493691845565596</v>
      </c>
      <c r="I24" s="220">
        <v>778</v>
      </c>
      <c r="J24" s="9">
        <f t="shared" si="9"/>
        <v>1172</v>
      </c>
      <c r="K24" s="69">
        <f t="shared" si="10"/>
        <v>0.85861561909900252</v>
      </c>
      <c r="L24" s="2" t="s">
        <v>5</v>
      </c>
      <c r="M24" s="13">
        <f t="shared" si="11"/>
        <v>2.0318757850759719E-3</v>
      </c>
      <c r="N24" s="12">
        <f t="shared" si="12"/>
        <v>1224.5017757582059</v>
      </c>
      <c r="O24" s="66" t="s">
        <v>5</v>
      </c>
      <c r="P24" s="12">
        <f t="shared" si="13"/>
        <v>19.009738255918297</v>
      </c>
      <c r="Q24" s="5">
        <f t="shared" si="14"/>
        <v>-17.493691845565596</v>
      </c>
      <c r="R24" s="9">
        <f t="shared" si="15"/>
        <v>-10.60878062306314</v>
      </c>
      <c r="S24" s="2" t="s">
        <v>5</v>
      </c>
      <c r="T24" s="14">
        <f t="shared" si="16"/>
        <v>2.3664556524235403</v>
      </c>
      <c r="U24" s="154">
        <f t="shared" si="8"/>
        <v>242217.5966995623</v>
      </c>
    </row>
    <row r="51" spans="9:20" x14ac:dyDescent="0.2">
      <c r="I51" s="1" t="s">
        <v>330</v>
      </c>
    </row>
    <row r="52" spans="9:20" x14ac:dyDescent="0.2">
      <c r="I52" t="s">
        <v>17</v>
      </c>
      <c r="J52" t="s">
        <v>15</v>
      </c>
      <c r="K52" t="s">
        <v>1</v>
      </c>
      <c r="N52" t="s">
        <v>2</v>
      </c>
      <c r="Q52" t="s">
        <v>3</v>
      </c>
      <c r="R52" t="s">
        <v>16</v>
      </c>
    </row>
    <row r="53" spans="9:20" x14ac:dyDescent="0.2">
      <c r="I53">
        <v>770</v>
      </c>
      <c r="J53">
        <v>1180</v>
      </c>
      <c r="K53">
        <v>0.84917124697410407</v>
      </c>
      <c r="L53" t="s">
        <v>5</v>
      </c>
      <c r="M53">
        <v>1.7325388128568528E-3</v>
      </c>
      <c r="N53">
        <v>1313.3505849489804</v>
      </c>
      <c r="O53" t="s">
        <v>5</v>
      </c>
      <c r="P53">
        <v>16.389490733785433</v>
      </c>
      <c r="Q53">
        <v>-15.675743550857991</v>
      </c>
      <c r="R53">
        <v>-20.544259757133034</v>
      </c>
      <c r="S53" t="s">
        <v>5</v>
      </c>
      <c r="T53">
        <v>2.0402702270366531</v>
      </c>
    </row>
    <row r="54" spans="9:20" x14ac:dyDescent="0.2">
      <c r="I54">
        <v>771</v>
      </c>
      <c r="J54">
        <v>1179</v>
      </c>
      <c r="K54">
        <v>0.84993212709934363</v>
      </c>
      <c r="L54" t="s">
        <v>5</v>
      </c>
      <c r="M54">
        <v>1.7953736988718921E-3</v>
      </c>
      <c r="N54">
        <v>1306.1560251030244</v>
      </c>
      <c r="O54" t="s">
        <v>5</v>
      </c>
      <c r="P54">
        <v>16.968692514610851</v>
      </c>
      <c r="Q54">
        <v>-15.960078289926294</v>
      </c>
      <c r="R54">
        <v>-19.7852180043209</v>
      </c>
      <c r="S54" t="s">
        <v>5</v>
      </c>
      <c r="T54">
        <v>2.1123730255957738</v>
      </c>
    </row>
    <row r="55" spans="9:20" x14ac:dyDescent="0.2">
      <c r="I55" s="284">
        <v>772</v>
      </c>
      <c r="J55" s="284">
        <v>1178</v>
      </c>
      <c r="K55" s="284">
        <f t="shared" ref="K55:K61" si="17">(U7*K7+U18*K18)/(U7+U18)</f>
        <v>0.84882811147915149</v>
      </c>
      <c r="L55" s="284" t="s">
        <v>5</v>
      </c>
      <c r="M55" s="284">
        <f>1/SQRT(U7+U18)</f>
        <v>1.3172756141347057E-3</v>
      </c>
      <c r="N55" s="288">
        <f>-8033*LN(K55)</f>
        <v>1316.5972380819783</v>
      </c>
      <c r="O55" s="292" t="s">
        <v>5</v>
      </c>
      <c r="P55" s="288">
        <f>M55/K55*8033</f>
        <v>12.466216499244668</v>
      </c>
      <c r="Q55" s="292">
        <f>(Q7*U7+Q18*U18)/(U7+U18)</f>
        <v>-18.81716003667292</v>
      </c>
      <c r="R55" s="289">
        <f>(EXP(J55/8267)*EXP(-N55/8033)-1)*1000</f>
        <v>-21.176872120089453</v>
      </c>
      <c r="S55" s="292" t="s">
        <v>5</v>
      </c>
      <c r="T55" s="289">
        <f>P55/8.033</f>
        <v>1.5518755756560025</v>
      </c>
    </row>
    <row r="56" spans="9:20" x14ac:dyDescent="0.2">
      <c r="I56" s="284">
        <v>773</v>
      </c>
      <c r="J56" s="284">
        <v>1177</v>
      </c>
      <c r="K56" s="284">
        <f t="shared" si="17"/>
        <v>0.84899061678255749</v>
      </c>
      <c r="L56" s="284" t="s">
        <v>5</v>
      </c>
      <c r="M56" s="284">
        <f t="shared" ref="M56:M61" si="18">1/SQRT(U8+U19)</f>
        <v>1.3142331239873824E-3</v>
      </c>
      <c r="N56" s="288">
        <f t="shared" ref="N56:N61" si="19">-8033*LN(K56)</f>
        <v>1315.0594942881125</v>
      </c>
      <c r="O56" s="284" t="s">
        <v>5</v>
      </c>
      <c r="P56" s="288">
        <f t="shared" ref="P56:P61" si="20">M56/K56*8033</f>
        <v>12.435042833570622</v>
      </c>
      <c r="Q56" s="292">
        <f t="shared" ref="Q56:Q61" si="21">(Q8*U8+Q19*U19)/(U8+U19)</f>
        <v>-17.100445230362713</v>
      </c>
      <c r="R56" s="289">
        <f t="shared" ref="R56:R61" si="22">(EXP(J56/8267)*EXP(-N56/8033)-1)*1000</f>
        <v>-21.107896460159203</v>
      </c>
      <c r="S56" s="284" t="s">
        <v>5</v>
      </c>
      <c r="T56" s="289">
        <f t="shared" ref="T56:T61" si="23">P56/8.033</f>
        <v>1.5479948753355686</v>
      </c>
    </row>
    <row r="57" spans="9:20" x14ac:dyDescent="0.2">
      <c r="I57" s="284">
        <v>774</v>
      </c>
      <c r="J57" s="284">
        <v>1176</v>
      </c>
      <c r="K57" s="284">
        <f t="shared" si="17"/>
        <v>0.85238042347996446</v>
      </c>
      <c r="L57" s="284" t="s">
        <v>5</v>
      </c>
      <c r="M57" s="284">
        <f t="shared" si="18"/>
        <v>1.3136519094295342E-3</v>
      </c>
      <c r="N57" s="288">
        <f t="shared" si="19"/>
        <v>1283.0496003995593</v>
      </c>
      <c r="O57" s="284" t="s">
        <v>5</v>
      </c>
      <c r="P57" s="288">
        <f t="shared" si="20"/>
        <v>12.380112796778105</v>
      </c>
      <c r="Q57" s="292">
        <f t="shared" si="21"/>
        <v>-17.214834343398646</v>
      </c>
      <c r="R57" s="289">
        <f t="shared" si="22"/>
        <v>-17.318300874148875</v>
      </c>
      <c r="S57" s="284" t="s">
        <v>5</v>
      </c>
      <c r="T57" s="289">
        <f t="shared" si="23"/>
        <v>1.5411568276830705</v>
      </c>
    </row>
    <row r="58" spans="9:20" x14ac:dyDescent="0.2">
      <c r="I58" s="284">
        <v>775</v>
      </c>
      <c r="J58" s="284">
        <v>1175</v>
      </c>
      <c r="K58" s="284">
        <f t="shared" si="17"/>
        <v>0.86042383845283732</v>
      </c>
      <c r="L58" s="284" t="s">
        <v>5</v>
      </c>
      <c r="M58" s="284">
        <f t="shared" si="18"/>
        <v>1.3334554237921811E-3</v>
      </c>
      <c r="N58" s="288">
        <f t="shared" si="19"/>
        <v>1207.6023016213544</v>
      </c>
      <c r="O58" s="284" t="s">
        <v>5</v>
      </c>
      <c r="P58" s="288">
        <f t="shared" si="20"/>
        <v>12.449268535590127</v>
      </c>
      <c r="Q58" s="292">
        <f t="shared" si="21"/>
        <v>-19.167919550648772</v>
      </c>
      <c r="R58" s="289">
        <f t="shared" si="22"/>
        <v>-8.1652914805774301</v>
      </c>
      <c r="S58" s="284" t="s">
        <v>5</v>
      </c>
      <c r="T58" s="289">
        <f t="shared" si="23"/>
        <v>1.5497657830935052</v>
      </c>
    </row>
    <row r="59" spans="9:20" x14ac:dyDescent="0.2">
      <c r="I59" s="284">
        <v>776</v>
      </c>
      <c r="J59" s="284">
        <v>1174</v>
      </c>
      <c r="K59" s="284">
        <f t="shared" si="17"/>
        <v>0.86485669498406048</v>
      </c>
      <c r="L59" s="284" t="s">
        <v>5</v>
      </c>
      <c r="M59" s="284">
        <f t="shared" si="18"/>
        <v>1.3244747187892024E-3</v>
      </c>
      <c r="N59" s="288">
        <f t="shared" si="19"/>
        <v>1166.3229685687209</v>
      </c>
      <c r="O59" s="284" t="s">
        <v>5</v>
      </c>
      <c r="P59" s="288">
        <f t="shared" si="20"/>
        <v>12.302044347624262</v>
      </c>
      <c r="Q59" s="292">
        <f t="shared" si="21"/>
        <v>-17.580039468910616</v>
      </c>
      <c r="R59" s="289">
        <f t="shared" si="22"/>
        <v>-3.1759993173853251</v>
      </c>
      <c r="S59" s="284" t="s">
        <v>5</v>
      </c>
      <c r="T59" s="289">
        <f t="shared" si="23"/>
        <v>1.5314383602171371</v>
      </c>
    </row>
    <row r="60" spans="9:20" x14ac:dyDescent="0.2">
      <c r="I60" s="284">
        <v>777</v>
      </c>
      <c r="J60" s="284">
        <v>1173</v>
      </c>
      <c r="K60" s="284">
        <f t="shared" si="17"/>
        <v>0.8620000435174946</v>
      </c>
      <c r="L60" s="284" t="s">
        <v>5</v>
      </c>
      <c r="M60" s="284">
        <f t="shared" si="18"/>
        <v>1.322606904456093E-3</v>
      </c>
      <c r="N60" s="288">
        <f t="shared" si="19"/>
        <v>1192.9001612814277</v>
      </c>
      <c r="O60" s="284" t="s">
        <v>5</v>
      </c>
      <c r="P60" s="288">
        <f t="shared" si="20"/>
        <v>12.325406876015045</v>
      </c>
      <c r="Q60" s="292">
        <f t="shared" si="21"/>
        <v>-19.055257434757245</v>
      </c>
      <c r="R60" s="289">
        <f t="shared" si="22"/>
        <v>-6.5887164847570068</v>
      </c>
      <c r="S60" s="284" t="s">
        <v>5</v>
      </c>
      <c r="T60" s="289">
        <f t="shared" si="23"/>
        <v>1.5343466794491529</v>
      </c>
    </row>
    <row r="61" spans="9:20" x14ac:dyDescent="0.2">
      <c r="I61" s="284">
        <v>778</v>
      </c>
      <c r="J61" s="284">
        <v>1172</v>
      </c>
      <c r="K61" s="284">
        <f t="shared" si="17"/>
        <v>0.85951618867764534</v>
      </c>
      <c r="L61" s="284" t="s">
        <v>5</v>
      </c>
      <c r="M61" s="284">
        <f t="shared" si="18"/>
        <v>1.3468147963654016E-3</v>
      </c>
      <c r="N61" s="288">
        <f t="shared" si="19"/>
        <v>1216.0806801763554</v>
      </c>
      <c r="O61" s="284" t="s">
        <v>5</v>
      </c>
      <c r="P61" s="288">
        <f t="shared" si="20"/>
        <v>12.587271073798048</v>
      </c>
      <c r="Q61" s="292">
        <f t="shared" si="21"/>
        <v>-18.176630995861842</v>
      </c>
      <c r="R61" s="289">
        <f t="shared" si="22"/>
        <v>-9.571045443633075</v>
      </c>
      <c r="S61" s="284" t="s">
        <v>5</v>
      </c>
      <c r="T61" s="289">
        <f t="shared" si="23"/>
        <v>1.5669452351298454</v>
      </c>
    </row>
    <row r="62" spans="9:20" x14ac:dyDescent="0.2">
      <c r="I62">
        <v>779</v>
      </c>
      <c r="J62">
        <v>1171</v>
      </c>
      <c r="K62">
        <v>0.86217821899353153</v>
      </c>
      <c r="L62" t="s">
        <v>5</v>
      </c>
      <c r="M62">
        <v>1.7770471877968006E-3</v>
      </c>
      <c r="N62">
        <v>1191.2399111376692</v>
      </c>
      <c r="O62" t="s">
        <v>5</v>
      </c>
      <c r="P62">
        <v>16.556924943239373</v>
      </c>
      <c r="Q62">
        <v>-18.308251574267299</v>
      </c>
      <c r="R62">
        <v>-6.623730645666015</v>
      </c>
      <c r="S62" t="s">
        <v>5</v>
      </c>
      <c r="T62">
        <v>2.0611135246158812</v>
      </c>
    </row>
    <row r="63" spans="9:20" x14ac:dyDescent="0.2">
      <c r="I63">
        <v>780</v>
      </c>
      <c r="J63">
        <v>1170</v>
      </c>
      <c r="K63">
        <v>0.86187601202270647</v>
      </c>
      <c r="L63" t="s">
        <v>5</v>
      </c>
      <c r="M63">
        <v>1.7642456055522024E-3</v>
      </c>
      <c r="N63">
        <v>1194.0560970532022</v>
      </c>
      <c r="O63" t="s">
        <v>5</v>
      </c>
      <c r="P63">
        <v>16.443415005994467</v>
      </c>
      <c r="Q63">
        <v>-19.17498758361258</v>
      </c>
      <c r="R63">
        <v>-7.092036843939109</v>
      </c>
      <c r="S63" t="s">
        <v>5</v>
      </c>
      <c r="T63">
        <v>2.0469830705831531</v>
      </c>
    </row>
  </sheetData>
  <mergeCells count="3">
    <mergeCell ref="K4:M4"/>
    <mergeCell ref="N4:P4"/>
    <mergeCell ref="R4:T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D1" workbookViewId="0">
      <selection activeCell="I5" sqref="I5:I15"/>
    </sheetView>
  </sheetViews>
  <sheetFormatPr baseColWidth="10" defaultColWidth="9" defaultRowHeight="16" x14ac:dyDescent="0.2"/>
  <sheetData>
    <row r="1" spans="1:23" s="251" customFormat="1" ht="15" x14ac:dyDescent="0.2">
      <c r="F1" s="252"/>
      <c r="G1" s="252"/>
    </row>
    <row r="2" spans="1:23" s="253" customFormat="1" ht="15" x14ac:dyDescent="0.2">
      <c r="R2" s="254"/>
      <c r="S2" s="254"/>
    </row>
    <row r="4" spans="1:23" s="60" customFormat="1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49" t="s">
        <v>17</v>
      </c>
      <c r="J4" s="250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49" t="s">
        <v>3</v>
      </c>
      <c r="R4" s="346" t="s">
        <v>16</v>
      </c>
      <c r="S4" s="345"/>
      <c r="T4" s="345"/>
    </row>
    <row r="5" spans="1:23" s="154" customFormat="1" x14ac:dyDescent="0.2">
      <c r="A5" s="156" t="s">
        <v>513</v>
      </c>
      <c r="B5" s="156" t="s">
        <v>216</v>
      </c>
      <c r="C5" s="34">
        <v>0.84819046715005419</v>
      </c>
      <c r="D5" s="34">
        <v>1.1491205090978652E-3</v>
      </c>
      <c r="E5" s="32">
        <v>1322.621753309716</v>
      </c>
      <c r="F5" s="32">
        <v>10.882932971283916</v>
      </c>
      <c r="G5" s="36">
        <v>-21.375611182508191</v>
      </c>
      <c r="I5" s="220">
        <v>770</v>
      </c>
      <c r="J5" s="9">
        <f>1950-I5</f>
        <v>1180</v>
      </c>
      <c r="K5" s="34">
        <v>0.84827831791256658</v>
      </c>
      <c r="L5" s="2" t="s">
        <v>5</v>
      </c>
      <c r="M5" s="34">
        <v>9.2490403010682095E-4</v>
      </c>
      <c r="N5" s="12">
        <f>-8033*LN(K5)</f>
        <v>1321.8019698517621</v>
      </c>
      <c r="O5" s="66" t="s">
        <v>5</v>
      </c>
      <c r="P5" s="12">
        <f>M5/K5*8033</f>
        <v>8.7586278193826121</v>
      </c>
      <c r="Q5" s="5">
        <f>G5</f>
        <v>-21.375611182508191</v>
      </c>
      <c r="R5" s="9">
        <f>(EXP(J5/8267)*EXP(-N5/8033)-1)*1000</f>
        <v>-21.574186874977698</v>
      </c>
      <c r="S5" s="2" t="s">
        <v>5</v>
      </c>
      <c r="T5" s="14">
        <f>P5/8.033</f>
        <v>1.0903308626145416</v>
      </c>
      <c r="V5" s="220">
        <f>R5-T5</f>
        <v>-22.664517737592242</v>
      </c>
      <c r="W5" s="220">
        <f>R5+T5</f>
        <v>-20.483856012363155</v>
      </c>
    </row>
    <row r="6" spans="1:23" s="154" customFormat="1" x14ac:dyDescent="0.2">
      <c r="A6" s="156" t="s">
        <v>514</v>
      </c>
      <c r="B6" s="156" t="s">
        <v>217</v>
      </c>
      <c r="C6" s="34">
        <v>0.85043395017526824</v>
      </c>
      <c r="D6" s="34">
        <v>1.1698396359664999E-3</v>
      </c>
      <c r="E6" s="32">
        <v>1301.4025321655629</v>
      </c>
      <c r="F6" s="32">
        <v>11.049929523169972</v>
      </c>
      <c r="G6" s="36">
        <v>-21.053799068126988</v>
      </c>
      <c r="I6" s="220">
        <v>771</v>
      </c>
      <c r="J6" s="9">
        <f t="shared" ref="J6:J15" si="0">1950-I6</f>
        <v>1179</v>
      </c>
      <c r="K6" s="34">
        <v>0.85068201298265811</v>
      </c>
      <c r="L6" s="2" t="s">
        <v>5</v>
      </c>
      <c r="M6" s="34">
        <v>9.314596938970616E-4</v>
      </c>
      <c r="N6" s="12">
        <f t="shared" ref="N6:N15" si="1">-8033*LN(K6)</f>
        <v>1299.0717212046768</v>
      </c>
      <c r="O6" s="66" t="s">
        <v>5</v>
      </c>
      <c r="P6" s="12">
        <f>M6/K6*8033</f>
        <v>8.7957845668327668</v>
      </c>
      <c r="Q6" s="5">
        <f>G6</f>
        <v>-21.053799068126988</v>
      </c>
      <c r="R6" s="9">
        <f>(EXP(J6/8267)*EXP(-N6/8033)-1)*1000</f>
        <v>-18.920385149792441</v>
      </c>
      <c r="S6" s="2" t="s">
        <v>5</v>
      </c>
      <c r="T6" s="14">
        <f>P6/8.033</f>
        <v>1.0949563758039047</v>
      </c>
      <c r="V6" s="220">
        <f t="shared" ref="V6:V15" si="2">R6-T6</f>
        <v>-20.015341525596344</v>
      </c>
      <c r="W6" s="220">
        <f t="shared" ref="W6:W15" si="3">R6+T6</f>
        <v>-17.825428773988538</v>
      </c>
    </row>
    <row r="7" spans="1:23" x14ac:dyDescent="0.2">
      <c r="A7" s="156" t="s">
        <v>515</v>
      </c>
      <c r="B7" s="156" t="s">
        <v>218</v>
      </c>
      <c r="C7" s="34">
        <v>0.84905542152347036</v>
      </c>
      <c r="D7" s="34">
        <v>1.1776406431337361E-3</v>
      </c>
      <c r="E7" s="32">
        <v>1314.4342359764569</v>
      </c>
      <c r="F7" s="32">
        <v>11.141675663268259</v>
      </c>
      <c r="G7" s="36">
        <v>-21.15619045059114</v>
      </c>
      <c r="I7" s="220">
        <v>772</v>
      </c>
      <c r="J7" s="9">
        <f t="shared" si="0"/>
        <v>1178</v>
      </c>
      <c r="K7" s="34">
        <v>0.84733725861839693</v>
      </c>
      <c r="L7" s="2" t="s">
        <v>5</v>
      </c>
      <c r="M7" s="34">
        <v>9.3708324921214334E-4</v>
      </c>
      <c r="N7" s="12">
        <f t="shared" si="1"/>
        <v>1330.7185311181945</v>
      </c>
      <c r="O7" s="66" t="s">
        <v>5</v>
      </c>
      <c r="P7" s="12">
        <f t="shared" ref="P7:P15" si="4">M7/K7*8033</f>
        <v>8.883817705827143</v>
      </c>
      <c r="Q7" s="5">
        <f t="shared" ref="Q7:Q15" si="5">G7</f>
        <v>-21.15619045059114</v>
      </c>
      <c r="R7" s="9">
        <f t="shared" ref="R7:R15" si="6">(EXP(J7/8267)*EXP(-N7/8033)-1)*1000</f>
        <v>-22.896043811787557</v>
      </c>
      <c r="S7" s="2" t="s">
        <v>5</v>
      </c>
      <c r="T7" s="14">
        <f t="shared" ref="T7:T15" si="7">P7/8.033</f>
        <v>1.1059153125640662</v>
      </c>
      <c r="V7" s="220">
        <f t="shared" si="2"/>
        <v>-24.001959124351622</v>
      </c>
      <c r="W7" s="220">
        <f t="shared" si="3"/>
        <v>-21.790128499223492</v>
      </c>
    </row>
    <row r="8" spans="1:23" x14ac:dyDescent="0.2">
      <c r="A8" s="156" t="s">
        <v>516</v>
      </c>
      <c r="B8" s="156" t="s">
        <v>219</v>
      </c>
      <c r="C8" s="34">
        <v>0.84899446951649427</v>
      </c>
      <c r="D8" s="34">
        <v>1.1492005213922167E-3</v>
      </c>
      <c r="E8" s="32">
        <v>1315.0109245221265</v>
      </c>
      <c r="F8" s="32">
        <v>10.873383826601403</v>
      </c>
      <c r="G8" s="36">
        <v>-20.478647949932373</v>
      </c>
      <c r="I8" s="220">
        <v>773</v>
      </c>
      <c r="J8" s="9">
        <f t="shared" si="0"/>
        <v>1177</v>
      </c>
      <c r="K8" s="34">
        <v>0.84877578655450525</v>
      </c>
      <c r="L8" s="2" t="s">
        <v>5</v>
      </c>
      <c r="M8" s="34">
        <v>9.1685726919083421E-4</v>
      </c>
      <c r="N8" s="12">
        <f t="shared" si="1"/>
        <v>1317.0924373688122</v>
      </c>
      <c r="O8" s="66" t="s">
        <v>5</v>
      </c>
      <c r="P8" s="12">
        <f t="shared" si="4"/>
        <v>8.6773380674626619</v>
      </c>
      <c r="Q8" s="5">
        <f t="shared" si="5"/>
        <v>-20.478647949932373</v>
      </c>
      <c r="R8" s="9">
        <f t="shared" si="6"/>
        <v>-21.355597211716315</v>
      </c>
      <c r="S8" s="2" t="s">
        <v>5</v>
      </c>
      <c r="T8" s="14">
        <f t="shared" si="7"/>
        <v>1.0802113864636702</v>
      </c>
      <c r="V8" s="220">
        <f t="shared" si="2"/>
        <v>-22.435808598179985</v>
      </c>
      <c r="W8" s="220">
        <f t="shared" si="3"/>
        <v>-20.275385825252645</v>
      </c>
    </row>
    <row r="9" spans="1:23" x14ac:dyDescent="0.2">
      <c r="A9" s="156" t="s">
        <v>517</v>
      </c>
      <c r="B9" s="156" t="s">
        <v>298</v>
      </c>
      <c r="C9" s="34">
        <v>0.85181653923142941</v>
      </c>
      <c r="D9" s="34">
        <v>1.1892626154760006E-3</v>
      </c>
      <c r="E9" s="32">
        <v>1288.353644153724</v>
      </c>
      <c r="F9" s="32">
        <v>11.215159756153195</v>
      </c>
      <c r="G9" s="36">
        <v>-21.608518701384803</v>
      </c>
      <c r="I9" s="220">
        <v>774</v>
      </c>
      <c r="J9" s="9">
        <f t="shared" si="0"/>
        <v>1176</v>
      </c>
      <c r="K9" s="34">
        <v>0.85136421203852763</v>
      </c>
      <c r="L9" s="2" t="s">
        <v>5</v>
      </c>
      <c r="M9" s="34">
        <v>9.4558120139798523E-4</v>
      </c>
      <c r="N9" s="12">
        <f t="shared" si="1"/>
        <v>1292.6322893858489</v>
      </c>
      <c r="O9" s="66" t="s">
        <v>5</v>
      </c>
      <c r="P9" s="12">
        <f t="shared" si="4"/>
        <v>8.9219791992927604</v>
      </c>
      <c r="Q9" s="5">
        <f t="shared" si="5"/>
        <v>-21.608518701384803</v>
      </c>
      <c r="R9" s="9">
        <f t="shared" si="6"/>
        <v>-18.489858031533245</v>
      </c>
      <c r="S9" s="2" t="s">
        <v>5</v>
      </c>
      <c r="T9" s="14">
        <f t="shared" si="7"/>
        <v>1.1106659030614665</v>
      </c>
      <c r="V9" s="220">
        <f t="shared" si="2"/>
        <v>-19.600523934594712</v>
      </c>
      <c r="W9" s="220">
        <f t="shared" si="3"/>
        <v>-17.379192128471779</v>
      </c>
    </row>
    <row r="10" spans="1:23" x14ac:dyDescent="0.2">
      <c r="A10" s="156" t="s">
        <v>518</v>
      </c>
      <c r="B10" s="156" t="s">
        <v>299</v>
      </c>
      <c r="C10" s="34">
        <v>0.85767673299696945</v>
      </c>
      <c r="D10" s="34">
        <v>1.1651624544114225E-3</v>
      </c>
      <c r="E10" s="32">
        <v>1233.279210159875</v>
      </c>
      <c r="F10" s="32">
        <v>10.91281061989174</v>
      </c>
      <c r="G10" s="36">
        <v>-22.178875904147468</v>
      </c>
      <c r="I10" s="220">
        <v>775</v>
      </c>
      <c r="J10" s="9">
        <f t="shared" si="0"/>
        <v>1175</v>
      </c>
      <c r="K10" s="34">
        <v>0.85747396615262261</v>
      </c>
      <c r="L10" s="2" t="s">
        <v>5</v>
      </c>
      <c r="M10" s="34">
        <v>9.2871395409043433E-4</v>
      </c>
      <c r="N10" s="12">
        <f t="shared" si="1"/>
        <v>1235.1899117972889</v>
      </c>
      <c r="O10" s="66" t="s">
        <v>5</v>
      </c>
      <c r="P10" s="12">
        <f t="shared" si="4"/>
        <v>8.7003914843994021</v>
      </c>
      <c r="Q10" s="5">
        <f t="shared" si="5"/>
        <v>-22.178875904147468</v>
      </c>
      <c r="R10" s="9">
        <f t="shared" si="6"/>
        <v>-11.565692076537125</v>
      </c>
      <c r="S10" s="2" t="s">
        <v>5</v>
      </c>
      <c r="T10" s="14">
        <f t="shared" si="7"/>
        <v>1.0830812254947595</v>
      </c>
      <c r="V10" s="220">
        <f t="shared" si="2"/>
        <v>-12.648773302031884</v>
      </c>
      <c r="W10" s="220">
        <f t="shared" si="3"/>
        <v>-10.482610851042367</v>
      </c>
    </row>
    <row r="11" spans="1:23" x14ac:dyDescent="0.2">
      <c r="A11" s="156" t="s">
        <v>519</v>
      </c>
      <c r="B11" s="156" t="s">
        <v>220</v>
      </c>
      <c r="C11" s="34">
        <v>0.86093121321695798</v>
      </c>
      <c r="D11" s="34">
        <v>1.1698482107963815E-3</v>
      </c>
      <c r="E11" s="32">
        <v>1202.8557153264092</v>
      </c>
      <c r="F11" s="32">
        <v>10.915278654385828</v>
      </c>
      <c r="G11" s="36">
        <v>-22.00987205936611</v>
      </c>
      <c r="I11" s="220">
        <v>776</v>
      </c>
      <c r="J11" s="9">
        <f t="shared" si="0"/>
        <v>1174</v>
      </c>
      <c r="K11" s="34">
        <v>0.86139011078519456</v>
      </c>
      <c r="L11" s="2" t="s">
        <v>5</v>
      </c>
      <c r="M11" s="34">
        <v>9.3354446489598913E-4</v>
      </c>
      <c r="N11" s="12">
        <f t="shared" si="1"/>
        <v>1198.5861515731797</v>
      </c>
      <c r="O11" s="66" t="s">
        <v>5</v>
      </c>
      <c r="P11" s="12">
        <f t="shared" si="4"/>
        <v>8.705884352066299</v>
      </c>
      <c r="Q11" s="5">
        <f t="shared" si="5"/>
        <v>-22.00987205936611</v>
      </c>
      <c r="R11" s="9">
        <f t="shared" si="6"/>
        <v>-7.171544879856051</v>
      </c>
      <c r="S11" s="2" t="s">
        <v>5</v>
      </c>
      <c r="T11" s="14">
        <f t="shared" si="7"/>
        <v>1.0837650133283081</v>
      </c>
      <c r="V11" s="220">
        <f t="shared" si="2"/>
        <v>-8.2553098931843589</v>
      </c>
      <c r="W11" s="220">
        <f t="shared" si="3"/>
        <v>-6.0877798665277432</v>
      </c>
    </row>
    <row r="12" spans="1:23" x14ac:dyDescent="0.2">
      <c r="A12" s="156" t="s">
        <v>520</v>
      </c>
      <c r="B12" s="156" t="s">
        <v>221</v>
      </c>
      <c r="C12" s="34">
        <v>0.86263319344157741</v>
      </c>
      <c r="D12" s="34">
        <v>1.1937425861038309E-3</v>
      </c>
      <c r="E12" s="32">
        <v>1186.9910507180441</v>
      </c>
      <c r="F12" s="32">
        <v>11.116249543607703</v>
      </c>
      <c r="G12" s="36">
        <v>-23.781923199098998</v>
      </c>
      <c r="I12" s="220">
        <v>777</v>
      </c>
      <c r="J12" s="9">
        <f t="shared" si="0"/>
        <v>1173</v>
      </c>
      <c r="K12" s="34">
        <v>0.8616517310644205</v>
      </c>
      <c r="L12" s="2" t="s">
        <v>5</v>
      </c>
      <c r="M12" s="34">
        <v>9.5108649195714697E-4</v>
      </c>
      <c r="N12" s="12">
        <f t="shared" si="1"/>
        <v>1196.1467497337953</v>
      </c>
      <c r="O12" s="66" t="s">
        <v>5</v>
      </c>
      <c r="P12" s="12">
        <f t="shared" si="4"/>
        <v>8.8667816873689524</v>
      </c>
      <c r="Q12" s="5">
        <f t="shared" si="5"/>
        <v>-23.781923199098998</v>
      </c>
      <c r="R12" s="9">
        <f t="shared" si="6"/>
        <v>-6.9901289019312918</v>
      </c>
      <c r="S12" s="2" t="s">
        <v>5</v>
      </c>
      <c r="T12" s="14">
        <f t="shared" si="7"/>
        <v>1.1037945583678517</v>
      </c>
      <c r="V12" s="220">
        <f t="shared" si="2"/>
        <v>-8.093923460299143</v>
      </c>
      <c r="W12" s="220">
        <f t="shared" si="3"/>
        <v>-5.8863343435634405</v>
      </c>
    </row>
    <row r="13" spans="1:23" x14ac:dyDescent="0.2">
      <c r="A13" s="156" t="s">
        <v>521</v>
      </c>
      <c r="B13" s="156" t="s">
        <v>222</v>
      </c>
      <c r="C13" s="34">
        <v>0.86468910715988645</v>
      </c>
      <c r="D13" s="34">
        <v>1.1662493687203469E-3</v>
      </c>
      <c r="E13" s="32">
        <v>1167.8689557508062</v>
      </c>
      <c r="F13" s="32">
        <v>10.834408326540874</v>
      </c>
      <c r="G13" s="36">
        <v>-21.654150510978852</v>
      </c>
      <c r="I13" s="220">
        <v>778</v>
      </c>
      <c r="J13" s="9">
        <f t="shared" si="0"/>
        <v>1172</v>
      </c>
      <c r="K13" s="34">
        <v>0.86435099437647545</v>
      </c>
      <c r="L13" s="2" t="s">
        <v>5</v>
      </c>
      <c r="M13" s="34">
        <v>9.3143488097192396E-4</v>
      </c>
      <c r="N13" s="12">
        <f t="shared" si="1"/>
        <v>1171.0214129736751</v>
      </c>
      <c r="O13" s="66" t="s">
        <v>5</v>
      </c>
      <c r="P13" s="12">
        <f t="shared" si="4"/>
        <v>8.656456054921275</v>
      </c>
      <c r="Q13" s="5">
        <f t="shared" si="5"/>
        <v>-21.654150510978852</v>
      </c>
      <c r="R13" s="9">
        <f t="shared" si="6"/>
        <v>-3.9998513034242844</v>
      </c>
      <c r="S13" s="2" t="s">
        <v>5</v>
      </c>
      <c r="T13" s="14">
        <f t="shared" si="7"/>
        <v>1.0776118579511111</v>
      </c>
      <c r="V13" s="220">
        <f t="shared" si="2"/>
        <v>-5.0774631613753956</v>
      </c>
      <c r="W13" s="220">
        <f t="shared" si="3"/>
        <v>-2.9222394454731733</v>
      </c>
    </row>
    <row r="14" spans="1:23" x14ac:dyDescent="0.2">
      <c r="A14" s="156" t="s">
        <v>522</v>
      </c>
      <c r="B14" s="156" t="s">
        <v>223</v>
      </c>
      <c r="C14" s="34">
        <v>0.8629616506232326</v>
      </c>
      <c r="D14" s="34">
        <v>1.1724388578378561E-3</v>
      </c>
      <c r="E14" s="32">
        <v>1183.9330069699381</v>
      </c>
      <c r="F14" s="32">
        <v>10.913711592705159</v>
      </c>
      <c r="G14" s="36">
        <v>-21.358020107815069</v>
      </c>
      <c r="I14" s="220">
        <v>779</v>
      </c>
      <c r="J14" s="9">
        <f t="shared" si="0"/>
        <v>1171</v>
      </c>
      <c r="K14" s="34">
        <v>0.86283239220968577</v>
      </c>
      <c r="L14" s="2" t="s">
        <v>5</v>
      </c>
      <c r="M14" s="34">
        <v>9.3442400597795554E-4</v>
      </c>
      <c r="N14" s="12">
        <f t="shared" si="1"/>
        <v>1185.1472254890691</v>
      </c>
      <c r="O14" s="66" t="s">
        <v>5</v>
      </c>
      <c r="P14" s="12">
        <f t="shared" si="4"/>
        <v>8.6995204489225415</v>
      </c>
      <c r="Q14" s="5">
        <f t="shared" si="5"/>
        <v>-21.358020107815069</v>
      </c>
      <c r="R14" s="9">
        <f t="shared" si="6"/>
        <v>-5.8700115947099007</v>
      </c>
      <c r="S14" s="2" t="s">
        <v>5</v>
      </c>
      <c r="T14" s="14">
        <f t="shared" si="7"/>
        <v>1.0829727933427788</v>
      </c>
      <c r="V14" s="220">
        <f t="shared" si="2"/>
        <v>-6.9529843880526796</v>
      </c>
      <c r="W14" s="220">
        <f t="shared" si="3"/>
        <v>-4.7870388013671219</v>
      </c>
    </row>
    <row r="15" spans="1:23" x14ac:dyDescent="0.2">
      <c r="A15" s="156" t="s">
        <v>523</v>
      </c>
      <c r="B15" s="156" t="s">
        <v>224</v>
      </c>
      <c r="C15" s="34">
        <v>0.86262050477785923</v>
      </c>
      <c r="D15" s="34">
        <v>1.1710090100100997E-3</v>
      </c>
      <c r="E15" s="32">
        <v>1187.1092096840464</v>
      </c>
      <c r="F15" s="32">
        <v>10.904712624602709</v>
      </c>
      <c r="G15" s="36">
        <v>-22.189388812614229</v>
      </c>
      <c r="I15" s="220">
        <v>780</v>
      </c>
      <c r="J15" s="9">
        <f t="shared" si="0"/>
        <v>1170</v>
      </c>
      <c r="K15" s="34">
        <v>0.86258821232005101</v>
      </c>
      <c r="L15" s="2" t="s">
        <v>5</v>
      </c>
      <c r="M15" s="34">
        <v>9.335443147503701E-4</v>
      </c>
      <c r="N15" s="12">
        <f t="shared" si="1"/>
        <v>1187.4208706065335</v>
      </c>
      <c r="O15" s="66" t="s">
        <v>5</v>
      </c>
      <c r="P15" s="12">
        <f t="shared" si="4"/>
        <v>8.6937908184714061</v>
      </c>
      <c r="Q15" s="5">
        <f t="shared" si="5"/>
        <v>-22.189388812614229</v>
      </c>
      <c r="R15" s="9">
        <f t="shared" si="6"/>
        <v>-6.2715599577848335</v>
      </c>
      <c r="S15" s="2" t="s">
        <v>5</v>
      </c>
      <c r="T15" s="14">
        <f t="shared" si="7"/>
        <v>1.0822595317404964</v>
      </c>
      <c r="V15" s="220">
        <f t="shared" si="2"/>
        <v>-7.3538194895253302</v>
      </c>
      <c r="W15" s="220">
        <f t="shared" si="3"/>
        <v>-5.1893004260443369</v>
      </c>
    </row>
    <row r="16" spans="1:23" x14ac:dyDescent="0.2">
      <c r="L16" s="2"/>
    </row>
  </sheetData>
  <mergeCells count="3">
    <mergeCell ref="K4:M4"/>
    <mergeCell ref="N4:P4"/>
    <mergeCell ref="R4:T4"/>
  </mergeCell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I5" sqref="I5:I15"/>
    </sheetView>
  </sheetViews>
  <sheetFormatPr baseColWidth="10" defaultColWidth="9" defaultRowHeight="16" x14ac:dyDescent="0.2"/>
  <cols>
    <col min="1" max="1" width="9.6640625" bestFit="1" customWidth="1"/>
  </cols>
  <sheetData>
    <row r="1" spans="1:23" s="251" customFormat="1" ht="15" x14ac:dyDescent="0.2">
      <c r="F1" s="252"/>
      <c r="G1" s="252"/>
    </row>
    <row r="2" spans="1:23" s="253" customFormat="1" ht="15" x14ac:dyDescent="0.2">
      <c r="R2" s="254"/>
      <c r="S2" s="254"/>
    </row>
    <row r="4" spans="1:23" s="60" customFormat="1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317" t="s">
        <v>17</v>
      </c>
      <c r="J4" s="318" t="s">
        <v>15</v>
      </c>
      <c r="K4" s="345" t="s">
        <v>1</v>
      </c>
      <c r="L4" s="345"/>
      <c r="M4" s="345"/>
      <c r="N4" s="345" t="s">
        <v>2</v>
      </c>
      <c r="O4" s="345"/>
      <c r="P4" s="345"/>
      <c r="Q4" s="317" t="s">
        <v>3</v>
      </c>
      <c r="R4" s="346" t="s">
        <v>16</v>
      </c>
      <c r="S4" s="345"/>
      <c r="T4" s="345"/>
    </row>
    <row r="5" spans="1:23" s="154" customFormat="1" x14ac:dyDescent="0.2">
      <c r="A5" s="258" t="s">
        <v>722</v>
      </c>
      <c r="B5" s="156" t="s">
        <v>216</v>
      </c>
      <c r="C5" s="34">
        <v>0.84967153756516656</v>
      </c>
      <c r="D5" s="34">
        <v>1.6643962342681442E-3</v>
      </c>
      <c r="E5" s="32">
        <v>1308.6072668411261</v>
      </c>
      <c r="F5" s="32">
        <v>15.735459143300403</v>
      </c>
      <c r="G5" s="36">
        <v>-21.908531070204518</v>
      </c>
      <c r="I5" s="220">
        <v>770</v>
      </c>
      <c r="J5" s="9">
        <f>1950-I5</f>
        <v>1180</v>
      </c>
      <c r="K5" s="34">
        <f>C5</f>
        <v>0.84967153756516656</v>
      </c>
      <c r="L5" s="2" t="s">
        <v>5</v>
      </c>
      <c r="M5" s="34">
        <f>D5</f>
        <v>1.6643962342681442E-3</v>
      </c>
      <c r="N5" s="12">
        <f>-8033*LN(K5)</f>
        <v>1308.6193237978539</v>
      </c>
      <c r="O5" s="66" t="s">
        <v>5</v>
      </c>
      <c r="P5" s="12">
        <f>M5/K5*8033</f>
        <v>15.735604123199863</v>
      </c>
      <c r="Q5" s="5">
        <f>G5</f>
        <v>-21.908531070204518</v>
      </c>
      <c r="R5" s="9">
        <f>(EXP(J5/8267)*EXP(-N5/8033)-1)*1000</f>
        <v>-19.96721184959771</v>
      </c>
      <c r="S5" s="2" t="s">
        <v>5</v>
      </c>
      <c r="T5" s="14">
        <f>P5/8.033</f>
        <v>1.9588701759242952</v>
      </c>
      <c r="V5" s="220">
        <f>R5-T5</f>
        <v>-21.926082025522007</v>
      </c>
      <c r="W5" s="220">
        <f>R5+T5</f>
        <v>-18.008341673673414</v>
      </c>
    </row>
    <row r="6" spans="1:23" s="154" customFormat="1" x14ac:dyDescent="0.2">
      <c r="A6" s="258" t="s">
        <v>723</v>
      </c>
      <c r="B6" s="156" t="s">
        <v>217</v>
      </c>
      <c r="C6" s="34">
        <v>0.84744984499155074</v>
      </c>
      <c r="D6" s="34">
        <v>1.6353216982155588E-3</v>
      </c>
      <c r="E6" s="32">
        <v>1329.6390002105645</v>
      </c>
      <c r="F6" s="32">
        <v>15.501115783987228</v>
      </c>
      <c r="G6" s="36">
        <v>-21.4528196936844</v>
      </c>
      <c r="I6" s="220">
        <v>771</v>
      </c>
      <c r="J6" s="9">
        <f t="shared" ref="J6:J15" si="0">1950-I6</f>
        <v>1179</v>
      </c>
      <c r="K6" s="34">
        <f t="shared" ref="K6:K15" si="1">C6</f>
        <v>0.84744984499155074</v>
      </c>
      <c r="L6" s="2" t="s">
        <v>5</v>
      </c>
      <c r="M6" s="34">
        <f t="shared" ref="M6:M15" si="2">D6</f>
        <v>1.6353216982155588E-3</v>
      </c>
      <c r="N6" s="12">
        <f t="shared" ref="N6:N15" si="3">-8033*LN(K6)</f>
        <v>1329.6512509448339</v>
      </c>
      <c r="O6" s="66" t="s">
        <v>5</v>
      </c>
      <c r="P6" s="12">
        <f t="shared" ref="P6:P15" si="4">M6/K6*8033</f>
        <v>15.50125860474558</v>
      </c>
      <c r="Q6" s="5">
        <f>G6</f>
        <v>-21.4528196936844</v>
      </c>
      <c r="R6" s="9">
        <f t="shared" ref="R6:R15" si="5">(EXP(J6/8267)*EXP(-N6/8033)-1)*1000</f>
        <v>-22.6479990871421</v>
      </c>
      <c r="S6" s="2" t="s">
        <v>5</v>
      </c>
      <c r="T6" s="14">
        <f t="shared" ref="T6:T15" si="6">P6/8.033</f>
        <v>1.9296973241311566</v>
      </c>
      <c r="V6" s="220">
        <f t="shared" ref="V6:V15" si="7">R6-T6</f>
        <v>-24.577696411273259</v>
      </c>
      <c r="W6" s="220">
        <f t="shared" ref="W6:W15" si="8">R6+T6</f>
        <v>-20.718301763010942</v>
      </c>
    </row>
    <row r="7" spans="1:23" x14ac:dyDescent="0.2">
      <c r="A7" s="258" t="s">
        <v>724</v>
      </c>
      <c r="B7" s="156" t="s">
        <v>218</v>
      </c>
      <c r="C7" s="34">
        <v>0.84867216887683983</v>
      </c>
      <c r="D7" s="34">
        <v>1.6427885734328746E-3</v>
      </c>
      <c r="E7" s="32">
        <v>1318.0610135758698</v>
      </c>
      <c r="F7" s="32">
        <v>15.549465987299815</v>
      </c>
      <c r="G7" s="36">
        <v>-21.034341102652899</v>
      </c>
      <c r="I7" s="220">
        <v>772</v>
      </c>
      <c r="J7" s="9">
        <f t="shared" si="0"/>
        <v>1178</v>
      </c>
      <c r="K7" s="34">
        <f t="shared" si="1"/>
        <v>0.84867216887683983</v>
      </c>
      <c r="L7" s="2" t="s">
        <v>5</v>
      </c>
      <c r="M7" s="34">
        <f t="shared" si="2"/>
        <v>1.6427885734328746E-3</v>
      </c>
      <c r="N7" s="12">
        <f t="shared" si="3"/>
        <v>1318.0731576354419</v>
      </c>
      <c r="O7" s="66" t="s">
        <v>5</v>
      </c>
      <c r="P7" s="12">
        <f t="shared" si="4"/>
        <v>15.549609253536596</v>
      </c>
      <c r="Q7" s="5">
        <f t="shared" ref="Q7:Q15" si="9">G7</f>
        <v>-21.034341102652899</v>
      </c>
      <c r="R7" s="9">
        <f t="shared" si="5"/>
        <v>-21.356696779169624</v>
      </c>
      <c r="S7" s="2" t="s">
        <v>5</v>
      </c>
      <c r="T7" s="14">
        <f t="shared" si="6"/>
        <v>1.9357163268438438</v>
      </c>
      <c r="V7" s="220">
        <f t="shared" si="7"/>
        <v>-23.29241310601347</v>
      </c>
      <c r="W7" s="220">
        <f t="shared" si="8"/>
        <v>-19.420980452325779</v>
      </c>
    </row>
    <row r="8" spans="1:23" x14ac:dyDescent="0.2">
      <c r="A8" s="258" t="s">
        <v>725</v>
      </c>
      <c r="B8" s="156" t="s">
        <v>219</v>
      </c>
      <c r="C8" s="34">
        <v>0.84755007264404925</v>
      </c>
      <c r="D8" s="34">
        <v>1.6804501484737563E-3</v>
      </c>
      <c r="E8" s="32">
        <v>1328.689004512001</v>
      </c>
      <c r="F8" s="32">
        <v>15.927001961195659</v>
      </c>
      <c r="G8" s="36">
        <v>-21.507173104217348</v>
      </c>
      <c r="I8" s="220">
        <v>773</v>
      </c>
      <c r="J8" s="9">
        <f t="shared" si="0"/>
        <v>1177</v>
      </c>
      <c r="K8" s="34">
        <f t="shared" si="1"/>
        <v>0.84755007264404925</v>
      </c>
      <c r="L8" s="2" t="s">
        <v>5</v>
      </c>
      <c r="M8" s="34">
        <f t="shared" si="2"/>
        <v>1.6804501484737563E-3</v>
      </c>
      <c r="N8" s="12">
        <f t="shared" si="3"/>
        <v>1328.7012464934096</v>
      </c>
      <c r="O8" s="66" t="s">
        <v>5</v>
      </c>
      <c r="P8" s="12">
        <f t="shared" si="4"/>
        <v>15.927148705890048</v>
      </c>
      <c r="Q8" s="5">
        <f t="shared" si="9"/>
        <v>-21.507173104217348</v>
      </c>
      <c r="R8" s="9">
        <f t="shared" si="5"/>
        <v>-22.768853900808296</v>
      </c>
      <c r="S8" s="2" t="s">
        <v>5</v>
      </c>
      <c r="T8" s="14">
        <f t="shared" si="6"/>
        <v>1.9827148893178201</v>
      </c>
      <c r="V8" s="220">
        <f t="shared" si="7"/>
        <v>-24.751568790126115</v>
      </c>
      <c r="W8" s="220">
        <f t="shared" si="8"/>
        <v>-20.786139011490476</v>
      </c>
    </row>
    <row r="9" spans="1:23" x14ac:dyDescent="0.2">
      <c r="A9" s="258" t="s">
        <v>726</v>
      </c>
      <c r="B9" s="156" t="s">
        <v>298</v>
      </c>
      <c r="C9" s="34">
        <v>0.85243229932843556</v>
      </c>
      <c r="D9" s="34">
        <v>1.6770149812160885E-3</v>
      </c>
      <c r="E9" s="32">
        <v>1282.5489102569613</v>
      </c>
      <c r="F9" s="32">
        <v>15.803410118890447</v>
      </c>
      <c r="G9" s="36">
        <v>-21.712484588358947</v>
      </c>
      <c r="I9" s="220">
        <v>774</v>
      </c>
      <c r="J9" s="9">
        <f t="shared" si="0"/>
        <v>1176</v>
      </c>
      <c r="K9" s="34">
        <f t="shared" si="1"/>
        <v>0.85243229932843556</v>
      </c>
      <c r="L9" s="2" t="s">
        <v>5</v>
      </c>
      <c r="M9" s="34">
        <f t="shared" si="2"/>
        <v>1.6770149812160885E-3</v>
      </c>
      <c r="N9" s="12">
        <f t="shared" si="3"/>
        <v>1282.5607271229562</v>
      </c>
      <c r="O9" s="66" t="s">
        <v>5</v>
      </c>
      <c r="P9" s="12">
        <f t="shared" si="4"/>
        <v>15.803555724861605</v>
      </c>
      <c r="Q9" s="5">
        <f t="shared" si="9"/>
        <v>-21.712484588358947</v>
      </c>
      <c r="R9" s="9">
        <f t="shared" si="5"/>
        <v>-17.258494893726329</v>
      </c>
      <c r="S9" s="2" t="s">
        <v>5</v>
      </c>
      <c r="T9" s="14">
        <f t="shared" si="6"/>
        <v>1.9673292325235412</v>
      </c>
      <c r="V9" s="220">
        <f t="shared" si="7"/>
        <v>-19.225824126249869</v>
      </c>
      <c r="W9" s="220">
        <f t="shared" si="8"/>
        <v>-15.291165661202788</v>
      </c>
    </row>
    <row r="10" spans="1:23" x14ac:dyDescent="0.2">
      <c r="A10" s="258" t="s">
        <v>727</v>
      </c>
      <c r="B10" s="156" t="s">
        <v>299</v>
      </c>
      <c r="C10" s="34">
        <v>0.86208228775209472</v>
      </c>
      <c r="D10" s="34">
        <v>1.7051547607288828E-3</v>
      </c>
      <c r="E10" s="32">
        <v>1192.1227780420479</v>
      </c>
      <c r="F10" s="32">
        <v>15.888717568641036</v>
      </c>
      <c r="G10" s="36">
        <v>-22.427024181751243</v>
      </c>
      <c r="I10" s="220">
        <v>775</v>
      </c>
      <c r="J10" s="9">
        <f t="shared" si="0"/>
        <v>1175</v>
      </c>
      <c r="K10" s="34">
        <f t="shared" si="1"/>
        <v>0.86208228775209472</v>
      </c>
      <c r="L10" s="2" t="s">
        <v>5</v>
      </c>
      <c r="M10" s="34">
        <f t="shared" si="2"/>
        <v>1.7051547607288828E-3</v>
      </c>
      <c r="N10" s="12">
        <f t="shared" si="3"/>
        <v>1192.1337617597096</v>
      </c>
      <c r="O10" s="66" t="s">
        <v>5</v>
      </c>
      <c r="P10" s="12">
        <f t="shared" si="4"/>
        <v>15.88886396059914</v>
      </c>
      <c r="Q10" s="5">
        <f t="shared" si="9"/>
        <v>-22.427024181751243</v>
      </c>
      <c r="R10" s="9">
        <f t="shared" si="5"/>
        <v>-6.253550424819343</v>
      </c>
      <c r="S10" s="2" t="s">
        <v>5</v>
      </c>
      <c r="T10" s="14">
        <f t="shared" si="6"/>
        <v>1.9779489556329068</v>
      </c>
      <c r="V10" s="220">
        <f t="shared" si="7"/>
        <v>-8.2314993804522505</v>
      </c>
      <c r="W10" s="220">
        <f t="shared" si="8"/>
        <v>-4.2756014691864364</v>
      </c>
    </row>
    <row r="11" spans="1:23" x14ac:dyDescent="0.2">
      <c r="A11" s="258" t="s">
        <v>728</v>
      </c>
      <c r="B11" s="156" t="s">
        <v>220</v>
      </c>
      <c r="C11" s="34">
        <v>0.86514158389602103</v>
      </c>
      <c r="D11" s="34">
        <v>1.7042139010520136E-3</v>
      </c>
      <c r="E11" s="32">
        <v>1163.6665650378302</v>
      </c>
      <c r="F11" s="32">
        <v>15.823796231388783</v>
      </c>
      <c r="G11" s="36">
        <v>-22.738532660105506</v>
      </c>
      <c r="I11" s="220">
        <v>776</v>
      </c>
      <c r="J11" s="9">
        <f t="shared" si="0"/>
        <v>1174</v>
      </c>
      <c r="K11" s="34">
        <f t="shared" si="1"/>
        <v>0.86514158389602103</v>
      </c>
      <c r="L11" s="2" t="s">
        <v>5</v>
      </c>
      <c r="M11" s="34">
        <f t="shared" si="2"/>
        <v>1.7042139010520136E-3</v>
      </c>
      <c r="N11" s="12">
        <f t="shared" si="3"/>
        <v>1163.6772865719188</v>
      </c>
      <c r="O11" s="66" t="s">
        <v>5</v>
      </c>
      <c r="P11" s="12">
        <f t="shared" si="4"/>
        <v>15.823942025189004</v>
      </c>
      <c r="Q11" s="5">
        <f t="shared" si="9"/>
        <v>-22.738532660105506</v>
      </c>
      <c r="R11" s="9">
        <f t="shared" si="5"/>
        <v>-2.8476395941876564</v>
      </c>
      <c r="S11" s="2" t="s">
        <v>5</v>
      </c>
      <c r="T11" s="14">
        <f t="shared" si="6"/>
        <v>1.9698670515609367</v>
      </c>
      <c r="V11" s="220">
        <f t="shared" si="7"/>
        <v>-4.8175066457485931</v>
      </c>
      <c r="W11" s="220">
        <f t="shared" si="8"/>
        <v>-0.87777254262671978</v>
      </c>
    </row>
    <row r="12" spans="1:23" x14ac:dyDescent="0.2">
      <c r="A12" s="258" t="s">
        <v>729</v>
      </c>
      <c r="B12" s="156" t="s">
        <v>221</v>
      </c>
      <c r="C12" s="34">
        <v>0.86507837152920308</v>
      </c>
      <c r="D12" s="34">
        <v>1.6943824040394938E-3</v>
      </c>
      <c r="E12" s="32">
        <v>1164.2535196187305</v>
      </c>
      <c r="F12" s="32">
        <v>15.733659394302977</v>
      </c>
      <c r="G12" s="36">
        <v>-22.795121961452168</v>
      </c>
      <c r="I12" s="220">
        <v>777</v>
      </c>
      <c r="J12" s="9">
        <f t="shared" si="0"/>
        <v>1173</v>
      </c>
      <c r="K12" s="34">
        <f t="shared" si="1"/>
        <v>0.86507837152920308</v>
      </c>
      <c r="L12" s="2" t="s">
        <v>5</v>
      </c>
      <c r="M12" s="34">
        <f t="shared" si="2"/>
        <v>1.6943824040394938E-3</v>
      </c>
      <c r="N12" s="12">
        <f t="shared" si="3"/>
        <v>1164.2642465607717</v>
      </c>
      <c r="O12" s="66" t="s">
        <v>5</v>
      </c>
      <c r="P12" s="12">
        <f t="shared" si="4"/>
        <v>15.733804357620308</v>
      </c>
      <c r="Q12" s="5">
        <f t="shared" si="9"/>
        <v>-22.795121961452168</v>
      </c>
      <c r="R12" s="9">
        <f t="shared" si="5"/>
        <v>-3.0410997483197866</v>
      </c>
      <c r="S12" s="2" t="s">
        <v>5</v>
      </c>
      <c r="T12" s="14">
        <f t="shared" si="6"/>
        <v>1.9586461294186865</v>
      </c>
      <c r="V12" s="220">
        <f t="shared" si="7"/>
        <v>-4.9997458777384729</v>
      </c>
      <c r="W12" s="220">
        <f t="shared" si="8"/>
        <v>-1.0824536189011</v>
      </c>
    </row>
    <row r="13" spans="1:23" x14ac:dyDescent="0.2">
      <c r="A13" s="258" t="s">
        <v>730</v>
      </c>
      <c r="B13" s="156" t="s">
        <v>222</v>
      </c>
      <c r="C13" s="34">
        <v>0.86341113956507964</v>
      </c>
      <c r="D13" s="34">
        <v>1.7159128302398844E-3</v>
      </c>
      <c r="E13" s="32">
        <v>1179.7500037340283</v>
      </c>
      <c r="F13" s="32">
        <v>15.964353638198162</v>
      </c>
      <c r="G13" s="36">
        <v>-23.45759437888195</v>
      </c>
      <c r="I13" s="220">
        <v>778</v>
      </c>
      <c r="J13" s="9">
        <f t="shared" si="0"/>
        <v>1172</v>
      </c>
      <c r="K13" s="34">
        <f t="shared" si="1"/>
        <v>0.86341113956507964</v>
      </c>
      <c r="L13" s="2" t="s">
        <v>5</v>
      </c>
      <c r="M13" s="34">
        <f t="shared" si="2"/>
        <v>1.7159128302398844E-3</v>
      </c>
      <c r="N13" s="12">
        <f t="shared" si="3"/>
        <v>1179.7608734541536</v>
      </c>
      <c r="O13" s="66" t="s">
        <v>5</v>
      </c>
      <c r="P13" s="12">
        <f t="shared" si="4"/>
        <v>15.964500727035185</v>
      </c>
      <c r="Q13" s="5">
        <f t="shared" si="9"/>
        <v>-23.45759437888195</v>
      </c>
      <c r="R13" s="9">
        <f t="shared" si="5"/>
        <v>-5.0828552427888418</v>
      </c>
      <c r="S13" s="2" t="s">
        <v>5</v>
      </c>
      <c r="T13" s="14">
        <f t="shared" si="6"/>
        <v>1.9873647114446888</v>
      </c>
      <c r="V13" s="220">
        <f t="shared" si="7"/>
        <v>-7.0702199542335311</v>
      </c>
      <c r="W13" s="220">
        <f t="shared" si="8"/>
        <v>-3.095490531344153</v>
      </c>
    </row>
    <row r="14" spans="1:23" x14ac:dyDescent="0.2">
      <c r="A14" s="258" t="s">
        <v>731</v>
      </c>
      <c r="B14" s="156" t="s">
        <v>223</v>
      </c>
      <c r="C14" s="34">
        <v>0.86196563321147301</v>
      </c>
      <c r="D14" s="34">
        <v>1.6965585866260946E-3</v>
      </c>
      <c r="E14" s="32">
        <v>1193.2098444524579</v>
      </c>
      <c r="F14" s="32">
        <v>15.810757454328526</v>
      </c>
      <c r="G14" s="36">
        <v>-22.395750167937265</v>
      </c>
      <c r="I14" s="220">
        <v>779</v>
      </c>
      <c r="J14" s="9">
        <f t="shared" si="0"/>
        <v>1171</v>
      </c>
      <c r="K14" s="34">
        <f t="shared" si="1"/>
        <v>0.86196563321147301</v>
      </c>
      <c r="L14" s="2" t="s">
        <v>5</v>
      </c>
      <c r="M14" s="34">
        <f t="shared" si="2"/>
        <v>1.6965585866260946E-3</v>
      </c>
      <c r="N14" s="12">
        <f t="shared" si="3"/>
        <v>1193.220838185892</v>
      </c>
      <c r="O14" s="66" t="s">
        <v>5</v>
      </c>
      <c r="P14" s="12">
        <f t="shared" si="4"/>
        <v>15.810903127994941</v>
      </c>
      <c r="Q14" s="5">
        <f t="shared" si="9"/>
        <v>-22.395750167937265</v>
      </c>
      <c r="R14" s="9">
        <f t="shared" si="5"/>
        <v>-6.8686657025334164</v>
      </c>
      <c r="S14" s="2" t="s">
        <v>5</v>
      </c>
      <c r="T14" s="14">
        <f t="shared" si="6"/>
        <v>1.9682438849738506</v>
      </c>
      <c r="V14" s="220">
        <f t="shared" si="7"/>
        <v>-8.8369095875072663</v>
      </c>
      <c r="W14" s="220">
        <f t="shared" si="8"/>
        <v>-4.9004218175595655</v>
      </c>
    </row>
    <row r="15" spans="1:23" x14ac:dyDescent="0.2">
      <c r="A15" s="258" t="s">
        <v>732</v>
      </c>
      <c r="B15" s="156" t="s">
        <v>224</v>
      </c>
      <c r="C15" s="34">
        <v>0.85971156347677524</v>
      </c>
      <c r="D15" s="34">
        <v>1.6852323439183522E-3</v>
      </c>
      <c r="E15" s="32">
        <v>1214.2437359751534</v>
      </c>
      <c r="F15" s="32">
        <v>15.746382003439916</v>
      </c>
      <c r="G15" s="36">
        <v>-21.690249802759354</v>
      </c>
      <c r="I15" s="220">
        <v>780</v>
      </c>
      <c r="J15" s="9">
        <f t="shared" si="0"/>
        <v>1170</v>
      </c>
      <c r="K15" s="34">
        <f t="shared" si="1"/>
        <v>0.85971156347677524</v>
      </c>
      <c r="L15" s="2" t="s">
        <v>5</v>
      </c>
      <c r="M15" s="34">
        <f t="shared" si="2"/>
        <v>1.6852323439183522E-3</v>
      </c>
      <c r="N15" s="12">
        <f t="shared" si="3"/>
        <v>1214.2549235060135</v>
      </c>
      <c r="O15" s="66" t="s">
        <v>5</v>
      </c>
      <c r="P15" s="12">
        <f t="shared" si="4"/>
        <v>15.746527083978012</v>
      </c>
      <c r="Q15" s="5">
        <f t="shared" si="9"/>
        <v>-21.690249802759354</v>
      </c>
      <c r="R15" s="9">
        <f t="shared" si="5"/>
        <v>-9.5855488655268708</v>
      </c>
      <c r="S15" s="2" t="s">
        <v>5</v>
      </c>
      <c r="T15" s="14">
        <f t="shared" si="6"/>
        <v>1.9602299370070975</v>
      </c>
      <c r="V15" s="220">
        <f t="shared" si="7"/>
        <v>-11.545778802533968</v>
      </c>
      <c r="W15" s="220">
        <f t="shared" si="8"/>
        <v>-7.6253189285197731</v>
      </c>
    </row>
    <row r="16" spans="1:23" x14ac:dyDescent="0.2">
      <c r="L16" s="2"/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sqref="A1:XFD1048576"/>
    </sheetView>
  </sheetViews>
  <sheetFormatPr baseColWidth="10" defaultColWidth="9" defaultRowHeight="16" x14ac:dyDescent="0.2"/>
  <cols>
    <col min="1" max="1" width="10.6640625" customWidth="1"/>
  </cols>
  <sheetData>
    <row r="1" spans="1:20" s="264" customFormat="1" ht="15" x14ac:dyDescent="0.2">
      <c r="A1" s="263"/>
      <c r="B1" s="263"/>
      <c r="C1" s="263"/>
      <c r="D1" s="263"/>
      <c r="F1" s="265"/>
      <c r="G1" s="265"/>
      <c r="R1" s="266"/>
      <c r="S1" s="266"/>
    </row>
    <row r="2" spans="1:20" s="231" customFormat="1" ht="15" x14ac:dyDescent="0.2">
      <c r="A2" s="267"/>
      <c r="B2" s="267"/>
      <c r="C2" s="267"/>
      <c r="D2" s="230"/>
      <c r="R2" s="232"/>
      <c r="S2" s="232"/>
    </row>
    <row r="3" spans="1:20" x14ac:dyDescent="0.2">
      <c r="I3" s="223" t="s">
        <v>608</v>
      </c>
    </row>
    <row r="4" spans="1:20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95" t="s">
        <v>17</v>
      </c>
      <c r="J4" s="296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95" t="s">
        <v>3</v>
      </c>
      <c r="R4" s="346" t="s">
        <v>16</v>
      </c>
      <c r="S4" s="345"/>
      <c r="T4" s="345"/>
    </row>
    <row r="5" spans="1:20" x14ac:dyDescent="0.2">
      <c r="A5" s="156" t="s">
        <v>597</v>
      </c>
      <c r="B5" s="156" t="s">
        <v>216</v>
      </c>
      <c r="C5" s="34">
        <v>0.84921511494532498</v>
      </c>
      <c r="D5" s="34">
        <v>1.9160092700204999E-3</v>
      </c>
      <c r="E5" s="32">
        <v>1312.9235162003522</v>
      </c>
      <c r="F5" s="32">
        <v>18.123983414246592</v>
      </c>
      <c r="G5" s="36">
        <v>-22.437511249119744</v>
      </c>
      <c r="I5" s="297">
        <v>769</v>
      </c>
      <c r="J5" s="271">
        <f>1950-I5</f>
        <v>1181</v>
      </c>
      <c r="K5" s="272">
        <f>C5</f>
        <v>0.84921511494532498</v>
      </c>
      <c r="L5" s="273" t="s">
        <v>5</v>
      </c>
      <c r="M5" s="274">
        <f>D5</f>
        <v>1.9160092700204999E-3</v>
      </c>
      <c r="N5" s="275">
        <f>-8033*LN(K5)</f>
        <v>1312.9356129251851</v>
      </c>
      <c r="O5" s="276" t="s">
        <v>5</v>
      </c>
      <c r="P5" s="275">
        <f>M5/K5*8033</f>
        <v>18.124150401003654</v>
      </c>
      <c r="Q5" s="277">
        <f>G5</f>
        <v>-22.437511249119744</v>
      </c>
      <c r="R5" s="271">
        <f>(EXP(J5/8267)*EXP(-N5/8033)-1)*1000</f>
        <v>-20.375170263247977</v>
      </c>
      <c r="S5" s="273" t="s">
        <v>5</v>
      </c>
      <c r="T5" s="278">
        <f>P5/8.033</f>
        <v>2.2562119259309914</v>
      </c>
    </row>
    <row r="6" spans="1:20" x14ac:dyDescent="0.2">
      <c r="A6" s="156" t="s">
        <v>598</v>
      </c>
      <c r="B6" s="156" t="s">
        <v>217</v>
      </c>
      <c r="C6" s="34">
        <v>0.84894805120349492</v>
      </c>
      <c r="D6" s="34">
        <v>1.9420595464827621E-3</v>
      </c>
      <c r="E6" s="32">
        <v>1315.4501324085586</v>
      </c>
      <c r="F6" s="32">
        <v>18.376178117223116</v>
      </c>
      <c r="G6" s="36">
        <v>-22.46748314040936</v>
      </c>
      <c r="I6" s="297">
        <v>770</v>
      </c>
      <c r="J6" s="271">
        <f t="shared" ref="J6:J15" si="0">1950-I6</f>
        <v>1180</v>
      </c>
      <c r="K6" s="272">
        <f>C6</f>
        <v>0.84894805120349492</v>
      </c>
      <c r="L6" s="273" t="s">
        <v>5</v>
      </c>
      <c r="M6" s="274">
        <f>D6</f>
        <v>1.9420595464827621E-3</v>
      </c>
      <c r="N6" s="275">
        <f>-8033*LN(K6)</f>
        <v>1315.4622524125703</v>
      </c>
      <c r="O6" s="276" t="s">
        <v>5</v>
      </c>
      <c r="P6" s="275">
        <f>M6/K6*8033</f>
        <v>18.376347427596055</v>
      </c>
      <c r="Q6" s="277">
        <f>G6</f>
        <v>-22.46748314040936</v>
      </c>
      <c r="R6" s="271">
        <f>(EXP(J6/8267)*EXP(-N6/8033)-1)*1000</f>
        <v>-20.801699442591136</v>
      </c>
      <c r="S6" s="273" t="s">
        <v>5</v>
      </c>
      <c r="T6" s="278">
        <f>P6/8.033</f>
        <v>2.2876070493708522</v>
      </c>
    </row>
    <row r="7" spans="1:20" x14ac:dyDescent="0.2">
      <c r="A7" s="156" t="s">
        <v>599</v>
      </c>
      <c r="B7" s="156" t="s">
        <v>218</v>
      </c>
      <c r="C7" s="34">
        <v>0.85203303387692975</v>
      </c>
      <c r="D7" s="34">
        <v>1.9282197710538138E-3</v>
      </c>
      <c r="E7" s="32">
        <v>1286.3122838119316</v>
      </c>
      <c r="F7" s="32">
        <v>18.179162184586033</v>
      </c>
      <c r="G7" s="36">
        <v>-22.272084101761958</v>
      </c>
      <c r="I7" s="297">
        <v>771</v>
      </c>
      <c r="J7" s="271">
        <f t="shared" si="0"/>
        <v>1179</v>
      </c>
      <c r="K7" s="272">
        <f t="shared" ref="K7:K14" si="1">C7</f>
        <v>0.85203303387692975</v>
      </c>
      <c r="L7" s="273" t="s">
        <v>5</v>
      </c>
      <c r="M7" s="274">
        <f t="shared" ref="M7:M15" si="2">D7</f>
        <v>1.9282197710538138E-3</v>
      </c>
      <c r="N7" s="275">
        <f t="shared" ref="N7:N13" si="3">-8033*LN(K7)</f>
        <v>1286.3241353520668</v>
      </c>
      <c r="O7" s="276" t="s">
        <v>5</v>
      </c>
      <c r="P7" s="275">
        <f t="shared" ref="P7:P14" si="4">M7/K7*8033</f>
        <v>18.179329679737066</v>
      </c>
      <c r="Q7" s="277">
        <f t="shared" ref="Q7:Q14" si="5">G7</f>
        <v>-22.272084101761958</v>
      </c>
      <c r="R7" s="271">
        <f t="shared" ref="R7:R14" si="6">(EXP(J7/8267)*EXP(-N7/8033)-1)*1000</f>
        <v>-17.362271732113356</v>
      </c>
      <c r="S7" s="273" t="s">
        <v>5</v>
      </c>
      <c r="T7" s="278">
        <f t="shared" ref="T7:T14" si="7">P7/8.033</f>
        <v>2.2630810008386737</v>
      </c>
    </row>
    <row r="8" spans="1:20" x14ac:dyDescent="0.2">
      <c r="A8" s="156" t="s">
        <v>600</v>
      </c>
      <c r="B8" s="156" t="s">
        <v>219</v>
      </c>
      <c r="C8" s="34">
        <v>0.85162679755390369</v>
      </c>
      <c r="D8" s="34">
        <v>1.9087185674588193E-3</v>
      </c>
      <c r="E8" s="32">
        <v>1290.14317342751</v>
      </c>
      <c r="F8" s="32">
        <v>18.003889765279027</v>
      </c>
      <c r="G8" s="36">
        <v>-21.168047654784971</v>
      </c>
      <c r="I8" s="297">
        <v>772</v>
      </c>
      <c r="J8" s="271">
        <f t="shared" si="0"/>
        <v>1178</v>
      </c>
      <c r="K8" s="272">
        <f t="shared" si="1"/>
        <v>0.85162679755390369</v>
      </c>
      <c r="L8" s="273" t="s">
        <v>5</v>
      </c>
      <c r="M8" s="274">
        <f t="shared" si="2"/>
        <v>1.9087185674588193E-3</v>
      </c>
      <c r="N8" s="275">
        <f t="shared" si="3"/>
        <v>1290.1550602638499</v>
      </c>
      <c r="O8" s="276" t="s">
        <v>5</v>
      </c>
      <c r="P8" s="275">
        <f t="shared" si="4"/>
        <v>18.00405564554374</v>
      </c>
      <c r="Q8" s="277">
        <f t="shared" si="5"/>
        <v>-21.168047654784971</v>
      </c>
      <c r="R8" s="271">
        <f>(EXP(J8/8267)*EXP(-N8/8033)-1)*1000</f>
        <v>-17.949577193594578</v>
      </c>
      <c r="S8" s="273" t="s">
        <v>5</v>
      </c>
      <c r="T8" s="278">
        <f t="shared" si="7"/>
        <v>2.2412617509702155</v>
      </c>
    </row>
    <row r="9" spans="1:20" x14ac:dyDescent="0.2">
      <c r="A9" s="156" t="s">
        <v>601</v>
      </c>
      <c r="B9" s="156" t="s">
        <v>298</v>
      </c>
      <c r="C9" s="34">
        <v>0.84868030162174912</v>
      </c>
      <c r="D9" s="34">
        <v>1.9034377873146161E-3</v>
      </c>
      <c r="E9" s="32">
        <v>1317.9840351767784</v>
      </c>
      <c r="F9" s="32">
        <v>18.016413058065204</v>
      </c>
      <c r="G9" s="36">
        <v>-21.796688179119506</v>
      </c>
      <c r="I9" s="297">
        <v>773</v>
      </c>
      <c r="J9" s="271">
        <f t="shared" si="0"/>
        <v>1177</v>
      </c>
      <c r="K9" s="272">
        <f t="shared" si="1"/>
        <v>0.84868030162174912</v>
      </c>
      <c r="L9" s="2" t="s">
        <v>5</v>
      </c>
      <c r="M9" s="13">
        <f t="shared" si="2"/>
        <v>1.9034377873146161E-3</v>
      </c>
      <c r="N9" s="12">
        <f t="shared" si="3"/>
        <v>1317.9961785271041</v>
      </c>
      <c r="O9" s="66" t="s">
        <v>5</v>
      </c>
      <c r="P9" s="12">
        <f t="shared" si="4"/>
        <v>18.016579053714267</v>
      </c>
      <c r="Q9" s="5">
        <f t="shared" si="5"/>
        <v>-21.796688179119506</v>
      </c>
      <c r="R9" s="9">
        <f t="shared" si="6"/>
        <v>-21.465692005268046</v>
      </c>
      <c r="S9" s="2" t="s">
        <v>5</v>
      </c>
      <c r="T9" s="14">
        <f t="shared" si="7"/>
        <v>2.2428207461364704</v>
      </c>
    </row>
    <row r="10" spans="1:20" x14ac:dyDescent="0.2">
      <c r="A10" s="156" t="s">
        <v>602</v>
      </c>
      <c r="B10" s="156" t="s">
        <v>299</v>
      </c>
      <c r="C10" s="34">
        <v>0.85205391037466149</v>
      </c>
      <c r="D10" s="34">
        <v>1.9011151474866074E-3</v>
      </c>
      <c r="E10" s="32">
        <v>1286.1154636182885</v>
      </c>
      <c r="F10" s="32">
        <v>17.923181958886257</v>
      </c>
      <c r="G10" s="36">
        <v>-21.544415097179304</v>
      </c>
      <c r="I10" s="297">
        <v>774</v>
      </c>
      <c r="J10" s="271">
        <f t="shared" si="0"/>
        <v>1176</v>
      </c>
      <c r="K10" s="272">
        <f t="shared" si="1"/>
        <v>0.85205391037466149</v>
      </c>
      <c r="L10" s="2" t="s">
        <v>5</v>
      </c>
      <c r="M10" s="13">
        <f t="shared" si="2"/>
        <v>1.9011151474866074E-3</v>
      </c>
      <c r="N10" s="12">
        <f t="shared" si="3"/>
        <v>1286.1273133450052</v>
      </c>
      <c r="O10" s="66" t="s">
        <v>5</v>
      </c>
      <c r="P10" s="12">
        <f t="shared" si="4"/>
        <v>17.923347095543203</v>
      </c>
      <c r="Q10" s="5">
        <f t="shared" si="5"/>
        <v>-21.544415097179304</v>
      </c>
      <c r="R10" s="9">
        <f>(EXP(J10/8267)*EXP(-N10/8033)-1)*1000</f>
        <v>-17.694727225889828</v>
      </c>
      <c r="S10" s="2" t="s">
        <v>5</v>
      </c>
      <c r="T10" s="14">
        <f t="shared" si="7"/>
        <v>2.2312146266081418</v>
      </c>
    </row>
    <row r="11" spans="1:20" x14ac:dyDescent="0.2">
      <c r="A11" s="156" t="s">
        <v>603</v>
      </c>
      <c r="B11" s="156" t="s">
        <v>220</v>
      </c>
      <c r="C11" s="34">
        <v>0.86099640587866677</v>
      </c>
      <c r="D11" s="34">
        <v>1.9257700372087888E-3</v>
      </c>
      <c r="E11" s="32">
        <v>1202.2474576727072</v>
      </c>
      <c r="F11" s="32">
        <v>17.967053141202317</v>
      </c>
      <c r="G11" s="36">
        <v>-22.045132871137074</v>
      </c>
      <c r="I11" s="297">
        <v>775</v>
      </c>
      <c r="J11" s="271">
        <f t="shared" si="0"/>
        <v>1175</v>
      </c>
      <c r="K11" s="272">
        <f t="shared" si="1"/>
        <v>0.86099640587866677</v>
      </c>
      <c r="L11" s="2" t="s">
        <v>5</v>
      </c>
      <c r="M11" s="13">
        <f>D11</f>
        <v>1.9257700372087888E-3</v>
      </c>
      <c r="N11" s="12">
        <f t="shared" si="3"/>
        <v>1202.2585346749067</v>
      </c>
      <c r="O11" s="66" t="s">
        <v>5</v>
      </c>
      <c r="P11" s="12">
        <f t="shared" si="4"/>
        <v>17.967218682069877</v>
      </c>
      <c r="Q11" s="5">
        <f t="shared" si="5"/>
        <v>-22.045132871137074</v>
      </c>
      <c r="R11" s="9">
        <f>(EXP(J11/8267)*EXP(-N11/8033)-1)*1000</f>
        <v>-7.5052769382950579</v>
      </c>
      <c r="S11" s="2" t="s">
        <v>5</v>
      </c>
      <c r="T11" s="14">
        <f t="shared" si="7"/>
        <v>2.2366760465666475</v>
      </c>
    </row>
    <row r="12" spans="1:20" x14ac:dyDescent="0.2">
      <c r="A12" s="156" t="s">
        <v>604</v>
      </c>
      <c r="B12" s="156" t="s">
        <v>221</v>
      </c>
      <c r="C12" s="34">
        <v>0.86435040982012001</v>
      </c>
      <c r="D12" s="34">
        <v>1.9341204785107882E-3</v>
      </c>
      <c r="E12" s="32">
        <v>1171.0160564049638</v>
      </c>
      <c r="F12" s="32">
        <v>17.974939884607259</v>
      </c>
      <c r="G12" s="36">
        <v>-22.147855264507577</v>
      </c>
      <c r="I12" s="297">
        <v>776</v>
      </c>
      <c r="J12" s="271">
        <f t="shared" si="0"/>
        <v>1174</v>
      </c>
      <c r="K12" s="272">
        <f t="shared" si="1"/>
        <v>0.86435040982012001</v>
      </c>
      <c r="L12" s="2" t="s">
        <v>5</v>
      </c>
      <c r="M12" s="13">
        <f t="shared" si="2"/>
        <v>1.9341204785107882E-3</v>
      </c>
      <c r="N12" s="12">
        <f t="shared" si="3"/>
        <v>1171.0268456541735</v>
      </c>
      <c r="O12" s="66" t="s">
        <v>5</v>
      </c>
      <c r="P12" s="12">
        <f t="shared" si="4"/>
        <v>17.975105498139953</v>
      </c>
      <c r="Q12" s="5">
        <f t="shared" si="5"/>
        <v>-22.147855264507577</v>
      </c>
      <c r="R12" s="9">
        <f t="shared" si="6"/>
        <v>-3.7595378452506267</v>
      </c>
      <c r="S12" s="2" t="s">
        <v>5</v>
      </c>
      <c r="T12" s="14">
        <f t="shared" si="7"/>
        <v>2.2376578486418466</v>
      </c>
    </row>
    <row r="13" spans="1:20" x14ac:dyDescent="0.2">
      <c r="A13" s="156" t="s">
        <v>605</v>
      </c>
      <c r="B13" s="156" t="s">
        <v>222</v>
      </c>
      <c r="C13" s="34">
        <v>0.86670251576809298</v>
      </c>
      <c r="D13" s="34">
        <v>1.9421143896407173E-3</v>
      </c>
      <c r="E13" s="32">
        <v>1149.1862159134894</v>
      </c>
      <c r="F13" s="32">
        <v>18.000249068606671</v>
      </c>
      <c r="G13" s="36">
        <v>-23.378709799116603</v>
      </c>
      <c r="I13" s="297">
        <v>777</v>
      </c>
      <c r="J13" s="271">
        <f t="shared" si="0"/>
        <v>1173</v>
      </c>
      <c r="K13" s="272">
        <f t="shared" si="1"/>
        <v>0.86670251576809298</v>
      </c>
      <c r="L13" s="2" t="s">
        <v>5</v>
      </c>
      <c r="M13" s="13">
        <f t="shared" si="2"/>
        <v>1.9421143896407173E-3</v>
      </c>
      <c r="N13" s="12">
        <f t="shared" si="3"/>
        <v>1149.196804031734</v>
      </c>
      <c r="O13" s="66" t="s">
        <v>5</v>
      </c>
      <c r="P13" s="12">
        <f t="shared" si="4"/>
        <v>18.000414915327539</v>
      </c>
      <c r="Q13" s="5">
        <f t="shared" si="5"/>
        <v>-23.378709799116603</v>
      </c>
      <c r="R13" s="9">
        <f t="shared" si="6"/>
        <v>-1.1693559762595562</v>
      </c>
      <c r="S13" s="2" t="s">
        <v>5</v>
      </c>
      <c r="T13" s="14">
        <f t="shared" si="7"/>
        <v>2.240808529232857</v>
      </c>
    </row>
    <row r="14" spans="1:20" x14ac:dyDescent="0.2">
      <c r="A14" s="156" t="s">
        <v>606</v>
      </c>
      <c r="B14" s="156" t="s">
        <v>223</v>
      </c>
      <c r="C14" s="34">
        <v>0.86437575776109432</v>
      </c>
      <c r="D14" s="34">
        <v>1.9394956804565198E-3</v>
      </c>
      <c r="E14" s="32">
        <v>1170.7804862636335</v>
      </c>
      <c r="F14" s="32">
        <v>18.024366272728169</v>
      </c>
      <c r="G14" s="36">
        <v>-21.941981758874629</v>
      </c>
      <c r="I14" s="297">
        <v>778</v>
      </c>
      <c r="J14" s="271">
        <f t="shared" si="0"/>
        <v>1172</v>
      </c>
      <c r="K14" s="272">
        <f t="shared" si="1"/>
        <v>0.86437575776109432</v>
      </c>
      <c r="L14" s="2" t="s">
        <v>5</v>
      </c>
      <c r="M14" s="13">
        <f t="shared" si="2"/>
        <v>1.9394956804565198E-3</v>
      </c>
      <c r="N14" s="12">
        <f>-8033*LN(K14)</f>
        <v>1170.7912733423989</v>
      </c>
      <c r="O14" s="66" t="s">
        <v>5</v>
      </c>
      <c r="P14" s="12">
        <f t="shared" si="4"/>
        <v>18.024532341654805</v>
      </c>
      <c r="Q14" s="5">
        <f t="shared" si="5"/>
        <v>-21.941981758874629</v>
      </c>
      <c r="R14" s="9">
        <f t="shared" si="6"/>
        <v>-3.9713162118664158</v>
      </c>
      <c r="S14" s="2" t="s">
        <v>5</v>
      </c>
      <c r="T14" s="14">
        <f t="shared" si="7"/>
        <v>2.2438108230617213</v>
      </c>
    </row>
    <row r="15" spans="1:20" x14ac:dyDescent="0.2">
      <c r="A15" s="156" t="s">
        <v>607</v>
      </c>
      <c r="B15" s="156" t="s">
        <v>224</v>
      </c>
      <c r="C15" s="34">
        <v>0.86376198375758551</v>
      </c>
      <c r="D15" s="34">
        <v>1.9457475398721991E-3</v>
      </c>
      <c r="E15" s="32">
        <v>1176.4865144723831</v>
      </c>
      <c r="F15" s="32">
        <v>18.095315923874949</v>
      </c>
      <c r="G15" s="36">
        <v>-22.90646726716361</v>
      </c>
      <c r="I15" s="297">
        <v>779</v>
      </c>
      <c r="J15" s="271">
        <f t="shared" si="0"/>
        <v>1171</v>
      </c>
      <c r="K15" s="272">
        <f>C15</f>
        <v>0.86376198375758551</v>
      </c>
      <c r="L15" s="2" t="s">
        <v>5</v>
      </c>
      <c r="M15" s="13">
        <f t="shared" si="2"/>
        <v>1.9457475398721991E-3</v>
      </c>
      <c r="N15" s="12">
        <f>-8033*LN(K15)</f>
        <v>1176.4973541240913</v>
      </c>
      <c r="O15" s="66" t="s">
        <v>5</v>
      </c>
      <c r="P15" s="12">
        <f>M15/K15*8033</f>
        <v>18.095482646501818</v>
      </c>
      <c r="Q15" s="5">
        <f>G15</f>
        <v>-22.90646726716361</v>
      </c>
      <c r="R15" s="9">
        <f>(EXP(J15/8267)*EXP(-N15/8033)-1)*1000</f>
        <v>-4.7989636796350599</v>
      </c>
      <c r="S15" s="2" t="s">
        <v>5</v>
      </c>
      <c r="T15" s="14">
        <f>P15/8.033</f>
        <v>2.2526431777046954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R5" sqref="R5:R15"/>
    </sheetView>
  </sheetViews>
  <sheetFormatPr baseColWidth="10" defaultColWidth="9" defaultRowHeight="16" x14ac:dyDescent="0.2"/>
  <cols>
    <col min="1" max="1" width="10.6640625" customWidth="1"/>
  </cols>
  <sheetData>
    <row r="1" spans="1:22" s="264" customFormat="1" ht="15" x14ac:dyDescent="0.2">
      <c r="A1" s="263"/>
      <c r="B1" s="263"/>
      <c r="C1" s="263"/>
      <c r="D1" s="263"/>
      <c r="F1" s="265"/>
      <c r="G1" s="265"/>
      <c r="R1" s="266"/>
      <c r="S1" s="266"/>
    </row>
    <row r="2" spans="1:22" s="231" customFormat="1" ht="15" x14ac:dyDescent="0.2">
      <c r="A2" s="267"/>
      <c r="B2" s="267"/>
      <c r="C2" s="267"/>
      <c r="D2" s="230"/>
      <c r="R2" s="232"/>
      <c r="S2" s="232"/>
    </row>
    <row r="3" spans="1:22" x14ac:dyDescent="0.2">
      <c r="I3" s="223"/>
    </row>
    <row r="4" spans="1:22" ht="29" x14ac:dyDescent="0.2">
      <c r="A4" s="60" t="s">
        <v>825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340" t="s">
        <v>17</v>
      </c>
      <c r="J4" s="341" t="s">
        <v>15</v>
      </c>
      <c r="K4" s="345" t="s">
        <v>1</v>
      </c>
      <c r="L4" s="345"/>
      <c r="M4" s="345"/>
      <c r="N4" s="345" t="s">
        <v>2</v>
      </c>
      <c r="O4" s="345"/>
      <c r="P4" s="345"/>
      <c r="Q4" s="340" t="s">
        <v>3</v>
      </c>
      <c r="R4" s="346" t="s">
        <v>16</v>
      </c>
      <c r="S4" s="345"/>
      <c r="T4" s="345"/>
    </row>
    <row r="5" spans="1:22" x14ac:dyDescent="0.2">
      <c r="A5" s="156" t="s">
        <v>814</v>
      </c>
      <c r="B5" s="156" t="s">
        <v>216</v>
      </c>
      <c r="C5" s="34">
        <v>0.84970000000000001</v>
      </c>
      <c r="D5" s="34">
        <v>3.0000000000000001E-3</v>
      </c>
      <c r="E5" s="32"/>
      <c r="F5" s="32"/>
      <c r="G5" s="36">
        <v>-19.399999999999999</v>
      </c>
      <c r="I5" s="270">
        <v>770</v>
      </c>
      <c r="J5" s="271">
        <f>1950-I5</f>
        <v>1180</v>
      </c>
      <c r="K5" s="272">
        <f>C5</f>
        <v>0.84970000000000001</v>
      </c>
      <c r="L5" s="273" t="s">
        <v>5</v>
      </c>
      <c r="M5" s="274">
        <f>D5</f>
        <v>3.0000000000000001E-3</v>
      </c>
      <c r="N5" s="275">
        <f>-8033*LN(K5)</f>
        <v>1308.3502375692283</v>
      </c>
      <c r="O5" s="276" t="s">
        <v>5</v>
      </c>
      <c r="P5" s="275">
        <f>M5/K5*8033</f>
        <v>28.361774744027304</v>
      </c>
      <c r="Q5" s="277">
        <f>G5</f>
        <v>-19.399999999999999</v>
      </c>
      <c r="R5" s="271">
        <f>(EXP(J5/8267)*EXP(-N5/8033)-1)*1000</f>
        <v>-19.934382552470264</v>
      </c>
      <c r="S5" s="273" t="s">
        <v>5</v>
      </c>
      <c r="T5" s="278">
        <f>P5/8.033</f>
        <v>3.5306578792515007</v>
      </c>
      <c r="U5" s="9"/>
      <c r="V5" s="9"/>
    </row>
    <row r="6" spans="1:22" x14ac:dyDescent="0.2">
      <c r="A6" s="156" t="s">
        <v>815</v>
      </c>
      <c r="B6" s="156" t="s">
        <v>217</v>
      </c>
      <c r="C6" s="34">
        <v>0.85270000000000001</v>
      </c>
      <c r="D6" s="34">
        <v>3.0000000000000001E-3</v>
      </c>
      <c r="E6" s="32"/>
      <c r="F6" s="32"/>
      <c r="G6" s="36">
        <v>-19.7</v>
      </c>
      <c r="I6" s="270">
        <v>771</v>
      </c>
      <c r="J6" s="271">
        <f t="shared" ref="J6:J15" si="0">1950-I6</f>
        <v>1179</v>
      </c>
      <c r="K6" s="272">
        <f>C6</f>
        <v>0.85270000000000001</v>
      </c>
      <c r="L6" s="273" t="s">
        <v>5</v>
      </c>
      <c r="M6" s="274">
        <f>D6</f>
        <v>3.0000000000000001E-3</v>
      </c>
      <c r="N6" s="275">
        <f>-8033*LN(K6)</f>
        <v>1280.0384131497915</v>
      </c>
      <c r="O6" s="276" t="s">
        <v>5</v>
      </c>
      <c r="P6" s="275">
        <f>M6/K6*8033</f>
        <v>28.261991321684064</v>
      </c>
      <c r="Q6" s="277">
        <f>G6</f>
        <v>-19.7</v>
      </c>
      <c r="R6" s="271">
        <f>(EXP(J6/8267)*EXP(-N6/8033)-1)*1000</f>
        <v>-16.593069072184385</v>
      </c>
      <c r="S6" s="273" t="s">
        <v>5</v>
      </c>
      <c r="T6" s="278">
        <f>P6/8.033</f>
        <v>3.5182361909229511</v>
      </c>
      <c r="U6" s="9"/>
      <c r="V6" s="9"/>
    </row>
    <row r="7" spans="1:22" x14ac:dyDescent="0.2">
      <c r="A7" s="156" t="s">
        <v>816</v>
      </c>
      <c r="B7" s="156" t="s">
        <v>218</v>
      </c>
      <c r="C7" s="34">
        <v>0.85399999999999998</v>
      </c>
      <c r="D7" s="34">
        <v>3.0999999999999999E-3</v>
      </c>
      <c r="E7" s="32"/>
      <c r="F7" s="32"/>
      <c r="G7" s="36">
        <v>-19.7</v>
      </c>
      <c r="I7" s="270">
        <v>772</v>
      </c>
      <c r="J7" s="271">
        <f t="shared" si="0"/>
        <v>1178</v>
      </c>
      <c r="K7" s="272">
        <f t="shared" ref="K7:K14" si="1">C7</f>
        <v>0.85399999999999998</v>
      </c>
      <c r="L7" s="273" t="s">
        <v>5</v>
      </c>
      <c r="M7" s="274">
        <f t="shared" ref="M7:M15" si="2">D7</f>
        <v>3.0999999999999999E-3</v>
      </c>
      <c r="N7" s="275">
        <f t="shared" ref="N7:N13" si="3">-8033*LN(K7)</f>
        <v>1267.8008763599255</v>
      </c>
      <c r="O7" s="276" t="s">
        <v>5</v>
      </c>
      <c r="P7" s="275">
        <f t="shared" ref="P7:P14" si="4">M7/K7*8033</f>
        <v>29.1596018735363</v>
      </c>
      <c r="Q7" s="277">
        <f t="shared" ref="Q7:Q14" si="5">G7</f>
        <v>-19.7</v>
      </c>
      <c r="R7" s="271">
        <f t="shared" ref="R7:R14" si="6">(EXP(J7/8267)*EXP(-N7/8033)-1)*1000</f>
        <v>-15.212927205256799</v>
      </c>
      <c r="S7" s="273" t="s">
        <v>5</v>
      </c>
      <c r="T7" s="278">
        <f t="shared" ref="T7:T14" si="7">P7/8.033</f>
        <v>3.629976580796253</v>
      </c>
      <c r="U7" s="9"/>
      <c r="V7" s="9"/>
    </row>
    <row r="8" spans="1:22" x14ac:dyDescent="0.2">
      <c r="A8" s="156" t="s">
        <v>817</v>
      </c>
      <c r="B8" s="156" t="s">
        <v>219</v>
      </c>
      <c r="C8" s="34">
        <v>0.85219999999999996</v>
      </c>
      <c r="D8" s="34">
        <v>3.0000000000000001E-3</v>
      </c>
      <c r="E8" s="32"/>
      <c r="F8" s="32"/>
      <c r="G8" s="36">
        <v>-19.899999999999999</v>
      </c>
      <c r="I8" s="270">
        <v>773</v>
      </c>
      <c r="J8" s="271">
        <f t="shared" si="0"/>
        <v>1177</v>
      </c>
      <c r="K8" s="272">
        <f t="shared" si="1"/>
        <v>0.85219999999999996</v>
      </c>
      <c r="L8" s="273" t="s">
        <v>5</v>
      </c>
      <c r="M8" s="274">
        <f t="shared" si="2"/>
        <v>3.0000000000000001E-3</v>
      </c>
      <c r="N8" s="275">
        <f t="shared" si="3"/>
        <v>1284.7501265818421</v>
      </c>
      <c r="O8" s="276" t="s">
        <v>5</v>
      </c>
      <c r="P8" s="275">
        <f t="shared" si="4"/>
        <v>28.278573104904954</v>
      </c>
      <c r="Q8" s="277">
        <f t="shared" si="5"/>
        <v>-19.899999999999999</v>
      </c>
      <c r="R8" s="271">
        <f>(EXP(J8/8267)*EXP(-N8/8033)-1)*1000</f>
        <v>-17.40745522242948</v>
      </c>
      <c r="S8" s="273" t="s">
        <v>5</v>
      </c>
      <c r="T8" s="278">
        <f t="shared" si="7"/>
        <v>3.5203003989673789</v>
      </c>
      <c r="U8" s="9"/>
      <c r="V8" s="9"/>
    </row>
    <row r="9" spans="1:22" x14ac:dyDescent="0.2">
      <c r="A9" s="156" t="s">
        <v>818</v>
      </c>
      <c r="B9" s="156" t="s">
        <v>298</v>
      </c>
      <c r="C9" s="34">
        <v>0.85260000000000002</v>
      </c>
      <c r="D9" s="34">
        <v>3.0000000000000001E-3</v>
      </c>
      <c r="E9" s="32"/>
      <c r="F9" s="32"/>
      <c r="G9" s="36">
        <v>-19</v>
      </c>
      <c r="I9" s="270">
        <v>774</v>
      </c>
      <c r="J9" s="271">
        <f t="shared" si="0"/>
        <v>1176</v>
      </c>
      <c r="K9" s="272">
        <f t="shared" si="1"/>
        <v>0.85260000000000002</v>
      </c>
      <c r="L9" s="2" t="s">
        <v>5</v>
      </c>
      <c r="M9" s="13">
        <f t="shared" si="2"/>
        <v>3.0000000000000001E-3</v>
      </c>
      <c r="N9" s="12">
        <f t="shared" si="3"/>
        <v>1280.9805347717004</v>
      </c>
      <c r="O9" s="66" t="s">
        <v>5</v>
      </c>
      <c r="P9" s="12">
        <f t="shared" si="4"/>
        <v>28.26530612244898</v>
      </c>
      <c r="Q9" s="5">
        <f t="shared" si="5"/>
        <v>-19</v>
      </c>
      <c r="R9" s="9">
        <f t="shared" si="6"/>
        <v>-17.065158237536295</v>
      </c>
      <c r="S9" s="2" t="s">
        <v>5</v>
      </c>
      <c r="T9" s="14">
        <f t="shared" si="7"/>
        <v>3.5186488388458836</v>
      </c>
      <c r="U9" s="9"/>
      <c r="V9" s="9"/>
    </row>
    <row r="10" spans="1:22" x14ac:dyDescent="0.2">
      <c r="A10" s="156" t="s">
        <v>819</v>
      </c>
      <c r="B10" s="156" t="s">
        <v>299</v>
      </c>
      <c r="C10" s="34">
        <v>0.86470000000000002</v>
      </c>
      <c r="D10" s="34">
        <v>3.0000000000000001E-3</v>
      </c>
      <c r="E10" s="32"/>
      <c r="F10" s="32"/>
      <c r="G10" s="36">
        <v>-20.8</v>
      </c>
      <c r="I10" s="270">
        <v>775</v>
      </c>
      <c r="J10" s="271">
        <f t="shared" si="0"/>
        <v>1175</v>
      </c>
      <c r="K10" s="272">
        <f t="shared" si="1"/>
        <v>0.86470000000000002</v>
      </c>
      <c r="L10" s="2" t="s">
        <v>5</v>
      </c>
      <c r="M10" s="13">
        <f t="shared" si="2"/>
        <v>3.0000000000000001E-3</v>
      </c>
      <c r="N10" s="12">
        <f t="shared" si="3"/>
        <v>1167.7785216755397</v>
      </c>
      <c r="O10" s="66" t="s">
        <v>5</v>
      </c>
      <c r="P10" s="12">
        <f t="shared" si="4"/>
        <v>27.86978142708454</v>
      </c>
      <c r="Q10" s="5">
        <f t="shared" si="5"/>
        <v>-20.8</v>
      </c>
      <c r="R10" s="9">
        <f>(EXP(J10/8267)*EXP(-N10/8033)-1)*1000</f>
        <v>-3.2360400440546444</v>
      </c>
      <c r="S10" s="2" t="s">
        <v>5</v>
      </c>
      <c r="T10" s="14">
        <f t="shared" si="7"/>
        <v>3.4694113565398408</v>
      </c>
      <c r="U10" s="9"/>
      <c r="V10" s="9"/>
    </row>
    <row r="11" spans="1:22" x14ac:dyDescent="0.2">
      <c r="A11" s="156" t="s">
        <v>820</v>
      </c>
      <c r="B11" s="156" t="s">
        <v>220</v>
      </c>
      <c r="C11" s="34">
        <v>0.86450000000000005</v>
      </c>
      <c r="D11" s="34">
        <v>3.0999999999999999E-3</v>
      </c>
      <c r="E11" s="32"/>
      <c r="F11" s="32"/>
      <c r="G11" s="36">
        <v>-18.600000000000001</v>
      </c>
      <c r="I11" s="270">
        <v>776</v>
      </c>
      <c r="J11" s="271">
        <f t="shared" si="0"/>
        <v>1174</v>
      </c>
      <c r="K11" s="272">
        <f>C11</f>
        <v>0.86450000000000005</v>
      </c>
      <c r="L11" s="2" t="s">
        <v>5</v>
      </c>
      <c r="M11" s="13">
        <f>D11</f>
        <v>3.0999999999999999E-3</v>
      </c>
      <c r="N11" s="12">
        <f t="shared" si="3"/>
        <v>1169.6367220076747</v>
      </c>
      <c r="O11" s="66" t="s">
        <v>5</v>
      </c>
      <c r="P11" s="12">
        <f t="shared" si="4"/>
        <v>28.805436668594563</v>
      </c>
      <c r="Q11" s="5">
        <f t="shared" si="5"/>
        <v>-18.600000000000001</v>
      </c>
      <c r="R11" s="9">
        <f>(EXP(J11/8267)*EXP(-N11/8033)-1)*1000</f>
        <v>-3.587121903470103</v>
      </c>
      <c r="S11" s="2" t="s">
        <v>5</v>
      </c>
      <c r="T11" s="14">
        <f t="shared" si="7"/>
        <v>3.5858877964141125</v>
      </c>
      <c r="U11" s="9"/>
      <c r="V11" s="9"/>
    </row>
    <row r="12" spans="1:22" x14ac:dyDescent="0.2">
      <c r="A12" s="156" t="s">
        <v>821</v>
      </c>
      <c r="B12" s="156" t="s">
        <v>221</v>
      </c>
      <c r="C12" s="34">
        <v>0.8649</v>
      </c>
      <c r="D12" s="34">
        <v>3.0000000000000001E-3</v>
      </c>
      <c r="E12" s="32"/>
      <c r="F12" s="32"/>
      <c r="G12" s="36">
        <v>-19.7</v>
      </c>
      <c r="I12" s="270">
        <v>777</v>
      </c>
      <c r="J12" s="271">
        <f t="shared" si="0"/>
        <v>1173</v>
      </c>
      <c r="K12" s="272">
        <f t="shared" si="1"/>
        <v>0.8649</v>
      </c>
      <c r="L12" s="2" t="s">
        <v>5</v>
      </c>
      <c r="M12" s="13">
        <f t="shared" si="2"/>
        <v>3.0000000000000001E-3</v>
      </c>
      <c r="N12" s="12">
        <f t="shared" si="3"/>
        <v>1165.920751084466</v>
      </c>
      <c r="O12" s="66" t="s">
        <v>5</v>
      </c>
      <c r="P12" s="12">
        <f t="shared" si="4"/>
        <v>27.863336801942424</v>
      </c>
      <c r="Q12" s="5">
        <f t="shared" si="5"/>
        <v>-19.7</v>
      </c>
      <c r="R12" s="9">
        <f t="shared" si="6"/>
        <v>-3.24666387920447</v>
      </c>
      <c r="S12" s="2" t="s">
        <v>5</v>
      </c>
      <c r="T12" s="14">
        <f t="shared" si="7"/>
        <v>3.4686090877558104</v>
      </c>
      <c r="U12" s="9"/>
      <c r="V12" s="9"/>
    </row>
    <row r="13" spans="1:22" x14ac:dyDescent="0.2">
      <c r="A13" s="156" t="s">
        <v>822</v>
      </c>
      <c r="B13" s="156" t="s">
        <v>222</v>
      </c>
      <c r="C13" s="34">
        <v>0.86099999999999999</v>
      </c>
      <c r="D13" s="34">
        <v>2.5000000000000001E-3</v>
      </c>
      <c r="E13" s="32"/>
      <c r="F13" s="32"/>
      <c r="G13" s="36">
        <v>-19.600000000000001</v>
      </c>
      <c r="I13" s="270">
        <v>778</v>
      </c>
      <c r="J13" s="271">
        <f t="shared" si="0"/>
        <v>1172</v>
      </c>
      <c r="K13" s="272">
        <f t="shared" si="1"/>
        <v>0.86099999999999999</v>
      </c>
      <c r="L13" s="2" t="s">
        <v>5</v>
      </c>
      <c r="M13" s="13">
        <f t="shared" si="2"/>
        <v>2.5000000000000001E-3</v>
      </c>
      <c r="N13" s="12">
        <f t="shared" si="3"/>
        <v>1202.2250019955457</v>
      </c>
      <c r="O13" s="66" t="s">
        <v>5</v>
      </c>
      <c r="P13" s="12">
        <f t="shared" si="4"/>
        <v>23.324622531939607</v>
      </c>
      <c r="Q13" s="5">
        <f t="shared" si="5"/>
        <v>-19.600000000000001</v>
      </c>
      <c r="R13" s="9">
        <f t="shared" si="6"/>
        <v>-7.8612350687760069</v>
      </c>
      <c r="S13" s="2" t="s">
        <v>5</v>
      </c>
      <c r="T13" s="14">
        <f t="shared" si="7"/>
        <v>2.9036004645760749</v>
      </c>
      <c r="U13" s="9"/>
      <c r="V13" s="9"/>
    </row>
    <row r="14" spans="1:22" x14ac:dyDescent="0.2">
      <c r="A14" s="156" t="s">
        <v>823</v>
      </c>
      <c r="B14" s="156" t="s">
        <v>223</v>
      </c>
      <c r="C14" s="34">
        <v>0.86019999999999996</v>
      </c>
      <c r="D14" s="34">
        <v>2.3999999999999998E-3</v>
      </c>
      <c r="E14" s="32"/>
      <c r="F14" s="32"/>
      <c r="G14" s="36">
        <v>-20.399999999999999</v>
      </c>
      <c r="I14" s="270">
        <v>779</v>
      </c>
      <c r="J14" s="271">
        <f t="shared" si="0"/>
        <v>1171</v>
      </c>
      <c r="K14" s="272">
        <f t="shared" si="1"/>
        <v>0.86019999999999996</v>
      </c>
      <c r="L14" s="2" t="s">
        <v>5</v>
      </c>
      <c r="M14" s="13">
        <f t="shared" si="2"/>
        <v>2.3999999999999998E-3</v>
      </c>
      <c r="N14" s="12">
        <f>-8033*LN(K14)</f>
        <v>1209.6923508948817</v>
      </c>
      <c r="O14" s="66" t="s">
        <v>5</v>
      </c>
      <c r="P14" s="12">
        <f t="shared" si="4"/>
        <v>22.412462218088816</v>
      </c>
      <c r="Q14" s="5">
        <f t="shared" si="5"/>
        <v>-20.399999999999999</v>
      </c>
      <c r="R14" s="9">
        <f t="shared" si="6"/>
        <v>-8.9029761200578594</v>
      </c>
      <c r="S14" s="2" t="s">
        <v>5</v>
      </c>
      <c r="T14" s="14">
        <f t="shared" si="7"/>
        <v>2.7900488258544525</v>
      </c>
      <c r="U14" s="9"/>
      <c r="V14" s="9"/>
    </row>
    <row r="15" spans="1:22" x14ac:dyDescent="0.2">
      <c r="A15" s="156" t="s">
        <v>824</v>
      </c>
      <c r="B15" s="156" t="s">
        <v>224</v>
      </c>
      <c r="C15" s="34">
        <v>0.86160000000000003</v>
      </c>
      <c r="D15" s="34">
        <v>2.5000000000000001E-3</v>
      </c>
      <c r="E15" s="32"/>
      <c r="F15" s="32"/>
      <c r="G15" s="36">
        <v>-18.600000000000001</v>
      </c>
      <c r="I15" s="270">
        <v>780</v>
      </c>
      <c r="J15" s="271">
        <f t="shared" si="0"/>
        <v>1170</v>
      </c>
      <c r="K15" s="272">
        <f>C15</f>
        <v>0.86160000000000003</v>
      </c>
      <c r="L15" s="2" t="s">
        <v>5</v>
      </c>
      <c r="M15" s="13">
        <f t="shared" si="2"/>
        <v>2.5000000000000001E-3</v>
      </c>
      <c r="N15" s="12">
        <f>-8033*LN(K15)</f>
        <v>1196.6290421732842</v>
      </c>
      <c r="O15" s="66" t="s">
        <v>5</v>
      </c>
      <c r="P15" s="12">
        <f>M15/K15*8033</f>
        <v>23.308379758588671</v>
      </c>
      <c r="Q15" s="5">
        <f>G15</f>
        <v>-18.600000000000001</v>
      </c>
      <c r="R15" s="9">
        <f>(EXP(J15/8267)*EXP(-N15/8033)-1)*1000</f>
        <v>-7.4100112758169745</v>
      </c>
      <c r="S15" s="2" t="s">
        <v>5</v>
      </c>
      <c r="T15" s="14">
        <f>P15/8.033</f>
        <v>2.9015784586815228</v>
      </c>
      <c r="U15" s="9"/>
      <c r="V15" s="9"/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workbookViewId="0">
      <selection activeCell="E19" sqref="E19"/>
    </sheetView>
  </sheetViews>
  <sheetFormatPr baseColWidth="10" defaultColWidth="9" defaultRowHeight="16" x14ac:dyDescent="0.2"/>
  <sheetData>
    <row r="1" spans="1:34" s="264" customFormat="1" ht="15" x14ac:dyDescent="0.2">
      <c r="A1" s="263"/>
      <c r="B1" s="263"/>
      <c r="C1" s="263"/>
      <c r="D1" s="263"/>
      <c r="F1" s="265"/>
      <c r="G1" s="265"/>
      <c r="R1" s="266"/>
      <c r="S1" s="266"/>
    </row>
    <row r="2" spans="1:34" s="231" customFormat="1" x14ac:dyDescent="0.2">
      <c r="A2" s="267"/>
      <c r="B2" s="267"/>
      <c r="C2" s="267"/>
      <c r="D2" s="230"/>
      <c r="O2" s="230"/>
      <c r="P2" s="230"/>
      <c r="AE2" s="230"/>
      <c r="AG2" s="268"/>
      <c r="AH2" s="320"/>
    </row>
    <row r="3" spans="1:34" ht="29" x14ac:dyDescent="0.2">
      <c r="A3" s="257" t="s">
        <v>167</v>
      </c>
      <c r="B3" s="257" t="s">
        <v>168</v>
      </c>
      <c r="C3" s="257" t="s">
        <v>303</v>
      </c>
      <c r="D3" s="257" t="s">
        <v>524</v>
      </c>
      <c r="E3" s="257" t="s">
        <v>178</v>
      </c>
      <c r="F3" s="257" t="s">
        <v>179</v>
      </c>
      <c r="G3" s="257" t="s">
        <v>180</v>
      </c>
      <c r="H3" s="257" t="s">
        <v>525</v>
      </c>
      <c r="J3" s="336" t="s">
        <v>17</v>
      </c>
      <c r="K3" s="337" t="s">
        <v>15</v>
      </c>
      <c r="L3" s="350" t="s">
        <v>1</v>
      </c>
      <c r="M3" s="350"/>
      <c r="N3" s="350"/>
      <c r="O3" s="350" t="s">
        <v>2</v>
      </c>
      <c r="P3" s="350"/>
      <c r="Q3" s="350"/>
      <c r="R3" s="336" t="s">
        <v>3</v>
      </c>
      <c r="S3" s="351" t="s">
        <v>16</v>
      </c>
      <c r="T3" s="350"/>
      <c r="U3" s="350"/>
    </row>
    <row r="4" spans="1:34" x14ac:dyDescent="0.2">
      <c r="A4" s="258" t="s">
        <v>526</v>
      </c>
      <c r="B4" s="269">
        <v>770</v>
      </c>
      <c r="C4" s="259">
        <v>64008</v>
      </c>
      <c r="D4" s="260">
        <v>0.85070680339635452</v>
      </c>
      <c r="E4" s="260">
        <v>1.9026907104879296E-3</v>
      </c>
      <c r="F4" s="261">
        <v>1298.825661621762</v>
      </c>
      <c r="G4" s="261">
        <v>17.966441075096931</v>
      </c>
      <c r="H4" s="262">
        <v>-21.307858584516225</v>
      </c>
      <c r="J4" s="270">
        <v>770</v>
      </c>
      <c r="K4" s="271">
        <f>1950-J4</f>
        <v>1180</v>
      </c>
      <c r="L4" s="272">
        <f>D4</f>
        <v>0.85070680339635452</v>
      </c>
      <c r="M4" s="273" t="s">
        <v>5</v>
      </c>
      <c r="N4" s="274">
        <f>E4</f>
        <v>1.9026907104879296E-3</v>
      </c>
      <c r="O4" s="275">
        <f>-8033*LN(L4)</f>
        <v>1298.8376284548949</v>
      </c>
      <c r="P4" s="276" t="s">
        <v>5</v>
      </c>
      <c r="Q4" s="275">
        <f>N4/L4*8033</f>
        <v>17.966606610325172</v>
      </c>
      <c r="R4" s="277">
        <f>H4</f>
        <v>-21.307858584516225</v>
      </c>
      <c r="S4" s="271">
        <f>(EXP(K4/8267)*EXP(-O4/8033)-1)*1000</f>
        <v>-18.773109877059603</v>
      </c>
      <c r="T4" s="273" t="s">
        <v>5</v>
      </c>
      <c r="U4" s="278">
        <f>Q4/8.033</f>
        <v>2.2365998519015529</v>
      </c>
    </row>
    <row r="5" spans="1:34" x14ac:dyDescent="0.2">
      <c r="A5" s="258" t="s">
        <v>526</v>
      </c>
      <c r="B5" s="269">
        <v>771</v>
      </c>
      <c r="C5" s="259">
        <v>64009</v>
      </c>
      <c r="D5" s="260">
        <v>0.85393367101134565</v>
      </c>
      <c r="E5" s="260">
        <v>1.9140453049147582E-3</v>
      </c>
      <c r="F5" s="261">
        <v>1268.4131258693558</v>
      </c>
      <c r="G5" s="261">
        <v>18.005361299138727</v>
      </c>
      <c r="H5" s="262">
        <v>-21.258320017015777</v>
      </c>
      <c r="J5" s="270">
        <v>771</v>
      </c>
      <c r="K5" s="271">
        <f t="shared" ref="K5:K14" si="0">1950-J5</f>
        <v>1179</v>
      </c>
      <c r="L5" s="272">
        <f t="shared" ref="L5:L14" si="1">D5</f>
        <v>0.85393367101134565</v>
      </c>
      <c r="M5" s="273" t="s">
        <v>5</v>
      </c>
      <c r="N5" s="274">
        <f t="shared" ref="N5:N14" si="2">E5</f>
        <v>1.9140453049147582E-3</v>
      </c>
      <c r="O5" s="275">
        <f t="shared" ref="O5:O14" si="3">-8033*LN(L5)</f>
        <v>1268.4248124941812</v>
      </c>
      <c r="P5" s="276" t="s">
        <v>5</v>
      </c>
      <c r="Q5" s="275">
        <f t="shared" ref="Q5:Q14" si="4">N5/L5*8033</f>
        <v>18.005527192961534</v>
      </c>
      <c r="R5" s="277">
        <f t="shared" ref="R5:R14" si="5">H5</f>
        <v>-21.258320017015777</v>
      </c>
      <c r="S5" s="271">
        <f t="shared" ref="S5:S14" si="6">(EXP(K5/8267)*EXP(-O5/8033)-1)*1000</f>
        <v>-15.170293625905495</v>
      </c>
      <c r="T5" s="273" t="s">
        <v>5</v>
      </c>
      <c r="U5" s="278">
        <f t="shared" ref="U5:U14" si="7">Q5/8.033</f>
        <v>2.2414449387478568</v>
      </c>
    </row>
    <row r="6" spans="1:34" x14ac:dyDescent="0.2">
      <c r="A6" s="258" t="s">
        <v>526</v>
      </c>
      <c r="B6" s="269">
        <v>772</v>
      </c>
      <c r="C6" s="259">
        <v>64010</v>
      </c>
      <c r="D6" s="260">
        <v>0.84959287292667152</v>
      </c>
      <c r="E6" s="260">
        <v>1.9338693443260505E-3</v>
      </c>
      <c r="F6" s="261">
        <v>1309.3510089161714</v>
      </c>
      <c r="G6" s="261">
        <v>18.284792408768297</v>
      </c>
      <c r="H6" s="262">
        <v>-20.400662946752579</v>
      </c>
      <c r="J6" s="270">
        <v>772</v>
      </c>
      <c r="K6" s="271">
        <f t="shared" si="0"/>
        <v>1178</v>
      </c>
      <c r="L6" s="272">
        <f t="shared" si="1"/>
        <v>0.84959287292667152</v>
      </c>
      <c r="M6" s="273" t="s">
        <v>5</v>
      </c>
      <c r="N6" s="274">
        <f t="shared" si="2"/>
        <v>1.9338693443260505E-3</v>
      </c>
      <c r="O6" s="275">
        <f t="shared" si="3"/>
        <v>1309.3630727254256</v>
      </c>
      <c r="P6" s="276" t="s">
        <v>5</v>
      </c>
      <c r="Q6" s="275">
        <f t="shared" si="4"/>
        <v>18.284960877151768</v>
      </c>
      <c r="R6" s="277">
        <f t="shared" si="5"/>
        <v>-20.400662946752579</v>
      </c>
      <c r="S6" s="271">
        <f t="shared" si="6"/>
        <v>-20.294990167759821</v>
      </c>
      <c r="T6" s="273" t="s">
        <v>5</v>
      </c>
      <c r="U6" s="278">
        <f t="shared" si="7"/>
        <v>2.2762306581789828</v>
      </c>
    </row>
    <row r="7" spans="1:34" x14ac:dyDescent="0.2">
      <c r="A7" s="258" t="s">
        <v>526</v>
      </c>
      <c r="B7" s="269">
        <v>773</v>
      </c>
      <c r="C7" s="259">
        <v>64011</v>
      </c>
      <c r="D7" s="260">
        <v>0.84921030926668073</v>
      </c>
      <c r="E7" s="260">
        <v>1.8867226268902003E-3</v>
      </c>
      <c r="F7" s="261">
        <v>1312.9689743762851</v>
      </c>
      <c r="G7" s="261">
        <v>17.847055147954464</v>
      </c>
      <c r="H7" s="262">
        <v>-22.213830025349601</v>
      </c>
      <c r="J7" s="270">
        <v>773</v>
      </c>
      <c r="K7" s="271">
        <f t="shared" si="0"/>
        <v>1177</v>
      </c>
      <c r="L7" s="272">
        <f t="shared" si="1"/>
        <v>0.84921030926668073</v>
      </c>
      <c r="M7" s="273" t="s">
        <v>5</v>
      </c>
      <c r="N7" s="274">
        <f t="shared" si="2"/>
        <v>1.8867226268902003E-3</v>
      </c>
      <c r="O7" s="275">
        <f t="shared" si="3"/>
        <v>1312.9810715199508</v>
      </c>
      <c r="P7" s="276" t="s">
        <v>5</v>
      </c>
      <c r="Q7" s="275">
        <f t="shared" si="4"/>
        <v>17.847219583211004</v>
      </c>
      <c r="R7" s="277">
        <f t="shared" si="5"/>
        <v>-22.213830025349601</v>
      </c>
      <c r="S7" s="271">
        <f t="shared" si="6"/>
        <v>-20.854589493433995</v>
      </c>
      <c r="T7" s="273" t="s">
        <v>5</v>
      </c>
      <c r="U7" s="278">
        <f t="shared" si="7"/>
        <v>2.2217377795606876</v>
      </c>
    </row>
    <row r="8" spans="1:34" x14ac:dyDescent="0.2">
      <c r="A8" s="258" t="s">
        <v>526</v>
      </c>
      <c r="B8" s="269">
        <v>774</v>
      </c>
      <c r="C8" s="259">
        <v>64012</v>
      </c>
      <c r="D8" s="260">
        <v>0.85636687837404002</v>
      </c>
      <c r="E8" s="260">
        <v>1.8975355835879921E-3</v>
      </c>
      <c r="F8" s="261">
        <v>1245.5565725553897</v>
      </c>
      <c r="G8" s="261">
        <v>17.79933727878376</v>
      </c>
      <c r="H8" s="262">
        <v>-20.530976063700244</v>
      </c>
      <c r="J8" s="220">
        <v>774</v>
      </c>
      <c r="K8" s="9">
        <f t="shared" si="0"/>
        <v>1176</v>
      </c>
      <c r="L8" s="69">
        <f t="shared" si="1"/>
        <v>0.85636687837404002</v>
      </c>
      <c r="M8" s="2" t="s">
        <v>5</v>
      </c>
      <c r="N8" s="13">
        <f t="shared" si="2"/>
        <v>1.8975355835879921E-3</v>
      </c>
      <c r="O8" s="12">
        <f t="shared" si="3"/>
        <v>1245.5680485895505</v>
      </c>
      <c r="P8" s="66" t="s">
        <v>5</v>
      </c>
      <c r="Q8" s="12">
        <f t="shared" si="4"/>
        <v>17.799501274387932</v>
      </c>
      <c r="R8" s="5">
        <f t="shared" si="5"/>
        <v>-20.530976063700244</v>
      </c>
      <c r="S8" s="9">
        <f t="shared" si="6"/>
        <v>-12.722446533893983</v>
      </c>
      <c r="T8" s="2" t="s">
        <v>5</v>
      </c>
      <c r="U8" s="14">
        <f t="shared" si="7"/>
        <v>2.2157974946331298</v>
      </c>
    </row>
    <row r="9" spans="1:34" x14ac:dyDescent="0.2">
      <c r="A9" s="258" t="s">
        <v>526</v>
      </c>
      <c r="B9" s="269">
        <v>775</v>
      </c>
      <c r="C9" s="259">
        <v>64013</v>
      </c>
      <c r="D9" s="260">
        <v>0.8590713103221127</v>
      </c>
      <c r="E9" s="260">
        <v>1.9019958311721845E-3</v>
      </c>
      <c r="F9" s="261">
        <v>1220.2283271894057</v>
      </c>
      <c r="G9" s="261">
        <v>17.785009879519691</v>
      </c>
      <c r="H9" s="262">
        <v>-21.259907416947833</v>
      </c>
      <c r="J9" s="220">
        <v>775</v>
      </c>
      <c r="K9" s="9">
        <f t="shared" si="0"/>
        <v>1175</v>
      </c>
      <c r="L9" s="69">
        <f t="shared" si="1"/>
        <v>0.8590713103221127</v>
      </c>
      <c r="M9" s="2" t="s">
        <v>5</v>
      </c>
      <c r="N9" s="13">
        <f t="shared" si="2"/>
        <v>1.9019958311721845E-3</v>
      </c>
      <c r="O9" s="12">
        <f t="shared" si="3"/>
        <v>1220.2395698597709</v>
      </c>
      <c r="P9" s="66" t="s">
        <v>5</v>
      </c>
      <c r="Q9" s="12">
        <f t="shared" si="4"/>
        <v>17.785173743117237</v>
      </c>
      <c r="R9" s="5">
        <f t="shared" si="5"/>
        <v>-21.259907416947833</v>
      </c>
      <c r="S9" s="9">
        <f t="shared" si="6"/>
        <v>-9.7243886189293249</v>
      </c>
      <c r="T9" s="2" t="s">
        <v>5</v>
      </c>
      <c r="U9" s="14">
        <f t="shared" si="7"/>
        <v>2.2140139105088061</v>
      </c>
    </row>
    <row r="10" spans="1:34" x14ac:dyDescent="0.2">
      <c r="A10" s="258" t="s">
        <v>526</v>
      </c>
      <c r="B10" s="269">
        <v>776</v>
      </c>
      <c r="C10" s="259">
        <v>64014</v>
      </c>
      <c r="D10" s="260">
        <v>0.86197358812513936</v>
      </c>
      <c r="E10" s="260">
        <v>1.9332931228692493E-3</v>
      </c>
      <c r="F10" s="261">
        <v>1193.1357104784383</v>
      </c>
      <c r="G10" s="261">
        <v>18.016793998174641</v>
      </c>
      <c r="H10" s="262">
        <v>-21.979141520723555</v>
      </c>
      <c r="J10" s="220">
        <v>776</v>
      </c>
      <c r="K10" s="9">
        <f t="shared" si="0"/>
        <v>1174</v>
      </c>
      <c r="L10" s="69">
        <f t="shared" si="1"/>
        <v>0.86197358812513936</v>
      </c>
      <c r="M10" s="2" t="s">
        <v>5</v>
      </c>
      <c r="N10" s="13">
        <f t="shared" si="2"/>
        <v>1.9332931228692493E-3</v>
      </c>
      <c r="O10" s="12">
        <f t="shared" si="3"/>
        <v>1193.1467035288331</v>
      </c>
      <c r="P10" s="66" t="s">
        <v>5</v>
      </c>
      <c r="Q10" s="12">
        <f t="shared" si="4"/>
        <v>18.016959997333526</v>
      </c>
      <c r="R10" s="5">
        <f t="shared" si="5"/>
        <v>-21.979141520723555</v>
      </c>
      <c r="S10" s="9">
        <f t="shared" si="6"/>
        <v>-6.4990355269370914</v>
      </c>
      <c r="T10" s="2" t="s">
        <v>5</v>
      </c>
      <c r="U10" s="14">
        <f t="shared" si="7"/>
        <v>2.2428681684717451</v>
      </c>
    </row>
    <row r="11" spans="1:34" x14ac:dyDescent="0.2">
      <c r="A11" s="258" t="s">
        <v>526</v>
      </c>
      <c r="B11" s="269">
        <v>777</v>
      </c>
      <c r="C11" s="259">
        <v>64015</v>
      </c>
      <c r="D11" s="260">
        <v>0.86646360361554042</v>
      </c>
      <c r="E11" s="260">
        <v>1.9277494371837014E-3</v>
      </c>
      <c r="F11" s="261">
        <v>1151.4008491558316</v>
      </c>
      <c r="G11" s="261">
        <v>17.872035810492513</v>
      </c>
      <c r="H11" s="262">
        <v>-22.122258569141739</v>
      </c>
      <c r="J11" s="220">
        <v>777</v>
      </c>
      <c r="K11" s="9">
        <f t="shared" si="0"/>
        <v>1173</v>
      </c>
      <c r="L11" s="69">
        <f t="shared" si="1"/>
        <v>0.86646360361554042</v>
      </c>
      <c r="M11" s="2" t="s">
        <v>5</v>
      </c>
      <c r="N11" s="13">
        <f t="shared" si="2"/>
        <v>1.9277494371837014E-3</v>
      </c>
      <c r="O11" s="12">
        <f t="shared" si="3"/>
        <v>1151.4114576787752</v>
      </c>
      <c r="P11" s="66" t="s">
        <v>5</v>
      </c>
      <c r="Q11" s="12">
        <f t="shared" si="4"/>
        <v>17.872200475910368</v>
      </c>
      <c r="R11" s="5">
        <f t="shared" si="5"/>
        <v>-22.122258569141739</v>
      </c>
      <c r="S11" s="9">
        <f t="shared" si="6"/>
        <v>-1.4446901017036717</v>
      </c>
      <c r="T11" s="2" t="s">
        <v>5</v>
      </c>
      <c r="U11" s="14">
        <f t="shared" si="7"/>
        <v>2.2248475632902238</v>
      </c>
    </row>
    <row r="12" spans="1:34" x14ac:dyDescent="0.2">
      <c r="A12" s="258" t="s">
        <v>526</v>
      </c>
      <c r="B12" s="269">
        <v>778</v>
      </c>
      <c r="C12" s="259">
        <v>64016</v>
      </c>
      <c r="D12" s="260">
        <v>0.8643893568500175</v>
      </c>
      <c r="E12" s="260">
        <v>1.931224122951506E-3</v>
      </c>
      <c r="F12" s="261">
        <v>1170.6541064866433</v>
      </c>
      <c r="G12" s="261">
        <v>17.947213628870983</v>
      </c>
      <c r="H12" s="262">
        <v>-21.793419886362852</v>
      </c>
      <c r="J12" s="220">
        <v>778</v>
      </c>
      <c r="K12" s="9">
        <f t="shared" si="0"/>
        <v>1172</v>
      </c>
      <c r="L12" s="69">
        <f t="shared" si="1"/>
        <v>0.8643893568500175</v>
      </c>
      <c r="M12" s="2" t="s">
        <v>5</v>
      </c>
      <c r="N12" s="13">
        <f t="shared" si="2"/>
        <v>1.931224122951506E-3</v>
      </c>
      <c r="O12" s="12">
        <f t="shared" si="3"/>
        <v>1170.6648924009985</v>
      </c>
      <c r="P12" s="66" t="s">
        <v>5</v>
      </c>
      <c r="Q12" s="12">
        <f t="shared" si="4"/>
        <v>17.947378986945626</v>
      </c>
      <c r="R12" s="5">
        <f t="shared" si="5"/>
        <v>-21.793419886362852</v>
      </c>
      <c r="S12" s="9">
        <f t="shared" si="6"/>
        <v>-3.9556458480006773</v>
      </c>
      <c r="T12" s="2" t="s">
        <v>5</v>
      </c>
      <c r="U12" s="14">
        <f t="shared" si="7"/>
        <v>2.2342062724941649</v>
      </c>
    </row>
    <row r="13" spans="1:34" x14ac:dyDescent="0.2">
      <c r="A13" s="258" t="s">
        <v>526</v>
      </c>
      <c r="B13" s="269">
        <v>779</v>
      </c>
      <c r="C13" s="259">
        <v>64017</v>
      </c>
      <c r="D13" s="260">
        <v>0.86427992380276897</v>
      </c>
      <c r="E13" s="260">
        <v>1.9132136805216603E-3</v>
      </c>
      <c r="F13" s="261">
        <v>1171.6711518870579</v>
      </c>
      <c r="G13" s="261">
        <v>17.782090583845093</v>
      </c>
      <c r="H13" s="262">
        <v>-20.590746902649173</v>
      </c>
      <c r="J13" s="220">
        <v>779</v>
      </c>
      <c r="K13" s="9">
        <f t="shared" si="0"/>
        <v>1171</v>
      </c>
      <c r="L13" s="69">
        <f t="shared" si="1"/>
        <v>0.86427992380276897</v>
      </c>
      <c r="M13" s="2" t="s">
        <v>5</v>
      </c>
      <c r="N13" s="13">
        <f t="shared" si="2"/>
        <v>1.9132136805216603E-3</v>
      </c>
      <c r="O13" s="12">
        <f t="shared" si="3"/>
        <v>1171.6819471720416</v>
      </c>
      <c r="P13" s="66" t="s">
        <v>5</v>
      </c>
      <c r="Q13" s="12">
        <f t="shared" si="4"/>
        <v>17.782254420545478</v>
      </c>
      <c r="R13" s="5">
        <f t="shared" si="5"/>
        <v>-20.590746902649173</v>
      </c>
      <c r="S13" s="9">
        <f t="shared" si="6"/>
        <v>-4.2022084630231049</v>
      </c>
      <c r="T13" s="2" t="s">
        <v>5</v>
      </c>
      <c r="U13" s="14">
        <f t="shared" si="7"/>
        <v>2.2136504942792827</v>
      </c>
    </row>
    <row r="14" spans="1:34" x14ac:dyDescent="0.2">
      <c r="A14" s="258" t="s">
        <v>526</v>
      </c>
      <c r="B14" s="269">
        <v>780</v>
      </c>
      <c r="C14" s="259">
        <v>64018</v>
      </c>
      <c r="D14" s="260">
        <v>0.86028224176991841</v>
      </c>
      <c r="E14" s="260">
        <v>1.9276533526646734E-3</v>
      </c>
      <c r="F14" s="261">
        <v>1208.9132322884407</v>
      </c>
      <c r="G14" s="261">
        <v>17.999554054048172</v>
      </c>
      <c r="H14" s="262">
        <v>-22.168330057081743</v>
      </c>
      <c r="J14" s="220">
        <v>780</v>
      </c>
      <c r="K14" s="9">
        <f t="shared" si="0"/>
        <v>1170</v>
      </c>
      <c r="L14" s="69">
        <f t="shared" si="1"/>
        <v>0.86028224176991841</v>
      </c>
      <c r="M14" s="2" t="s">
        <v>5</v>
      </c>
      <c r="N14" s="13">
        <f t="shared" si="2"/>
        <v>1.9276533526646734E-3</v>
      </c>
      <c r="O14" s="12">
        <f t="shared" si="3"/>
        <v>1208.9243707062826</v>
      </c>
      <c r="P14" s="66" t="s">
        <v>5</v>
      </c>
      <c r="Q14" s="12">
        <f t="shared" si="4"/>
        <v>17.999719894365466</v>
      </c>
      <c r="R14" s="5">
        <f t="shared" si="5"/>
        <v>-22.168330057081743</v>
      </c>
      <c r="S14" s="9">
        <f t="shared" si="6"/>
        <v>-8.928109728391199</v>
      </c>
      <c r="T14" s="2" t="s">
        <v>5</v>
      </c>
      <c r="U14" s="14">
        <f t="shared" si="7"/>
        <v>2.2407220085105775</v>
      </c>
    </row>
  </sheetData>
  <mergeCells count="3">
    <mergeCell ref="L3:N3"/>
    <mergeCell ref="O3:Q3"/>
    <mergeCell ref="S3:U3"/>
  </mergeCell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I19" sqref="I19:I29"/>
    </sheetView>
  </sheetViews>
  <sheetFormatPr baseColWidth="10" defaultColWidth="8.6640625" defaultRowHeight="16" x14ac:dyDescent="0.2"/>
  <cols>
    <col min="1" max="1" width="12" bestFit="1" customWidth="1"/>
    <col min="2" max="2" width="7.6640625" bestFit="1" customWidth="1"/>
    <col min="3" max="4" width="7" bestFit="1" customWidth="1"/>
    <col min="5" max="5" width="7.6640625" bestFit="1" customWidth="1"/>
    <col min="6" max="6" width="6.1640625" bestFit="1" customWidth="1"/>
    <col min="7" max="7" width="5.6640625" bestFit="1" customWidth="1"/>
    <col min="8" max="9" width="11.1640625" bestFit="1" customWidth="1"/>
    <col min="10" max="10" width="11.5" bestFit="1" customWidth="1"/>
    <col min="11" max="11" width="14.6640625" bestFit="1" customWidth="1"/>
    <col min="12" max="12" width="7.6640625" bestFit="1" customWidth="1"/>
    <col min="13" max="13" width="12.1640625" bestFit="1" customWidth="1"/>
    <col min="14" max="14" width="7.5" bestFit="1" customWidth="1"/>
    <col min="15" max="15" width="11.6640625" bestFit="1" customWidth="1"/>
    <col min="16" max="17" width="6.6640625" bestFit="1" customWidth="1"/>
  </cols>
  <sheetData>
    <row r="1" spans="1:20" s="225" customFormat="1" ht="14" x14ac:dyDescent="0.2"/>
    <row r="2" spans="1:20" s="225" customFormat="1" ht="14" x14ac:dyDescent="0.2"/>
    <row r="4" spans="1:20" s="60" customFormat="1" ht="42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H4" s="155"/>
      <c r="I4" s="210" t="s">
        <v>17</v>
      </c>
      <c r="J4" s="211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10" t="s">
        <v>3</v>
      </c>
      <c r="R4" s="346" t="s">
        <v>16</v>
      </c>
      <c r="S4" s="345"/>
      <c r="T4" s="345"/>
    </row>
    <row r="5" spans="1:20" s="154" customFormat="1" hidden="1" x14ac:dyDescent="0.2">
      <c r="A5" s="212" t="s">
        <v>358</v>
      </c>
      <c r="B5" s="212" t="s">
        <v>278</v>
      </c>
      <c r="C5" s="213">
        <v>1.5779401524585299E-3</v>
      </c>
      <c r="D5" s="213">
        <v>1.3958497738928227E-4</v>
      </c>
      <c r="E5" s="214">
        <v>51825.506323856891</v>
      </c>
      <c r="F5" s="214">
        <v>710.59462594810066</v>
      </c>
      <c r="G5" s="215">
        <v>-18.720001308399461</v>
      </c>
      <c r="H5" s="214"/>
      <c r="I5" s="150">
        <v>770</v>
      </c>
      <c r="J5">
        <f>1950-I5</f>
        <v>1180</v>
      </c>
      <c r="K5" s="69">
        <f>AH5</f>
        <v>0</v>
      </c>
      <c r="L5" s="2" t="s">
        <v>5</v>
      </c>
      <c r="M5" s="13">
        <f>AI5</f>
        <v>0</v>
      </c>
      <c r="N5" s="12" t="e">
        <f>-8033*LN(K5)</f>
        <v>#NUM!</v>
      </c>
      <c r="O5" s="66" t="s">
        <v>5</v>
      </c>
      <c r="P5" s="12" t="e">
        <f>M5/K5*8033</f>
        <v>#DIV/0!</v>
      </c>
      <c r="Q5" s="5">
        <f>AL5</f>
        <v>0</v>
      </c>
      <c r="R5" s="9" t="e">
        <f>(EXP(J5/8267)*EXP(-N5/8033)-1)*1000</f>
        <v>#NUM!</v>
      </c>
      <c r="S5" s="2" t="s">
        <v>5</v>
      </c>
      <c r="T5" s="14" t="e">
        <f t="shared" ref="T5:T18" si="0">P5/8.033</f>
        <v>#DIV/0!</v>
      </c>
    </row>
    <row r="6" spans="1:20" s="154" customFormat="1" hidden="1" x14ac:dyDescent="0.2">
      <c r="A6" s="156" t="s">
        <v>359</v>
      </c>
      <c r="B6" s="156" t="s">
        <v>360</v>
      </c>
      <c r="C6" s="34">
        <v>0.9552625609842309</v>
      </c>
      <c r="D6" s="34">
        <v>2.0839200420176666E-3</v>
      </c>
      <c r="E6" s="32">
        <v>367.65933753729786</v>
      </c>
      <c r="F6" s="32">
        <v>17.523952205548756</v>
      </c>
      <c r="G6" s="36">
        <v>-21.823177626336566</v>
      </c>
      <c r="H6" s="32"/>
      <c r="I6" s="150">
        <v>771</v>
      </c>
      <c r="J6">
        <f t="shared" ref="J6:J18" si="1">1950-I6</f>
        <v>1179</v>
      </c>
      <c r="K6" s="69">
        <f t="shared" ref="K6:K18" si="2">AH6</f>
        <v>0</v>
      </c>
      <c r="L6" s="2" t="s">
        <v>5</v>
      </c>
      <c r="M6" s="13">
        <f t="shared" ref="M6:M18" si="3">AI6</f>
        <v>0</v>
      </c>
      <c r="N6" s="12" t="e">
        <f t="shared" ref="N6:N29" si="4">-8033*LN(K6)</f>
        <v>#NUM!</v>
      </c>
      <c r="O6" s="66" t="s">
        <v>5</v>
      </c>
      <c r="P6" s="12" t="e">
        <f t="shared" ref="P6:P18" si="5">M6/K6*8033</f>
        <v>#DIV/0!</v>
      </c>
      <c r="Q6" s="5">
        <f t="shared" ref="Q6:Q18" si="6">AL6</f>
        <v>0</v>
      </c>
      <c r="R6" s="9" t="e">
        <f t="shared" ref="R6:R29" si="7">(EXP(J6/8267)*EXP(-N6/8033)-1)*1000</f>
        <v>#NUM!</v>
      </c>
      <c r="S6" s="2" t="s">
        <v>5</v>
      </c>
      <c r="T6" s="14" t="e">
        <f t="shared" si="0"/>
        <v>#DIV/0!</v>
      </c>
    </row>
    <row r="7" spans="1:20" s="154" customFormat="1" hidden="1" x14ac:dyDescent="0.2">
      <c r="A7" s="212" t="s">
        <v>361</v>
      </c>
      <c r="B7" s="212" t="s">
        <v>278</v>
      </c>
      <c r="C7" s="213">
        <v>1.4540712913627771E-3</v>
      </c>
      <c r="D7" s="213">
        <v>1.4303417735386025E-4</v>
      </c>
      <c r="E7" s="214">
        <v>52482.221209596348</v>
      </c>
      <c r="F7" s="214">
        <v>790.18337495762069</v>
      </c>
      <c r="G7" s="215">
        <v>-22.928401665263998</v>
      </c>
      <c r="H7" s="214"/>
      <c r="I7" s="150">
        <v>772</v>
      </c>
      <c r="J7">
        <f t="shared" si="1"/>
        <v>1178</v>
      </c>
      <c r="K7" s="69">
        <f t="shared" si="2"/>
        <v>0</v>
      </c>
      <c r="L7" s="2" t="s">
        <v>5</v>
      </c>
      <c r="M7" s="13">
        <f t="shared" si="3"/>
        <v>0</v>
      </c>
      <c r="N7" s="12" t="e">
        <f t="shared" si="4"/>
        <v>#NUM!</v>
      </c>
      <c r="O7" s="66" t="s">
        <v>5</v>
      </c>
      <c r="P7" s="12" t="e">
        <f t="shared" si="5"/>
        <v>#DIV/0!</v>
      </c>
      <c r="Q7" s="5">
        <f t="shared" si="6"/>
        <v>0</v>
      </c>
      <c r="R7" s="9" t="e">
        <f t="shared" si="7"/>
        <v>#NUM!</v>
      </c>
      <c r="S7" s="2" t="s">
        <v>5</v>
      </c>
      <c r="T7" s="14" t="e">
        <f t="shared" si="0"/>
        <v>#DIV/0!</v>
      </c>
    </row>
    <row r="8" spans="1:20" s="154" customFormat="1" hidden="1" x14ac:dyDescent="0.2">
      <c r="A8" s="216" t="s">
        <v>362</v>
      </c>
      <c r="B8" s="216" t="s">
        <v>278</v>
      </c>
      <c r="C8" s="217">
        <v>1.0403755738694838</v>
      </c>
      <c r="D8" s="217">
        <v>2.203021289022002E-3</v>
      </c>
      <c r="E8" s="218">
        <v>-317.9574825653263</v>
      </c>
      <c r="F8" s="218">
        <v>17.009921617904276</v>
      </c>
      <c r="G8" s="219">
        <v>-20.09344828842119</v>
      </c>
      <c r="H8" s="218"/>
      <c r="I8" s="150">
        <v>772</v>
      </c>
      <c r="J8">
        <f t="shared" si="1"/>
        <v>1178</v>
      </c>
      <c r="K8" s="69">
        <f t="shared" si="2"/>
        <v>0</v>
      </c>
      <c r="L8" s="2" t="s">
        <v>5</v>
      </c>
      <c r="M8" s="13">
        <f t="shared" si="3"/>
        <v>0</v>
      </c>
      <c r="N8" s="12" t="e">
        <f t="shared" si="4"/>
        <v>#NUM!</v>
      </c>
      <c r="O8" s="66" t="s">
        <v>5</v>
      </c>
      <c r="P8" s="12" t="e">
        <f t="shared" si="5"/>
        <v>#DIV/0!</v>
      </c>
      <c r="Q8" s="5">
        <f t="shared" si="6"/>
        <v>0</v>
      </c>
      <c r="R8" s="9" t="e">
        <f t="shared" si="7"/>
        <v>#NUM!</v>
      </c>
      <c r="S8" s="2" t="s">
        <v>5</v>
      </c>
      <c r="T8" s="14" t="e">
        <f t="shared" si="0"/>
        <v>#DIV/0!</v>
      </c>
    </row>
    <row r="9" spans="1:20" s="154" customFormat="1" hidden="1" x14ac:dyDescent="0.2">
      <c r="A9" s="216" t="s">
        <v>363</v>
      </c>
      <c r="B9" s="216" t="s">
        <v>278</v>
      </c>
      <c r="C9" s="217">
        <v>1.0399412154475689</v>
      </c>
      <c r="D9" s="217">
        <v>2.2247857143779582E-3</v>
      </c>
      <c r="E9" s="218">
        <v>-314.60302316363533</v>
      </c>
      <c r="F9" s="218">
        <v>17.185143465120106</v>
      </c>
      <c r="G9" s="219">
        <v>-18.159212521022148</v>
      </c>
      <c r="H9" s="218"/>
      <c r="I9" s="150">
        <v>773</v>
      </c>
      <c r="J9">
        <f t="shared" si="1"/>
        <v>1177</v>
      </c>
      <c r="K9" s="69">
        <f t="shared" si="2"/>
        <v>0</v>
      </c>
      <c r="L9" s="2" t="s">
        <v>5</v>
      </c>
      <c r="M9" s="13">
        <f t="shared" si="3"/>
        <v>0</v>
      </c>
      <c r="N9" s="12" t="e">
        <f t="shared" si="4"/>
        <v>#NUM!</v>
      </c>
      <c r="O9" s="66" t="s">
        <v>5</v>
      </c>
      <c r="P9" s="12" t="e">
        <f t="shared" si="5"/>
        <v>#DIV/0!</v>
      </c>
      <c r="Q9" s="5">
        <f t="shared" si="6"/>
        <v>0</v>
      </c>
      <c r="R9" s="9" t="e">
        <f t="shared" si="7"/>
        <v>#NUM!</v>
      </c>
      <c r="S9" s="2" t="s">
        <v>5</v>
      </c>
      <c r="T9" s="14" t="e">
        <f t="shared" si="0"/>
        <v>#DIV/0!</v>
      </c>
    </row>
    <row r="10" spans="1:20" s="154" customFormat="1" hidden="1" x14ac:dyDescent="0.2">
      <c r="A10" s="216" t="s">
        <v>364</v>
      </c>
      <c r="B10" s="216" t="s">
        <v>278</v>
      </c>
      <c r="C10" s="217">
        <v>1.0415255650153061</v>
      </c>
      <c r="D10" s="217">
        <v>2.1967741414714993E-3</v>
      </c>
      <c r="E10" s="218">
        <v>-326.83186620271272</v>
      </c>
      <c r="F10" s="218">
        <v>16.942958179364002</v>
      </c>
      <c r="G10" s="219">
        <v>-21.596933932412242</v>
      </c>
      <c r="H10" s="218"/>
      <c r="I10" s="150">
        <v>773</v>
      </c>
      <c r="J10">
        <f t="shared" si="1"/>
        <v>1177</v>
      </c>
      <c r="K10" s="69">
        <f t="shared" si="2"/>
        <v>0</v>
      </c>
      <c r="L10" s="2" t="s">
        <v>5</v>
      </c>
      <c r="M10" s="13">
        <f t="shared" si="3"/>
        <v>0</v>
      </c>
      <c r="N10" s="12" t="e">
        <f t="shared" si="4"/>
        <v>#NUM!</v>
      </c>
      <c r="O10" s="66" t="s">
        <v>5</v>
      </c>
      <c r="P10" s="12" t="e">
        <f t="shared" si="5"/>
        <v>#DIV/0!</v>
      </c>
      <c r="Q10" s="5">
        <f t="shared" si="6"/>
        <v>0</v>
      </c>
      <c r="R10" s="9" t="e">
        <f t="shared" si="7"/>
        <v>#NUM!</v>
      </c>
      <c r="S10" s="2" t="s">
        <v>5</v>
      </c>
      <c r="T10" s="14" t="e">
        <f t="shared" si="0"/>
        <v>#DIV/0!</v>
      </c>
    </row>
    <row r="11" spans="1:20" s="154" customFormat="1" hidden="1" x14ac:dyDescent="0.2">
      <c r="A11" s="216" t="s">
        <v>365</v>
      </c>
      <c r="B11" s="216" t="s">
        <v>278</v>
      </c>
      <c r="C11" s="217">
        <v>1.341139491038593</v>
      </c>
      <c r="D11" s="217">
        <v>2.5250764727594542E-3</v>
      </c>
      <c r="E11" s="218">
        <v>-2357.8213758773131</v>
      </c>
      <c r="F11" s="218">
        <v>15.124267501815815</v>
      </c>
      <c r="G11" s="219">
        <v>-16.747469391043989</v>
      </c>
      <c r="H11" s="218"/>
      <c r="I11" s="150">
        <v>774</v>
      </c>
      <c r="J11">
        <f t="shared" si="1"/>
        <v>1176</v>
      </c>
      <c r="K11" s="69">
        <f t="shared" si="2"/>
        <v>0</v>
      </c>
      <c r="L11" s="2" t="s">
        <v>5</v>
      </c>
      <c r="M11" s="13">
        <f t="shared" si="3"/>
        <v>0</v>
      </c>
      <c r="N11" s="12" t="e">
        <f t="shared" si="4"/>
        <v>#NUM!</v>
      </c>
      <c r="O11" s="66" t="s">
        <v>5</v>
      </c>
      <c r="P11" s="12" t="e">
        <f t="shared" si="5"/>
        <v>#DIV/0!</v>
      </c>
      <c r="Q11" s="5">
        <f t="shared" si="6"/>
        <v>0</v>
      </c>
      <c r="R11" s="9" t="e">
        <f t="shared" si="7"/>
        <v>#NUM!</v>
      </c>
      <c r="S11" s="2" t="s">
        <v>5</v>
      </c>
      <c r="T11" s="14" t="e">
        <f t="shared" si="0"/>
        <v>#DIV/0!</v>
      </c>
    </row>
    <row r="12" spans="1:20" s="154" customFormat="1" hidden="1" x14ac:dyDescent="0.2">
      <c r="A12" s="216" t="s">
        <v>366</v>
      </c>
      <c r="B12" s="216" t="s">
        <v>278</v>
      </c>
      <c r="C12" s="217">
        <v>1.3417153890556466</v>
      </c>
      <c r="D12" s="217">
        <v>2.6562687222283343E-3</v>
      </c>
      <c r="E12" s="218">
        <v>-2361.2700500885103</v>
      </c>
      <c r="F12" s="218">
        <v>15.903231209800619</v>
      </c>
      <c r="G12" s="219">
        <v>-18.762280798356954</v>
      </c>
      <c r="H12" s="218"/>
      <c r="I12" s="150">
        <v>774</v>
      </c>
      <c r="J12">
        <f t="shared" si="1"/>
        <v>1176</v>
      </c>
      <c r="K12" s="69">
        <f t="shared" si="2"/>
        <v>0</v>
      </c>
      <c r="L12" s="2" t="s">
        <v>5</v>
      </c>
      <c r="M12" s="13">
        <f t="shared" si="3"/>
        <v>0</v>
      </c>
      <c r="N12" s="12" t="e">
        <f t="shared" si="4"/>
        <v>#NUM!</v>
      </c>
      <c r="O12" s="66" t="s">
        <v>5</v>
      </c>
      <c r="P12" s="12" t="e">
        <f t="shared" si="5"/>
        <v>#DIV/0!</v>
      </c>
      <c r="Q12" s="5">
        <f t="shared" si="6"/>
        <v>0</v>
      </c>
      <c r="R12" s="9" t="e">
        <f t="shared" si="7"/>
        <v>#NUM!</v>
      </c>
      <c r="S12" s="2" t="s">
        <v>5</v>
      </c>
      <c r="T12" s="14" t="e">
        <f t="shared" si="0"/>
        <v>#DIV/0!</v>
      </c>
    </row>
    <row r="13" spans="1:20" s="154" customFormat="1" hidden="1" x14ac:dyDescent="0.2">
      <c r="A13" s="216" t="s">
        <v>367</v>
      </c>
      <c r="B13" s="216" t="s">
        <v>278</v>
      </c>
      <c r="C13" s="217">
        <v>1.3387194444547725</v>
      </c>
      <c r="D13" s="217">
        <v>2.6586052355520406E-3</v>
      </c>
      <c r="E13" s="218">
        <v>-2343.3131044736801</v>
      </c>
      <c r="F13" s="218">
        <v>15.952841483673808</v>
      </c>
      <c r="G13" s="219">
        <v>-17.823135714582051</v>
      </c>
      <c r="H13" s="218"/>
      <c r="I13" s="150">
        <v>775</v>
      </c>
      <c r="J13">
        <f t="shared" si="1"/>
        <v>1175</v>
      </c>
      <c r="K13" s="69">
        <f t="shared" si="2"/>
        <v>0</v>
      </c>
      <c r="L13" s="2" t="s">
        <v>5</v>
      </c>
      <c r="M13" s="13">
        <f t="shared" si="3"/>
        <v>0</v>
      </c>
      <c r="N13" s="12" t="e">
        <f t="shared" si="4"/>
        <v>#NUM!</v>
      </c>
      <c r="O13" s="66" t="s">
        <v>5</v>
      </c>
      <c r="P13" s="12" t="e">
        <f t="shared" si="5"/>
        <v>#DIV/0!</v>
      </c>
      <c r="Q13" s="5">
        <f t="shared" si="6"/>
        <v>0</v>
      </c>
      <c r="R13" s="9" t="e">
        <f t="shared" si="7"/>
        <v>#NUM!</v>
      </c>
      <c r="S13" s="2" t="s">
        <v>5</v>
      </c>
      <c r="T13" s="14" t="e">
        <f t="shared" si="0"/>
        <v>#DIV/0!</v>
      </c>
    </row>
    <row r="14" spans="1:20" s="154" customFormat="1" hidden="1" x14ac:dyDescent="0.2">
      <c r="A14" s="216" t="s">
        <v>368</v>
      </c>
      <c r="B14" s="216" t="s">
        <v>278</v>
      </c>
      <c r="C14" s="217">
        <v>1.3381445376346739</v>
      </c>
      <c r="D14" s="217">
        <v>2.6601071914371197E-3</v>
      </c>
      <c r="E14" s="218">
        <v>-2339.8626609414318</v>
      </c>
      <c r="F14" s="218">
        <v>15.968711591299503</v>
      </c>
      <c r="G14" s="219">
        <v>-15.666314858566066</v>
      </c>
      <c r="H14" s="218"/>
      <c r="I14" s="150">
        <v>775</v>
      </c>
      <c r="J14">
        <f t="shared" si="1"/>
        <v>1175</v>
      </c>
      <c r="K14" s="69">
        <f t="shared" si="2"/>
        <v>0</v>
      </c>
      <c r="L14" s="2" t="s">
        <v>5</v>
      </c>
      <c r="M14" s="13">
        <f t="shared" si="3"/>
        <v>0</v>
      </c>
      <c r="N14" s="12" t="e">
        <f t="shared" si="4"/>
        <v>#NUM!</v>
      </c>
      <c r="O14" s="66" t="s">
        <v>5</v>
      </c>
      <c r="P14" s="12" t="e">
        <f t="shared" si="5"/>
        <v>#DIV/0!</v>
      </c>
      <c r="Q14" s="5">
        <f t="shared" si="6"/>
        <v>0</v>
      </c>
      <c r="R14" s="9" t="e">
        <f t="shared" si="7"/>
        <v>#NUM!</v>
      </c>
      <c r="S14" s="2" t="s">
        <v>5</v>
      </c>
      <c r="T14" s="14" t="e">
        <f t="shared" si="0"/>
        <v>#DIV/0!</v>
      </c>
    </row>
    <row r="15" spans="1:20" s="154" customFormat="1" hidden="1" x14ac:dyDescent="0.2">
      <c r="A15" s="212" t="s">
        <v>369</v>
      </c>
      <c r="B15" s="212" t="s">
        <v>370</v>
      </c>
      <c r="C15" s="213">
        <v>2.1263819944272069E-3</v>
      </c>
      <c r="D15" s="213">
        <v>1.4791579594544959E-4</v>
      </c>
      <c r="E15" s="214">
        <v>49429.271281021785</v>
      </c>
      <c r="F15" s="214">
        <v>558.78795268202828</v>
      </c>
      <c r="G15" s="215">
        <v>-29.442312809022319</v>
      </c>
      <c r="H15" s="214"/>
      <c r="I15" s="150">
        <v>776</v>
      </c>
      <c r="J15">
        <f t="shared" si="1"/>
        <v>1174</v>
      </c>
      <c r="K15" s="69">
        <f t="shared" si="2"/>
        <v>0</v>
      </c>
      <c r="L15" s="2" t="s">
        <v>5</v>
      </c>
      <c r="M15" s="13">
        <f t="shared" si="3"/>
        <v>0</v>
      </c>
      <c r="N15" s="12" t="e">
        <f t="shared" si="4"/>
        <v>#NUM!</v>
      </c>
      <c r="O15" s="66" t="s">
        <v>5</v>
      </c>
      <c r="P15" s="12" t="e">
        <f t="shared" si="5"/>
        <v>#DIV/0!</v>
      </c>
      <c r="Q15" s="5">
        <f t="shared" si="6"/>
        <v>0</v>
      </c>
      <c r="R15" s="9" t="e">
        <f t="shared" si="7"/>
        <v>#NUM!</v>
      </c>
      <c r="S15" s="2" t="s">
        <v>5</v>
      </c>
      <c r="T15" s="14" t="e">
        <f t="shared" si="0"/>
        <v>#DIV/0!</v>
      </c>
    </row>
    <row r="16" spans="1:20" s="154" customFormat="1" hidden="1" x14ac:dyDescent="0.2">
      <c r="A16" s="212" t="s">
        <v>371</v>
      </c>
      <c r="B16" s="212" t="s">
        <v>370</v>
      </c>
      <c r="C16" s="213">
        <v>1.9731751121964463E-3</v>
      </c>
      <c r="D16" s="213">
        <v>1.5828448675602374E-4</v>
      </c>
      <c r="E16" s="214">
        <v>50029.957130771676</v>
      </c>
      <c r="F16" s="214">
        <v>644.38658246826583</v>
      </c>
      <c r="G16" s="215">
        <v>-30.744539620372603</v>
      </c>
      <c r="H16" s="214"/>
      <c r="I16" s="150">
        <v>776</v>
      </c>
      <c r="J16">
        <f t="shared" si="1"/>
        <v>1174</v>
      </c>
      <c r="K16" s="69">
        <f t="shared" si="2"/>
        <v>0</v>
      </c>
      <c r="L16" s="2" t="s">
        <v>5</v>
      </c>
      <c r="M16" s="13">
        <f t="shared" si="3"/>
        <v>0</v>
      </c>
      <c r="N16" s="12" t="e">
        <f t="shared" si="4"/>
        <v>#NUM!</v>
      </c>
      <c r="O16" s="66" t="s">
        <v>5</v>
      </c>
      <c r="P16" s="12" t="e">
        <f t="shared" si="5"/>
        <v>#DIV/0!</v>
      </c>
      <c r="Q16" s="5">
        <f t="shared" si="6"/>
        <v>0</v>
      </c>
      <c r="R16" s="9" t="e">
        <f t="shared" si="7"/>
        <v>#NUM!</v>
      </c>
      <c r="S16" s="2" t="s">
        <v>5</v>
      </c>
      <c r="T16" s="14" t="e">
        <f t="shared" si="0"/>
        <v>#DIV/0!</v>
      </c>
    </row>
    <row r="17" spans="1:20" s="154" customFormat="1" hidden="1" x14ac:dyDescent="0.2">
      <c r="A17" s="212" t="s">
        <v>372</v>
      </c>
      <c r="B17" s="212" t="s">
        <v>370</v>
      </c>
      <c r="C17" s="213">
        <v>2.0795033148443597E-3</v>
      </c>
      <c r="D17" s="213">
        <v>1.4782094290995322E-4</v>
      </c>
      <c r="E17" s="214">
        <v>49608.348232102981</v>
      </c>
      <c r="F17" s="214">
        <v>571.01841838655639</v>
      </c>
      <c r="G17" s="215">
        <v>-29.40600981765218</v>
      </c>
      <c r="H17" s="214"/>
      <c r="I17" s="150">
        <v>777</v>
      </c>
      <c r="J17">
        <f t="shared" si="1"/>
        <v>1173</v>
      </c>
      <c r="K17" s="69">
        <f t="shared" si="2"/>
        <v>0</v>
      </c>
      <c r="L17" s="2" t="s">
        <v>5</v>
      </c>
      <c r="M17" s="13">
        <f t="shared" si="3"/>
        <v>0</v>
      </c>
      <c r="N17" s="12" t="e">
        <f t="shared" si="4"/>
        <v>#NUM!</v>
      </c>
      <c r="O17" s="66" t="s">
        <v>5</v>
      </c>
      <c r="P17" s="12" t="e">
        <f t="shared" si="5"/>
        <v>#DIV/0!</v>
      </c>
      <c r="Q17" s="5">
        <f t="shared" si="6"/>
        <v>0</v>
      </c>
      <c r="R17" s="9" t="e">
        <f t="shared" si="7"/>
        <v>#NUM!</v>
      </c>
      <c r="S17" s="2" t="s">
        <v>5</v>
      </c>
      <c r="T17" s="14" t="e">
        <f t="shared" si="0"/>
        <v>#DIV/0!</v>
      </c>
    </row>
    <row r="18" spans="1:20" s="154" customFormat="1" hidden="1" x14ac:dyDescent="0.2">
      <c r="A18" s="212" t="s">
        <v>373</v>
      </c>
      <c r="B18" s="212" t="s">
        <v>370</v>
      </c>
      <c r="C18" s="213">
        <v>2.0307056953194911E-3</v>
      </c>
      <c r="D18" s="213">
        <v>1.4736945569738901E-4</v>
      </c>
      <c r="E18" s="214">
        <v>49799.095750633096</v>
      </c>
      <c r="F18" s="214">
        <v>582.95396188501968</v>
      </c>
      <c r="G18" s="215">
        <v>-32.410719374725836</v>
      </c>
      <c r="H18" s="214"/>
      <c r="I18" s="150">
        <v>777</v>
      </c>
      <c r="J18">
        <f t="shared" si="1"/>
        <v>1173</v>
      </c>
      <c r="K18" s="69">
        <f t="shared" si="2"/>
        <v>0</v>
      </c>
      <c r="L18" s="2" t="s">
        <v>5</v>
      </c>
      <c r="M18" s="13">
        <f t="shared" si="3"/>
        <v>0</v>
      </c>
      <c r="N18" s="12" t="e">
        <f t="shared" si="4"/>
        <v>#NUM!</v>
      </c>
      <c r="O18" s="66" t="s">
        <v>5</v>
      </c>
      <c r="P18" s="12" t="e">
        <f t="shared" si="5"/>
        <v>#DIV/0!</v>
      </c>
      <c r="Q18" s="5">
        <f t="shared" si="6"/>
        <v>0</v>
      </c>
      <c r="R18" s="9" t="e">
        <f t="shared" si="7"/>
        <v>#NUM!</v>
      </c>
      <c r="S18" s="2" t="s">
        <v>5</v>
      </c>
      <c r="T18" s="14" t="e">
        <f t="shared" si="0"/>
        <v>#DIV/0!</v>
      </c>
    </row>
    <row r="19" spans="1:20" s="154" customFormat="1" x14ac:dyDescent="0.2">
      <c r="A19" s="156" t="s">
        <v>374</v>
      </c>
      <c r="B19" s="156" t="s">
        <v>216</v>
      </c>
      <c r="C19" s="34">
        <v>0.84761075576735279</v>
      </c>
      <c r="D19" s="34">
        <v>1.9719204891218449E-3</v>
      </c>
      <c r="E19" s="32">
        <v>1328.1138814555261</v>
      </c>
      <c r="F19" s="32">
        <v>18.688166986503283</v>
      </c>
      <c r="G19" s="36">
        <v>-18.96041382974234</v>
      </c>
      <c r="H19" s="32"/>
      <c r="I19" s="150">
        <v>770</v>
      </c>
      <c r="J19">
        <f>1950-I19</f>
        <v>1180</v>
      </c>
      <c r="K19" s="34">
        <v>0.84761075576735279</v>
      </c>
      <c r="L19" s="2" t="s">
        <v>5</v>
      </c>
      <c r="M19" s="13">
        <f>D19</f>
        <v>1.9719204891218449E-3</v>
      </c>
      <c r="N19" s="12">
        <f>-8033*LN(K19)</f>
        <v>1328.1261181379928</v>
      </c>
      <c r="O19" s="66" t="s">
        <v>5</v>
      </c>
      <c r="P19" s="12">
        <f>M19/K19*8033</f>
        <v>18.688339171410384</v>
      </c>
      <c r="Q19" s="5">
        <f>G19</f>
        <v>-18.96041382974234</v>
      </c>
      <c r="R19" s="9">
        <f>(EXP(J19/8267)*EXP(-N19/8033)-1)*1000</f>
        <v>-22.344170052609247</v>
      </c>
      <c r="S19" s="2" t="s">
        <v>5</v>
      </c>
      <c r="T19" s="14">
        <f>P19/8.033</f>
        <v>2.3264458074704826</v>
      </c>
    </row>
    <row r="20" spans="1:20" s="154" customFormat="1" x14ac:dyDescent="0.2">
      <c r="A20" s="156" t="s">
        <v>375</v>
      </c>
      <c r="B20" s="156" t="s">
        <v>217</v>
      </c>
      <c r="C20" s="34">
        <v>0.84464685954750063</v>
      </c>
      <c r="D20" s="34">
        <v>1.943669831446584E-3</v>
      </c>
      <c r="E20" s="32">
        <v>1356.2523671088829</v>
      </c>
      <c r="F20" s="32">
        <v>18.485069499321085</v>
      </c>
      <c r="G20" s="36">
        <v>-17.686313468645466</v>
      </c>
      <c r="H20" s="32"/>
      <c r="I20" s="150">
        <v>771</v>
      </c>
      <c r="J20">
        <f t="shared" ref="J20:J29" si="8">1950-I20</f>
        <v>1179</v>
      </c>
      <c r="K20" s="34">
        <v>0.84464685954750063</v>
      </c>
      <c r="L20" s="2" t="s">
        <v>5</v>
      </c>
      <c r="M20" s="13">
        <f t="shared" ref="M20:M29" si="9">D20</f>
        <v>1.943669831446584E-3</v>
      </c>
      <c r="N20" s="12">
        <f t="shared" si="4"/>
        <v>1356.2648630475164</v>
      </c>
      <c r="O20" s="66" t="s">
        <v>5</v>
      </c>
      <c r="P20" s="12">
        <f t="shared" ref="P20:P29" si="10">M20/K20*8033</f>
        <v>18.485239812973397</v>
      </c>
      <c r="Q20" s="5">
        <f t="shared" ref="Q20:Q29" si="11">G20</f>
        <v>-17.686313468645466</v>
      </c>
      <c r="R20" s="9">
        <f t="shared" si="7"/>
        <v>-25.880642822299404</v>
      </c>
      <c r="S20" s="2" t="s">
        <v>5</v>
      </c>
      <c r="T20" s="14">
        <f t="shared" ref="T20:T29" si="12">P20/8.033</f>
        <v>2.3011626805643468</v>
      </c>
    </row>
    <row r="21" spans="1:20" s="154" customFormat="1" x14ac:dyDescent="0.2">
      <c r="A21" s="156" t="s">
        <v>376</v>
      </c>
      <c r="B21" s="156" t="s">
        <v>218</v>
      </c>
      <c r="C21" s="34">
        <v>0.8489288548825743</v>
      </c>
      <c r="D21" s="34">
        <v>1.8875253060820214E-3</v>
      </c>
      <c r="E21" s="32">
        <v>1315.6317741102052</v>
      </c>
      <c r="F21" s="32">
        <v>17.860567463372668</v>
      </c>
      <c r="G21" s="36">
        <v>-20.958015970025446</v>
      </c>
      <c r="H21" s="32"/>
      <c r="I21" s="150">
        <v>772</v>
      </c>
      <c r="J21">
        <f t="shared" si="8"/>
        <v>1178</v>
      </c>
      <c r="K21" s="34">
        <v>0.8489288548825743</v>
      </c>
      <c r="L21" s="2" t="s">
        <v>5</v>
      </c>
      <c r="M21" s="13">
        <f t="shared" si="9"/>
        <v>1.8875253060820214E-3</v>
      </c>
      <c r="N21" s="12">
        <f t="shared" si="4"/>
        <v>1315.643895787787</v>
      </c>
      <c r="O21" s="66" t="s">
        <v>5</v>
      </c>
      <c r="P21" s="12">
        <f t="shared" si="10"/>
        <v>17.860732023125998</v>
      </c>
      <c r="Q21" s="5">
        <f t="shared" si="11"/>
        <v>-20.958015970025446</v>
      </c>
      <c r="R21" s="9">
        <f t="shared" si="7"/>
        <v>-21.060700221541275</v>
      </c>
      <c r="S21" s="2" t="s">
        <v>5</v>
      </c>
      <c r="T21" s="14">
        <f t="shared" si="12"/>
        <v>2.2234198958204905</v>
      </c>
    </row>
    <row r="22" spans="1:20" s="154" customFormat="1" x14ac:dyDescent="0.2">
      <c r="A22" s="156" t="s">
        <v>377</v>
      </c>
      <c r="B22" s="156" t="s">
        <v>219</v>
      </c>
      <c r="C22" s="34">
        <v>0.85214816349096545</v>
      </c>
      <c r="D22" s="34">
        <v>1.9714657394338505E-3</v>
      </c>
      <c r="E22" s="32">
        <v>1285.2269207397287</v>
      </c>
      <c r="F22" s="32">
        <v>18.584371886541906</v>
      </c>
      <c r="G22" s="36">
        <v>-17.122189057382052</v>
      </c>
      <c r="H22" s="32"/>
      <c r="I22" s="150">
        <v>773</v>
      </c>
      <c r="J22">
        <f t="shared" si="8"/>
        <v>1177</v>
      </c>
      <c r="K22" s="34">
        <v>0.85214816349096545</v>
      </c>
      <c r="L22" s="2" t="s">
        <v>5</v>
      </c>
      <c r="M22" s="13">
        <f t="shared" si="9"/>
        <v>1.9714657394338505E-3</v>
      </c>
      <c r="N22" s="12">
        <f t="shared" si="4"/>
        <v>1285.2387622797851</v>
      </c>
      <c r="O22" s="66" t="s">
        <v>5</v>
      </c>
      <c r="P22" s="12">
        <f t="shared" si="10"/>
        <v>18.584543115124632</v>
      </c>
      <c r="Q22" s="5">
        <f t="shared" si="11"/>
        <v>-17.122189057382052</v>
      </c>
      <c r="R22" s="9">
        <f t="shared" si="7"/>
        <v>-17.467223078947434</v>
      </c>
      <c r="S22" s="2" t="s">
        <v>5</v>
      </c>
      <c r="T22" s="14">
        <f t="shared" si="12"/>
        <v>2.3135246004138721</v>
      </c>
    </row>
    <row r="23" spans="1:20" s="154" customFormat="1" x14ac:dyDescent="0.2">
      <c r="A23" s="156" t="s">
        <v>378</v>
      </c>
      <c r="B23" s="156" t="s">
        <v>298</v>
      </c>
      <c r="C23" s="34">
        <v>0.8585329453196594</v>
      </c>
      <c r="D23" s="34">
        <v>1.9861769623108544E-3</v>
      </c>
      <c r="E23" s="32">
        <v>1225.2639998091672</v>
      </c>
      <c r="F23" s="32">
        <v>18.583809304339823</v>
      </c>
      <c r="G23" s="36">
        <v>-19.379162389480786</v>
      </c>
      <c r="H23" s="32"/>
      <c r="I23" s="150">
        <v>774</v>
      </c>
      <c r="J23">
        <f t="shared" si="8"/>
        <v>1176</v>
      </c>
      <c r="K23" s="34">
        <v>0.8585329453196594</v>
      </c>
      <c r="L23" s="2" t="s">
        <v>5</v>
      </c>
      <c r="M23" s="13">
        <f t="shared" si="9"/>
        <v>1.9861769623108544E-3</v>
      </c>
      <c r="N23" s="12">
        <f t="shared" si="4"/>
        <v>1225.2752888761011</v>
      </c>
      <c r="O23" s="66" t="s">
        <v>5</v>
      </c>
      <c r="P23" s="12">
        <f t="shared" si="10"/>
        <v>18.583980527739154</v>
      </c>
      <c r="Q23" s="5">
        <f t="shared" si="11"/>
        <v>-19.379162389480786</v>
      </c>
      <c r="R23" s="9">
        <f t="shared" si="7"/>
        <v>-10.225258320852305</v>
      </c>
      <c r="S23" s="2" t="s">
        <v>5</v>
      </c>
      <c r="T23" s="14">
        <f t="shared" si="12"/>
        <v>2.3134545658831267</v>
      </c>
    </row>
    <row r="24" spans="1:20" s="154" customFormat="1" x14ac:dyDescent="0.2">
      <c r="A24" s="156" t="s">
        <v>379</v>
      </c>
      <c r="B24" s="156" t="s">
        <v>299</v>
      </c>
      <c r="C24" s="34">
        <v>0.86210385435823367</v>
      </c>
      <c r="D24" s="34">
        <v>1.9456349528291753E-3</v>
      </c>
      <c r="E24" s="32">
        <v>1191.9218218381852</v>
      </c>
      <c r="F24" s="32">
        <v>18.12907052524114</v>
      </c>
      <c r="G24" s="36">
        <v>-19.058362497288982</v>
      </c>
      <c r="H24" s="32"/>
      <c r="I24" s="150">
        <v>775</v>
      </c>
      <c r="J24">
        <f t="shared" si="8"/>
        <v>1175</v>
      </c>
      <c r="K24" s="34">
        <v>0.86210385435823367</v>
      </c>
      <c r="L24" s="2" t="s">
        <v>5</v>
      </c>
      <c r="M24" s="13">
        <f t="shared" si="9"/>
        <v>1.9456349528291753E-3</v>
      </c>
      <c r="N24" s="12">
        <f t="shared" si="4"/>
        <v>1191.9328037043208</v>
      </c>
      <c r="O24" s="66" t="s">
        <v>5</v>
      </c>
      <c r="P24" s="12">
        <f t="shared" si="10"/>
        <v>18.129237558868702</v>
      </c>
      <c r="Q24" s="5">
        <f t="shared" si="11"/>
        <v>-19.058362497288982</v>
      </c>
      <c r="R24" s="9">
        <f t="shared" si="7"/>
        <v>-6.2286899926026207</v>
      </c>
      <c r="S24" s="2" t="s">
        <v>5</v>
      </c>
      <c r="T24" s="14">
        <f t="shared" si="12"/>
        <v>2.2568452083740449</v>
      </c>
    </row>
    <row r="25" spans="1:20" s="154" customFormat="1" x14ac:dyDescent="0.2">
      <c r="A25" s="156" t="s">
        <v>380</v>
      </c>
      <c r="B25" s="156" t="s">
        <v>220</v>
      </c>
      <c r="C25" s="34">
        <v>0.8626743709229322</v>
      </c>
      <c r="D25" s="34">
        <v>1.9540332372205869E-3</v>
      </c>
      <c r="E25" s="32">
        <v>1186.6076110728584</v>
      </c>
      <c r="F25" s="32">
        <v>18.195283065952228</v>
      </c>
      <c r="G25" s="36">
        <v>-20.001726152369169</v>
      </c>
      <c r="H25" s="32"/>
      <c r="I25" s="150">
        <v>776</v>
      </c>
      <c r="J25">
        <f t="shared" si="8"/>
        <v>1174</v>
      </c>
      <c r="K25" s="34">
        <v>0.8626743709229322</v>
      </c>
      <c r="L25" s="2" t="s">
        <v>5</v>
      </c>
      <c r="M25" s="13">
        <f t="shared" si="9"/>
        <v>1.9540332372205869E-3</v>
      </c>
      <c r="N25" s="12">
        <f t="shared" si="4"/>
        <v>1186.618543976092</v>
      </c>
      <c r="O25" s="66" t="s">
        <v>5</v>
      </c>
      <c r="P25" s="12">
        <f t="shared" si="10"/>
        <v>18.195450709634279</v>
      </c>
      <c r="Q25" s="5">
        <f t="shared" si="11"/>
        <v>-20.001726152369169</v>
      </c>
      <c r="R25" s="9">
        <f t="shared" si="7"/>
        <v>-5.6913212360529819</v>
      </c>
      <c r="S25" s="2" t="s">
        <v>5</v>
      </c>
      <c r="T25" s="14">
        <f t="shared" si="12"/>
        <v>2.2650878513175998</v>
      </c>
    </row>
    <row r="26" spans="1:20" s="154" customFormat="1" x14ac:dyDescent="0.2">
      <c r="A26" s="156" t="s">
        <v>381</v>
      </c>
      <c r="B26" s="156" t="s">
        <v>221</v>
      </c>
      <c r="C26" s="34">
        <v>0.85613752309536895</v>
      </c>
      <c r="D26" s="34">
        <v>1.9148970082039961E-3</v>
      </c>
      <c r="E26" s="32">
        <v>1247.7082680347787</v>
      </c>
      <c r="F26" s="32">
        <v>17.967003578970377</v>
      </c>
      <c r="G26" s="36">
        <v>-17.311407513964426</v>
      </c>
      <c r="H26" s="32"/>
      <c r="I26" s="150">
        <v>777</v>
      </c>
      <c r="J26">
        <f t="shared" si="8"/>
        <v>1173</v>
      </c>
      <c r="K26" s="34">
        <v>0.85613752309536895</v>
      </c>
      <c r="L26" s="2" t="s">
        <v>5</v>
      </c>
      <c r="M26" s="13">
        <f t="shared" si="9"/>
        <v>1.9148970082039961E-3</v>
      </c>
      <c r="N26" s="12">
        <f t="shared" si="4"/>
        <v>1247.719763893756</v>
      </c>
      <c r="O26" s="66" t="s">
        <v>5</v>
      </c>
      <c r="P26" s="12">
        <f t="shared" si="10"/>
        <v>17.967169119381293</v>
      </c>
      <c r="Q26" s="5">
        <f t="shared" si="11"/>
        <v>-17.311407513964426</v>
      </c>
      <c r="R26" s="9">
        <f t="shared" si="7"/>
        <v>-13.344973611395972</v>
      </c>
      <c r="S26" s="2" t="s">
        <v>5</v>
      </c>
      <c r="T26" s="14">
        <f t="shared" si="12"/>
        <v>2.2366698766813511</v>
      </c>
    </row>
    <row r="27" spans="1:20" s="154" customFormat="1" x14ac:dyDescent="0.2">
      <c r="A27" s="156" t="s">
        <v>382</v>
      </c>
      <c r="B27" s="156" t="s">
        <v>222</v>
      </c>
      <c r="C27" s="34">
        <v>0.85914434407934004</v>
      </c>
      <c r="D27" s="34">
        <v>1.958898888021999E-3</v>
      </c>
      <c r="E27" s="32">
        <v>1219.5454387926166</v>
      </c>
      <c r="F27" s="32">
        <v>18.315536724295846</v>
      </c>
      <c r="G27" s="36">
        <v>-20.941539521488139</v>
      </c>
      <c r="H27" s="32"/>
      <c r="I27" s="150">
        <v>778</v>
      </c>
      <c r="J27">
        <f t="shared" si="8"/>
        <v>1172</v>
      </c>
      <c r="K27" s="34">
        <v>0.85914434407934004</v>
      </c>
      <c r="L27" s="2" t="s">
        <v>5</v>
      </c>
      <c r="M27" s="13">
        <f t="shared" si="9"/>
        <v>1.958898888021999E-3</v>
      </c>
      <c r="N27" s="12">
        <f t="shared" si="4"/>
        <v>1219.5566751711353</v>
      </c>
      <c r="O27" s="66" t="s">
        <v>5</v>
      </c>
      <c r="P27" s="12">
        <f t="shared" si="10"/>
        <v>18.315705475944505</v>
      </c>
      <c r="Q27" s="5">
        <f t="shared" si="11"/>
        <v>-20.941539521488139</v>
      </c>
      <c r="R27" s="9">
        <f t="shared" si="7"/>
        <v>-9.9995256300545741</v>
      </c>
      <c r="S27" s="2" t="s">
        <v>5</v>
      </c>
      <c r="T27" s="14">
        <f t="shared" si="12"/>
        <v>2.2800579454680077</v>
      </c>
    </row>
    <row r="28" spans="1:20" s="154" customFormat="1" x14ac:dyDescent="0.2">
      <c r="A28" s="156" t="s">
        <v>383</v>
      </c>
      <c r="B28" s="156" t="s">
        <v>223</v>
      </c>
      <c r="C28" s="34">
        <v>0.85915119425046194</v>
      </c>
      <c r="D28" s="34">
        <v>1.9631075367905646E-3</v>
      </c>
      <c r="E28" s="32">
        <v>1219.4813905350261</v>
      </c>
      <c r="F28" s="32">
        <v>18.354740882693147</v>
      </c>
      <c r="G28" s="36">
        <v>-20.04483384496325</v>
      </c>
      <c r="H28" s="32"/>
      <c r="I28" s="150">
        <v>779</v>
      </c>
      <c r="J28">
        <f t="shared" si="8"/>
        <v>1171</v>
      </c>
      <c r="K28" s="34">
        <v>0.85915119425046194</v>
      </c>
      <c r="L28" s="2" t="s">
        <v>5</v>
      </c>
      <c r="M28" s="13">
        <f t="shared" si="9"/>
        <v>1.9631075367905646E-3</v>
      </c>
      <c r="N28" s="12">
        <f t="shared" si="4"/>
        <v>1219.4926263234315</v>
      </c>
      <c r="O28" s="66" t="s">
        <v>5</v>
      </c>
      <c r="P28" s="12">
        <f t="shared" si="10"/>
        <v>18.354909995552426</v>
      </c>
      <c r="Q28" s="5">
        <f t="shared" si="11"/>
        <v>-20.04483384496325</v>
      </c>
      <c r="R28" s="9">
        <f t="shared" si="7"/>
        <v>-10.111379115867347</v>
      </c>
      <c r="S28" s="2" t="s">
        <v>5</v>
      </c>
      <c r="T28" s="14">
        <f t="shared" si="12"/>
        <v>2.2849383786321957</v>
      </c>
    </row>
    <row r="29" spans="1:20" s="154" customFormat="1" x14ac:dyDescent="0.2">
      <c r="A29" s="156" t="s">
        <v>384</v>
      </c>
      <c r="B29" s="156" t="s">
        <v>224</v>
      </c>
      <c r="C29" s="34">
        <v>0.8579447164264038</v>
      </c>
      <c r="D29" s="34">
        <v>2.0023785503780543E-3</v>
      </c>
      <c r="E29" s="32">
        <v>1230.7696926053027</v>
      </c>
      <c r="F29" s="32">
        <v>18.748246113274408</v>
      </c>
      <c r="G29" s="36">
        <v>-18.201216071096372</v>
      </c>
      <c r="H29" s="32"/>
      <c r="I29" s="150">
        <v>780</v>
      </c>
      <c r="J29">
        <f t="shared" si="8"/>
        <v>1170</v>
      </c>
      <c r="K29" s="34">
        <v>0.8579447164264038</v>
      </c>
      <c r="L29" s="2" t="s">
        <v>5</v>
      </c>
      <c r="M29" s="13">
        <f t="shared" si="9"/>
        <v>2.0023785503780543E-3</v>
      </c>
      <c r="N29" s="12">
        <f t="shared" si="4"/>
        <v>1230.7810323993733</v>
      </c>
      <c r="O29" s="66" t="s">
        <v>5</v>
      </c>
      <c r="P29" s="12">
        <f t="shared" si="10"/>
        <v>18.748418851725305</v>
      </c>
      <c r="Q29" s="5">
        <f t="shared" si="11"/>
        <v>-18.201216071096372</v>
      </c>
      <c r="R29" s="9">
        <f t="shared" si="7"/>
        <v>-11.621011602069963</v>
      </c>
      <c r="S29" s="2" t="s">
        <v>5</v>
      </c>
      <c r="T29" s="14">
        <f t="shared" si="12"/>
        <v>2.3339249161863944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selection activeCell="G32" sqref="G32"/>
    </sheetView>
  </sheetViews>
  <sheetFormatPr baseColWidth="10" defaultColWidth="11" defaultRowHeight="16" x14ac:dyDescent="0.2"/>
  <cols>
    <col min="1" max="1" width="15.1640625" customWidth="1"/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  <col min="15" max="16" width="0" hidden="1" customWidth="1"/>
    <col min="17" max="17" width="10.1640625" hidden="1" customWidth="1"/>
    <col min="18" max="18" width="11" hidden="1" customWidth="1"/>
    <col min="19" max="19" width="7.1640625" hidden="1" customWidth="1"/>
    <col min="20" max="20" width="0" hidden="1" customWidth="1"/>
    <col min="21" max="22" width="11" hidden="1" customWidth="1"/>
    <col min="23" max="23" width="0" hidden="1" customWidth="1"/>
    <col min="24" max="26" width="11" hidden="1" customWidth="1"/>
    <col min="27" max="30" width="0" hidden="1" customWidth="1"/>
    <col min="31" max="31" width="11" hidden="1" customWidth="1"/>
  </cols>
  <sheetData>
    <row r="1" spans="1:31" s="225" customFormat="1" ht="14" x14ac:dyDescent="0.2"/>
    <row r="2" spans="1:31" s="225" customFormat="1" ht="14" x14ac:dyDescent="0.2"/>
    <row r="4" spans="1:31" x14ac:dyDescent="0.2">
      <c r="A4" s="68" t="s">
        <v>248</v>
      </c>
      <c r="AA4" t="s">
        <v>610</v>
      </c>
      <c r="AB4" s="66" t="s">
        <v>5</v>
      </c>
      <c r="AC4" t="s">
        <v>73</v>
      </c>
      <c r="AD4" s="66" t="s">
        <v>5</v>
      </c>
      <c r="AE4" s="298" t="s">
        <v>3</v>
      </c>
    </row>
    <row r="5" spans="1:31" x14ac:dyDescent="0.2">
      <c r="A5" s="64"/>
      <c r="B5" s="64" t="s">
        <v>17</v>
      </c>
      <c r="C5" s="65" t="s">
        <v>15</v>
      </c>
      <c r="D5" s="345" t="s">
        <v>1</v>
      </c>
      <c r="E5" s="345"/>
      <c r="F5" s="345"/>
      <c r="G5" s="345" t="s">
        <v>2</v>
      </c>
      <c r="H5" s="345"/>
      <c r="I5" s="345"/>
      <c r="J5" s="64" t="s">
        <v>3</v>
      </c>
      <c r="K5" s="346" t="s">
        <v>16</v>
      </c>
      <c r="L5" s="345"/>
      <c r="M5" s="345"/>
      <c r="O5" t="str">
        <f>LEFT(S5:S22,4)</f>
        <v>0770</v>
      </c>
      <c r="Q5" s="70" t="s">
        <v>225</v>
      </c>
      <c r="R5" s="70" t="s">
        <v>226</v>
      </c>
      <c r="S5" s="70" t="s">
        <v>227</v>
      </c>
      <c r="T5" s="71">
        <v>48692</v>
      </c>
      <c r="U5" s="72">
        <v>30.143183559889337</v>
      </c>
      <c r="V5" s="72">
        <v>12.030595553256482</v>
      </c>
      <c r="W5" s="73">
        <v>0.86552407390171537</v>
      </c>
      <c r="X5" s="78">
        <v>3.9812156793868026E-3</v>
      </c>
      <c r="Y5" s="73">
        <v>1.0312723220440518</v>
      </c>
      <c r="Z5" s="74">
        <v>0.24604785194900611</v>
      </c>
      <c r="AA5" s="75">
        <v>0.8424833757690291</v>
      </c>
      <c r="AB5" s="75">
        <v>3.9812156793868026E-3</v>
      </c>
      <c r="AC5" s="76">
        <v>1376.8543505610648</v>
      </c>
      <c r="AD5" s="76">
        <v>37.960168490668259</v>
      </c>
      <c r="AE5" s="77">
        <v>-10.549485428967497</v>
      </c>
    </row>
    <row r="6" spans="1:31" x14ac:dyDescent="0.2">
      <c r="A6" t="str">
        <f>"ETH-"&amp;Q6</f>
        <v>ETH-59794.2.2</v>
      </c>
      <c r="B6" s="150">
        <v>770</v>
      </c>
      <c r="C6">
        <f>1950-B6</f>
        <v>1180</v>
      </c>
      <c r="D6" s="69">
        <f>AA6</f>
        <v>0.84429591603620269</v>
      </c>
      <c r="E6" s="2" t="s">
        <v>5</v>
      </c>
      <c r="F6" s="13">
        <f>AB6</f>
        <v>2.0447039120365445E-3</v>
      </c>
      <c r="G6" s="12">
        <f>-8033*LN(D6)</f>
        <v>1359.6031990854028</v>
      </c>
      <c r="H6" s="66" t="s">
        <v>5</v>
      </c>
      <c r="I6" s="12">
        <f>F6/D6*8033</f>
        <v>19.454205822174401</v>
      </c>
      <c r="J6" s="5">
        <f>AE6</f>
        <v>-20.229610217398331</v>
      </c>
      <c r="K6" s="9">
        <f>(EXP(C6/8267)*EXP(-G6/8033)-1)*1000</f>
        <v>-26.167590610275738</v>
      </c>
      <c r="L6" s="2" t="s">
        <v>5</v>
      </c>
      <c r="M6" s="14">
        <f>I6/8.033</f>
        <v>2.4217858610947842</v>
      </c>
      <c r="O6" t="str">
        <f>LEFT(AB6:AB23,4)</f>
        <v>0.00</v>
      </c>
      <c r="P6">
        <f>1/AB6^2</f>
        <v>239187.86604139119</v>
      </c>
      <c r="Q6" s="87" t="s">
        <v>277</v>
      </c>
      <c r="R6" s="87" t="s">
        <v>226</v>
      </c>
      <c r="S6" s="87" t="s">
        <v>227</v>
      </c>
      <c r="T6" s="88">
        <v>395108</v>
      </c>
      <c r="U6" s="89">
        <v>46.12800940345101</v>
      </c>
      <c r="V6" s="89">
        <v>18.418124777236525</v>
      </c>
      <c r="W6" s="90">
        <v>0.85907477535869692</v>
      </c>
      <c r="X6" s="91">
        <v>0.159105011036029</v>
      </c>
      <c r="Y6" s="90">
        <v>1.0354567137389898</v>
      </c>
      <c r="Z6" s="92">
        <v>0.2397859490495228</v>
      </c>
      <c r="AA6" s="93">
        <v>0.84429591603620269</v>
      </c>
      <c r="AB6" s="93">
        <v>2.0447039120365445E-3</v>
      </c>
      <c r="AC6" s="88">
        <v>1359.5906723890289</v>
      </c>
      <c r="AD6" s="88">
        <v>19.454026580959248</v>
      </c>
      <c r="AE6" s="94">
        <v>-20.229610217398331</v>
      </c>
    </row>
    <row r="7" spans="1:31" x14ac:dyDescent="0.2">
      <c r="A7" t="str">
        <f t="shared" ref="A7:A23" si="0">"ETH-"&amp;Q7</f>
        <v>ETH-59795.2.1</v>
      </c>
      <c r="B7" s="150">
        <v>771</v>
      </c>
      <c r="C7">
        <f t="shared" ref="C7:C21" si="1">1950-B7</f>
        <v>1179</v>
      </c>
      <c r="D7" s="69">
        <f t="shared" ref="D7:D22" si="2">AA7</f>
        <v>0.84500992404049358</v>
      </c>
      <c r="E7" s="2" t="s">
        <v>5</v>
      </c>
      <c r="F7" s="13">
        <f t="shared" ref="F7:F22" si="3">AB7</f>
        <v>1.9620354567905381E-3</v>
      </c>
      <c r="G7" s="12">
        <f t="shared" ref="G7:G22" si="4">-8033*LN(D7)</f>
        <v>1352.8126860782918</v>
      </c>
      <c r="H7" s="66" t="s">
        <v>5</v>
      </c>
      <c r="I7" s="12">
        <f t="shared" ref="I7:I22" si="5">F7/D7*8033</f>
        <v>18.65188842876017</v>
      </c>
      <c r="J7" s="5">
        <f t="shared" ref="J7:J22" si="6">AE7</f>
        <v>-19.496378315073891</v>
      </c>
      <c r="K7" s="9">
        <f t="shared" ref="K7:K22" si="7">(EXP(C7/8267)*EXP(-G7/8033)-1)*1000</f>
        <v>-25.461925643006534</v>
      </c>
      <c r="L7" s="2" t="s">
        <v>5</v>
      </c>
      <c r="M7" s="14">
        <f t="shared" ref="M7:M22" si="8">I7/8.033</f>
        <v>2.3219081823428573</v>
      </c>
      <c r="O7" t="str">
        <f t="shared" ref="O7:O23" si="9">LEFT(AB7:AB24,4)</f>
        <v>0.00</v>
      </c>
      <c r="P7">
        <f>1/AB7^2</f>
        <v>259768.38667152284</v>
      </c>
      <c r="Q7" s="156" t="s">
        <v>228</v>
      </c>
      <c r="R7" s="156" t="s">
        <v>226</v>
      </c>
      <c r="S7" s="156" t="s">
        <v>229</v>
      </c>
      <c r="T7" s="32">
        <v>258411</v>
      </c>
      <c r="U7" s="33">
        <v>45.199762809968711</v>
      </c>
      <c r="V7" s="33">
        <v>18.04719166770812</v>
      </c>
      <c r="W7" s="54">
        <v>0.86379881544781367</v>
      </c>
      <c r="X7" s="34">
        <v>1.9620354567905381E-3</v>
      </c>
      <c r="Y7" s="54">
        <v>1.0358158956139463</v>
      </c>
      <c r="Z7" s="55">
        <v>0.21569722069031746</v>
      </c>
      <c r="AA7" s="56">
        <v>0.84500992404049358</v>
      </c>
      <c r="AB7" s="56">
        <v>1.9620354567905381E-3</v>
      </c>
      <c r="AC7" s="58">
        <v>1352.8002219462712</v>
      </c>
      <c r="AD7" s="58">
        <v>18.651716579691779</v>
      </c>
      <c r="AE7" s="59">
        <v>-19.496378315073891</v>
      </c>
    </row>
    <row r="8" spans="1:31" x14ac:dyDescent="0.2">
      <c r="A8" t="str">
        <f t="shared" si="0"/>
        <v>ETH-59796.2.1</v>
      </c>
      <c r="B8" s="150">
        <v>772</v>
      </c>
      <c r="C8">
        <f t="shared" si="1"/>
        <v>1178</v>
      </c>
      <c r="D8" s="69">
        <f t="shared" si="2"/>
        <v>0.84617943450753452</v>
      </c>
      <c r="E8" s="2" t="s">
        <v>5</v>
      </c>
      <c r="F8" s="13">
        <f t="shared" si="3"/>
        <v>1.9173565814646467E-3</v>
      </c>
      <c r="G8" s="12">
        <f t="shared" si="4"/>
        <v>1341.7025415734013</v>
      </c>
      <c r="H8" s="66" t="s">
        <v>5</v>
      </c>
      <c r="I8" s="12">
        <f t="shared" si="5"/>
        <v>18.201961417166022</v>
      </c>
      <c r="J8" s="5">
        <f t="shared" si="6"/>
        <v>-21.255441764738812</v>
      </c>
      <c r="K8" s="9">
        <f t="shared" si="7"/>
        <v>-24.231184581046783</v>
      </c>
      <c r="L8" s="2" t="s">
        <v>5</v>
      </c>
      <c r="M8" s="14">
        <f t="shared" si="8"/>
        <v>2.2658983464665781</v>
      </c>
      <c r="O8" t="str">
        <f t="shared" si="9"/>
        <v>0.00</v>
      </c>
      <c r="P8">
        <f>1/AB8^2</f>
        <v>272015.85774868034</v>
      </c>
      <c r="Q8" s="156" t="s">
        <v>230</v>
      </c>
      <c r="R8" s="156" t="s">
        <v>226</v>
      </c>
      <c r="S8" s="156" t="s">
        <v>231</v>
      </c>
      <c r="T8" s="32">
        <v>276637</v>
      </c>
      <c r="U8" s="33">
        <v>48.236085994601147</v>
      </c>
      <c r="V8" s="33">
        <v>19.260510256378293</v>
      </c>
      <c r="W8" s="54">
        <v>0.86433048531361101</v>
      </c>
      <c r="X8" s="34">
        <v>1.9173565814646467E-3</v>
      </c>
      <c r="Y8" s="54">
        <v>1.0368521063305685</v>
      </c>
      <c r="Z8" s="55">
        <v>0.19559457715182149</v>
      </c>
      <c r="AA8" s="56">
        <v>0.84617943450753452</v>
      </c>
      <c r="AB8" s="56">
        <v>1.9173565814646467E-3</v>
      </c>
      <c r="AC8" s="58">
        <v>1341.690179804634</v>
      </c>
      <c r="AD8" s="58">
        <v>18.201793713497604</v>
      </c>
      <c r="AE8" s="59">
        <v>-21.255441764738812</v>
      </c>
    </row>
    <row r="9" spans="1:31" x14ac:dyDescent="0.2">
      <c r="A9" t="str">
        <f t="shared" si="0"/>
        <v>ETH-59796.2.2</v>
      </c>
      <c r="B9" s="150">
        <v>772</v>
      </c>
      <c r="C9">
        <f t="shared" si="1"/>
        <v>1178</v>
      </c>
      <c r="D9" s="69">
        <f t="shared" si="2"/>
        <v>0.84632974346437839</v>
      </c>
      <c r="E9" s="2" t="s">
        <v>5</v>
      </c>
      <c r="F9" s="13">
        <f t="shared" si="3"/>
        <v>2.024467513794509E-3</v>
      </c>
      <c r="G9" s="12">
        <f t="shared" si="4"/>
        <v>1340.2757465294324</v>
      </c>
      <c r="H9" s="66" t="s">
        <v>5</v>
      </c>
      <c r="I9" s="12">
        <f t="shared" si="5"/>
        <v>19.215379896424228</v>
      </c>
      <c r="J9" s="5">
        <f t="shared" si="6"/>
        <v>-22.825801358114962</v>
      </c>
      <c r="K9" s="9">
        <f t="shared" si="7"/>
        <v>-24.057856340267914</v>
      </c>
      <c r="L9" s="2" t="s">
        <v>5</v>
      </c>
      <c r="M9" s="14">
        <f t="shared" si="8"/>
        <v>2.392055259109203</v>
      </c>
      <c r="O9" t="str">
        <f t="shared" si="9"/>
        <v>0.00</v>
      </c>
      <c r="P9">
        <f t="shared" ref="P9:P22" si="10">1/AB9^2</f>
        <v>243993.56678854677</v>
      </c>
      <c r="Q9" s="87" t="s">
        <v>279</v>
      </c>
      <c r="R9" s="87" t="s">
        <v>226</v>
      </c>
      <c r="S9" s="87" t="s">
        <v>231</v>
      </c>
      <c r="T9" s="88">
        <v>420006</v>
      </c>
      <c r="U9" s="89">
        <v>48.981636595909436</v>
      </c>
      <c r="V9" s="89">
        <v>19.558429597091244</v>
      </c>
      <c r="W9" s="90">
        <v>0.85992788715509783</v>
      </c>
      <c r="X9" s="91">
        <v>0.15431779006773338</v>
      </c>
      <c r="Y9" s="90">
        <v>1.0362213558174322</v>
      </c>
      <c r="Z9" s="92">
        <v>0.23539326593924009</v>
      </c>
      <c r="AA9" s="93">
        <v>0.84632974346437839</v>
      </c>
      <c r="AB9" s="93">
        <v>2.024467513794509E-3</v>
      </c>
      <c r="AC9" s="88">
        <v>1340.2633979064331</v>
      </c>
      <c r="AD9" s="88">
        <v>19.215202855630391</v>
      </c>
      <c r="AE9" s="94">
        <v>-22.825801358114962</v>
      </c>
    </row>
    <row r="10" spans="1:31" x14ac:dyDescent="0.2">
      <c r="A10" t="str">
        <f t="shared" si="0"/>
        <v>ETH-59797.2.1</v>
      </c>
      <c r="B10" s="150">
        <v>773</v>
      </c>
      <c r="C10">
        <f t="shared" si="1"/>
        <v>1177</v>
      </c>
      <c r="D10" s="69">
        <f t="shared" si="2"/>
        <v>0.84704809762444078</v>
      </c>
      <c r="E10" s="2" t="s">
        <v>5</v>
      </c>
      <c r="F10" s="13">
        <f t="shared" si="3"/>
        <v>1.8816499175686164E-3</v>
      </c>
      <c r="G10" s="12">
        <f t="shared" si="4"/>
        <v>1333.4603280517451</v>
      </c>
      <c r="H10" s="66" t="s">
        <v>5</v>
      </c>
      <c r="I10" s="12">
        <f t="shared" si="5"/>
        <v>17.844670013686077</v>
      </c>
      <c r="J10" s="5">
        <f t="shared" si="6"/>
        <v>-20.495526437517732</v>
      </c>
      <c r="K10" s="9">
        <f t="shared" si="7"/>
        <v>-23.3476346000947</v>
      </c>
      <c r="L10" s="2" t="s">
        <v>5</v>
      </c>
      <c r="M10" s="14">
        <f t="shared" si="8"/>
        <v>2.2214203925913205</v>
      </c>
      <c r="O10" t="str">
        <f t="shared" si="9"/>
        <v>0.00</v>
      </c>
      <c r="P10">
        <f t="shared" si="10"/>
        <v>282437.49334294215</v>
      </c>
      <c r="Q10" s="156" t="s">
        <v>232</v>
      </c>
      <c r="R10" s="156" t="s">
        <v>226</v>
      </c>
      <c r="S10" s="156" t="s">
        <v>233</v>
      </c>
      <c r="T10" s="32">
        <v>291966</v>
      </c>
      <c r="U10" s="33">
        <v>50.758116165467769</v>
      </c>
      <c r="V10" s="33">
        <v>20.268310748650052</v>
      </c>
      <c r="W10" s="54">
        <v>0.86824936289869847</v>
      </c>
      <c r="X10" s="34">
        <v>1.8816499175686164E-3</v>
      </c>
      <c r="Y10" s="54">
        <v>1.0400070783266977</v>
      </c>
      <c r="Z10" s="55">
        <v>0.21004094485257008</v>
      </c>
      <c r="AA10" s="56">
        <v>0.84704809762444078</v>
      </c>
      <c r="AB10" s="56">
        <v>1.8816499175686164E-3</v>
      </c>
      <c r="AC10" s="58">
        <v>1333.4480422225654</v>
      </c>
      <c r="AD10" s="58">
        <v>17.84450560191998</v>
      </c>
      <c r="AE10" s="59">
        <v>-20.495526437517732</v>
      </c>
    </row>
    <row r="11" spans="1:31" x14ac:dyDescent="0.2">
      <c r="A11" t="str">
        <f t="shared" si="0"/>
        <v>ETH-59797.2.2</v>
      </c>
      <c r="B11" s="150">
        <v>773</v>
      </c>
      <c r="C11">
        <f t="shared" si="1"/>
        <v>1177</v>
      </c>
      <c r="D11" s="69">
        <f t="shared" si="2"/>
        <v>0.84603277012323341</v>
      </c>
      <c r="E11" s="2" t="s">
        <v>5</v>
      </c>
      <c r="F11" s="13">
        <f t="shared" si="3"/>
        <v>2.0285567306064342E-3</v>
      </c>
      <c r="G11" s="12">
        <f t="shared" si="4"/>
        <v>1343.0949851437961</v>
      </c>
      <c r="H11" s="66" t="s">
        <v>5</v>
      </c>
      <c r="I11" s="12">
        <f t="shared" si="5"/>
        <v>19.26095157589214</v>
      </c>
      <c r="J11" s="5">
        <f t="shared" si="6"/>
        <v>-21.786227952784287</v>
      </c>
      <c r="K11" s="9">
        <f t="shared" si="7"/>
        <v>-24.518314291709366</v>
      </c>
      <c r="L11" s="2" t="s">
        <v>5</v>
      </c>
      <c r="M11" s="14">
        <f t="shared" si="8"/>
        <v>2.3977283176761035</v>
      </c>
      <c r="O11" t="str">
        <f t="shared" si="9"/>
        <v>0.00</v>
      </c>
      <c r="P11">
        <f>1/AB11^2</f>
        <v>243010.86125935265</v>
      </c>
      <c r="Q11" s="87" t="s">
        <v>280</v>
      </c>
      <c r="R11" s="87" t="s">
        <v>226</v>
      </c>
      <c r="S11" s="87" t="s">
        <v>233</v>
      </c>
      <c r="T11" s="88">
        <v>414058</v>
      </c>
      <c r="U11" s="89">
        <v>48.277755193043703</v>
      </c>
      <c r="V11" s="89">
        <v>19.277162606175498</v>
      </c>
      <c r="W11" s="90">
        <v>0.86007469040556284</v>
      </c>
      <c r="X11" s="91">
        <v>0.15542198836231688</v>
      </c>
      <c r="Y11" s="90">
        <v>1.0360761082178083</v>
      </c>
      <c r="Z11" s="92">
        <v>0.22380145270028987</v>
      </c>
      <c r="AA11" s="93">
        <v>0.84603277012323341</v>
      </c>
      <c r="AB11" s="93">
        <v>2.0285567306064342E-3</v>
      </c>
      <c r="AC11" s="88">
        <v>1343.0826105457579</v>
      </c>
      <c r="AD11" s="88">
        <v>19.260774115223892</v>
      </c>
      <c r="AE11" s="94">
        <v>-21.786227952784287</v>
      </c>
    </row>
    <row r="12" spans="1:31" x14ac:dyDescent="0.2">
      <c r="A12" t="str">
        <f t="shared" si="0"/>
        <v>ETH-59798.2.1</v>
      </c>
      <c r="B12" s="150">
        <v>774</v>
      </c>
      <c r="C12">
        <f t="shared" si="1"/>
        <v>1176</v>
      </c>
      <c r="D12" s="69">
        <f t="shared" si="2"/>
        <v>0.85606115448661557</v>
      </c>
      <c r="E12" s="2" t="s">
        <v>5</v>
      </c>
      <c r="F12" s="13">
        <f t="shared" si="3"/>
        <v>1.9501520575005995E-3</v>
      </c>
      <c r="G12" s="12">
        <f t="shared" si="4"/>
        <v>1248.4363501667804</v>
      </c>
      <c r="H12" s="66" t="s">
        <v>5</v>
      </c>
      <c r="I12" s="12">
        <f t="shared" si="5"/>
        <v>18.299593896766687</v>
      </c>
      <c r="J12" s="5">
        <f t="shared" si="6"/>
        <v>-22.465227048397374</v>
      </c>
      <c r="K12" s="9">
        <f t="shared" si="7"/>
        <v>-13.074905671717762</v>
      </c>
      <c r="L12" s="2" t="s">
        <v>5</v>
      </c>
      <c r="M12" s="14">
        <f t="shared" si="8"/>
        <v>2.2780522714759974</v>
      </c>
      <c r="O12" t="str">
        <f t="shared" si="9"/>
        <v>0.00</v>
      </c>
      <c r="P12">
        <f t="shared" si="10"/>
        <v>262943.86898856907</v>
      </c>
      <c r="Q12" s="156" t="s">
        <v>234</v>
      </c>
      <c r="R12" s="156" t="s">
        <v>226</v>
      </c>
      <c r="S12" s="156" t="s">
        <v>235</v>
      </c>
      <c r="T12" s="32">
        <v>272514</v>
      </c>
      <c r="U12" s="33">
        <v>47.22351711894742</v>
      </c>
      <c r="V12" s="33">
        <v>18.855890608028908</v>
      </c>
      <c r="W12" s="54">
        <v>0.87142861236308256</v>
      </c>
      <c r="X12" s="34">
        <v>1.9501520575005995E-3</v>
      </c>
      <c r="Y12" s="54">
        <v>1.0344791664893846</v>
      </c>
      <c r="Z12" s="55">
        <v>0.15472991729729124</v>
      </c>
      <c r="AA12" s="56">
        <v>0.85606115448661557</v>
      </c>
      <c r="AB12" s="56">
        <v>1.9501520575005995E-3</v>
      </c>
      <c r="AC12" s="58">
        <v>1248.4248477055394</v>
      </c>
      <c r="AD12" s="58">
        <v>18.299425293561971</v>
      </c>
      <c r="AE12" s="59">
        <v>-22.465227048397374</v>
      </c>
    </row>
    <row r="13" spans="1:31" x14ac:dyDescent="0.2">
      <c r="A13" t="str">
        <f t="shared" si="0"/>
        <v>ETH-59798.2.2</v>
      </c>
      <c r="B13" s="150">
        <v>774</v>
      </c>
      <c r="C13">
        <f t="shared" si="1"/>
        <v>1176</v>
      </c>
      <c r="D13" s="69">
        <f t="shared" si="2"/>
        <v>0.85663023427351392</v>
      </c>
      <c r="E13" s="2" t="s">
        <v>5</v>
      </c>
      <c r="F13" s="13">
        <f t="shared" si="3"/>
        <v>2.0532512970633404E-3</v>
      </c>
      <c r="G13" s="12">
        <f t="shared" si="4"/>
        <v>1243.0980643245196</v>
      </c>
      <c r="H13" s="66" t="s">
        <v>5</v>
      </c>
      <c r="I13" s="12">
        <f t="shared" si="5"/>
        <v>19.254244141053174</v>
      </c>
      <c r="J13" s="5">
        <f t="shared" si="6"/>
        <v>-21.462640417851951</v>
      </c>
      <c r="K13" s="9">
        <f t="shared" si="7"/>
        <v>-12.418832072978446</v>
      </c>
      <c r="L13" s="2" t="s">
        <v>5</v>
      </c>
      <c r="M13" s="14">
        <f t="shared" si="8"/>
        <v>2.3968933326345296</v>
      </c>
      <c r="O13" t="str">
        <f t="shared" si="9"/>
        <v>0.00</v>
      </c>
      <c r="P13">
        <f t="shared" si="10"/>
        <v>237200.60276343816</v>
      </c>
      <c r="Q13" s="87" t="s">
        <v>281</v>
      </c>
      <c r="R13" s="87" t="s">
        <v>226</v>
      </c>
      <c r="S13" s="87" t="s">
        <v>235</v>
      </c>
      <c r="T13" s="88">
        <v>413730</v>
      </c>
      <c r="U13" s="89">
        <v>47.653815192035729</v>
      </c>
      <c r="V13" s="89">
        <v>19.027835982288835</v>
      </c>
      <c r="W13" s="90">
        <v>0.8707522974719748</v>
      </c>
      <c r="X13" s="91">
        <v>0.15548355611771603</v>
      </c>
      <c r="Y13" s="90">
        <v>1.0353486711821913</v>
      </c>
      <c r="Z13" s="92">
        <v>0.21204423395399666</v>
      </c>
      <c r="AA13" s="93">
        <v>0.85663023427351392</v>
      </c>
      <c r="AB13" s="93">
        <v>2.0532512970633404E-3</v>
      </c>
      <c r="AC13" s="88">
        <v>1243.0866110475449</v>
      </c>
      <c r="AD13" s="88">
        <v>19.254066742183841</v>
      </c>
      <c r="AE13" s="94">
        <v>-21.462640417851951</v>
      </c>
    </row>
    <row r="14" spans="1:31" x14ac:dyDescent="0.2">
      <c r="A14" t="str">
        <f t="shared" si="0"/>
        <v>ETH-59799.2.1</v>
      </c>
      <c r="B14" s="150">
        <v>775</v>
      </c>
      <c r="C14">
        <f t="shared" si="1"/>
        <v>1175</v>
      </c>
      <c r="D14" s="69">
        <f t="shared" si="2"/>
        <v>0.86142046066468758</v>
      </c>
      <c r="E14" s="2" t="s">
        <v>5</v>
      </c>
      <c r="F14" s="13">
        <f t="shared" si="3"/>
        <v>1.9045153420943451E-3</v>
      </c>
      <c r="G14" s="12">
        <f t="shared" si="4"/>
        <v>1198.3031250048118</v>
      </c>
      <c r="H14" s="66" t="s">
        <v>5</v>
      </c>
      <c r="I14" s="12">
        <f t="shared" si="5"/>
        <v>17.76016758557013</v>
      </c>
      <c r="J14" s="5">
        <f t="shared" si="6"/>
        <v>-21.697371230617101</v>
      </c>
      <c r="K14" s="9">
        <f t="shared" si="7"/>
        <v>-7.0164570842967677</v>
      </c>
      <c r="L14" s="2" t="s">
        <v>5</v>
      </c>
      <c r="M14" s="14">
        <f t="shared" si="8"/>
        <v>2.2109009816469727</v>
      </c>
      <c r="O14" t="str">
        <f t="shared" si="9"/>
        <v>0.00</v>
      </c>
      <c r="P14">
        <f t="shared" si="10"/>
        <v>275696.37063461001</v>
      </c>
      <c r="Q14" s="156" t="s">
        <v>236</v>
      </c>
      <c r="R14" s="156" t="s">
        <v>226</v>
      </c>
      <c r="S14" s="156" t="s">
        <v>237</v>
      </c>
      <c r="T14" s="32">
        <v>295660</v>
      </c>
      <c r="U14" s="33">
        <v>50.613331295943645</v>
      </c>
      <c r="V14" s="33">
        <v>20.210463917945848</v>
      </c>
      <c r="W14" s="54">
        <v>0.88068734805352578</v>
      </c>
      <c r="X14" s="34">
        <v>1.9045153420943451E-3</v>
      </c>
      <c r="Y14" s="54">
        <v>1.0385904654307523</v>
      </c>
      <c r="Z14" s="55">
        <v>0.17897384230180355</v>
      </c>
      <c r="AA14" s="56">
        <v>0.86142046066468758</v>
      </c>
      <c r="AB14" s="56">
        <v>1.9045153420943451E-3</v>
      </c>
      <c r="AC14" s="58">
        <v>1198.2920844457569</v>
      </c>
      <c r="AD14" s="58">
        <v>17.760003952366677</v>
      </c>
      <c r="AE14" s="59">
        <v>-21.697371230617101</v>
      </c>
    </row>
    <row r="15" spans="1:31" x14ac:dyDescent="0.2">
      <c r="A15" t="str">
        <f t="shared" si="0"/>
        <v>ETH-59799.2.2</v>
      </c>
      <c r="B15" s="150">
        <v>775</v>
      </c>
      <c r="C15">
        <f t="shared" si="1"/>
        <v>1175</v>
      </c>
      <c r="D15" s="69">
        <f t="shared" si="2"/>
        <v>0.8589229240447589</v>
      </c>
      <c r="E15" s="2" t="s">
        <v>5</v>
      </c>
      <c r="F15" s="13">
        <f t="shared" si="3"/>
        <v>2.0367358074505557E-3</v>
      </c>
      <c r="G15" s="12">
        <f t="shared" si="4"/>
        <v>1221.6272194165651</v>
      </c>
      <c r="H15" s="66" t="s">
        <v>5</v>
      </c>
      <c r="I15" s="12">
        <f t="shared" si="5"/>
        <v>19.048389888354787</v>
      </c>
      <c r="J15" s="5">
        <f t="shared" si="6"/>
        <v>-22.139942095827703</v>
      </c>
      <c r="K15" s="9">
        <f t="shared" si="7"/>
        <v>-9.8954376456649165</v>
      </c>
      <c r="L15" s="2" t="s">
        <v>5</v>
      </c>
      <c r="M15" s="14">
        <f t="shared" si="8"/>
        <v>2.3712672586026127</v>
      </c>
      <c r="O15" t="str">
        <f t="shared" si="9"/>
        <v>0.00</v>
      </c>
      <c r="P15">
        <f t="shared" si="10"/>
        <v>241063.02530273102</v>
      </c>
      <c r="Q15" s="113" t="s">
        <v>282</v>
      </c>
      <c r="R15" s="113" t="s">
        <v>226</v>
      </c>
      <c r="S15" s="113" t="s">
        <v>237</v>
      </c>
      <c r="T15" s="115">
        <v>434152</v>
      </c>
      <c r="U15" s="117">
        <v>49.791476828946799</v>
      </c>
      <c r="V15" s="117">
        <v>19.882038502219743</v>
      </c>
      <c r="W15" s="119">
        <v>0.87428547566852421</v>
      </c>
      <c r="X15" s="121">
        <v>0.15178336120741595</v>
      </c>
      <c r="Y15" s="119">
        <v>1.0379531526876151</v>
      </c>
      <c r="Z15" s="123">
        <v>0.21694912208775341</v>
      </c>
      <c r="AA15" s="125">
        <v>0.8589229240447589</v>
      </c>
      <c r="AB15" s="125">
        <v>2.0367358074505557E-3</v>
      </c>
      <c r="AC15" s="115">
        <v>1221.6159639610985</v>
      </c>
      <c r="AD15" s="115">
        <v>19.048214386122442</v>
      </c>
      <c r="AE15" s="128">
        <v>-22.139942095827703</v>
      </c>
    </row>
    <row r="16" spans="1:31" x14ac:dyDescent="0.2">
      <c r="A16" t="str">
        <f t="shared" si="0"/>
        <v>ETH-59801.2.1</v>
      </c>
      <c r="B16" s="150">
        <v>776</v>
      </c>
      <c r="C16">
        <f t="shared" si="1"/>
        <v>1174</v>
      </c>
      <c r="D16" s="69">
        <f t="shared" si="2"/>
        <v>0.86436846925150634</v>
      </c>
      <c r="E16" s="2" t="s">
        <v>5</v>
      </c>
      <c r="F16" s="13">
        <f t="shared" si="3"/>
        <v>1.9162749890694625E-3</v>
      </c>
      <c r="G16" s="12">
        <f t="shared" si="4"/>
        <v>1170.8590087501077</v>
      </c>
      <c r="H16" s="66" t="s">
        <v>5</v>
      </c>
      <c r="I16" s="12">
        <f t="shared" si="5"/>
        <v>17.808883057158283</v>
      </c>
      <c r="J16" s="5">
        <f t="shared" si="6"/>
        <v>-22.92860053299006</v>
      </c>
      <c r="K16" s="9">
        <f t="shared" si="7"/>
        <v>-3.7387227498145714</v>
      </c>
      <c r="L16" s="2" t="s">
        <v>5</v>
      </c>
      <c r="M16" s="14">
        <f t="shared" si="8"/>
        <v>2.2169653998703205</v>
      </c>
      <c r="O16" t="str">
        <f t="shared" si="9"/>
        <v>0.00</v>
      </c>
      <c r="P16">
        <f t="shared" si="10"/>
        <v>272323.00919043378</v>
      </c>
      <c r="Q16" s="156" t="s">
        <v>238</v>
      </c>
      <c r="R16" s="156" t="s">
        <v>226</v>
      </c>
      <c r="S16" s="156" t="s">
        <v>239</v>
      </c>
      <c r="T16" s="32">
        <v>294286</v>
      </c>
      <c r="U16" s="33">
        <v>50.290633331159903</v>
      </c>
      <c r="V16" s="33">
        <v>20.081513911289225</v>
      </c>
      <c r="W16" s="54">
        <v>0.88163989792126296</v>
      </c>
      <c r="X16" s="34">
        <v>1.9162749890694625E-3</v>
      </c>
      <c r="Y16" s="54">
        <v>1.0369463757546316</v>
      </c>
      <c r="Z16" s="55">
        <v>0.15955334750882846</v>
      </c>
      <c r="AA16" s="56">
        <v>0.86436846925150634</v>
      </c>
      <c r="AB16" s="56">
        <v>1.9162749890694625E-3</v>
      </c>
      <c r="AC16" s="58">
        <v>1170.8482210472625</v>
      </c>
      <c r="AD16" s="58">
        <v>17.808718975115109</v>
      </c>
      <c r="AE16" s="59">
        <v>-22.92860053299006</v>
      </c>
    </row>
    <row r="17" spans="1:31" x14ac:dyDescent="0.2">
      <c r="A17" t="str">
        <f t="shared" si="0"/>
        <v>ETH-59801.2.2</v>
      </c>
      <c r="B17" s="150">
        <v>776</v>
      </c>
      <c r="C17">
        <f t="shared" si="1"/>
        <v>1174</v>
      </c>
      <c r="D17" s="69">
        <f t="shared" si="2"/>
        <v>0.86056204393169122</v>
      </c>
      <c r="E17" s="2" t="s">
        <v>5</v>
      </c>
      <c r="F17" s="13">
        <f t="shared" si="3"/>
        <v>2.0622263664565928E-3</v>
      </c>
      <c r="G17" s="12">
        <f t="shared" si="4"/>
        <v>1206.3121055478321</v>
      </c>
      <c r="H17" s="66" t="s">
        <v>5</v>
      </c>
      <c r="I17" s="12">
        <f t="shared" si="5"/>
        <v>19.250052356551247</v>
      </c>
      <c r="J17" s="5">
        <f t="shared" si="6"/>
        <v>-21.212268285659142</v>
      </c>
      <c r="K17" s="9">
        <f t="shared" si="7"/>
        <v>-8.1259653272309773</v>
      </c>
      <c r="L17" s="2" t="s">
        <v>5</v>
      </c>
      <c r="M17" s="14">
        <f t="shared" si="8"/>
        <v>2.3963715120815694</v>
      </c>
      <c r="O17" t="str">
        <f t="shared" si="9"/>
        <v>0.00</v>
      </c>
      <c r="P17">
        <f t="shared" si="10"/>
        <v>235140.44166625023</v>
      </c>
      <c r="Q17" s="87" t="s">
        <v>283</v>
      </c>
      <c r="R17" s="87" t="s">
        <v>226</v>
      </c>
      <c r="S17" s="87" t="s">
        <v>239</v>
      </c>
      <c r="T17" s="88">
        <v>412989</v>
      </c>
      <c r="U17" s="89">
        <v>47.365254271767547</v>
      </c>
      <c r="V17" s="89">
        <v>18.912524735533619</v>
      </c>
      <c r="W17" s="90">
        <v>0.87454185767342596</v>
      </c>
      <c r="X17" s="91">
        <v>0.15562292332296565</v>
      </c>
      <c r="Y17" s="90">
        <v>1.0350907406212091</v>
      </c>
      <c r="Z17" s="92">
        <v>0.19487809175286713</v>
      </c>
      <c r="AA17" s="93">
        <v>0.86056204393169122</v>
      </c>
      <c r="AB17" s="93">
        <v>2.0622263664565928E-3</v>
      </c>
      <c r="AC17" s="88">
        <v>1206.3009911980803</v>
      </c>
      <c r="AD17" s="88">
        <v>19.249874996302896</v>
      </c>
      <c r="AE17" s="94">
        <v>-21.212268285659142</v>
      </c>
    </row>
    <row r="18" spans="1:31" x14ac:dyDescent="0.2">
      <c r="A18" t="str">
        <f t="shared" si="0"/>
        <v>ETH-59802.2.1</v>
      </c>
      <c r="B18" s="150">
        <v>777</v>
      </c>
      <c r="C18">
        <f t="shared" si="1"/>
        <v>1173</v>
      </c>
      <c r="D18" s="69">
        <f t="shared" si="2"/>
        <v>0.86254159377368633</v>
      </c>
      <c r="E18" s="2" t="s">
        <v>5</v>
      </c>
      <c r="F18" s="13">
        <f t="shared" si="3"/>
        <v>1.8807351583566172E-3</v>
      </c>
      <c r="G18" s="12">
        <f t="shared" si="4"/>
        <v>1187.855025510954</v>
      </c>
      <c r="H18" s="66" t="s">
        <v>5</v>
      </c>
      <c r="I18" s="12">
        <f t="shared" si="5"/>
        <v>17.515613897505247</v>
      </c>
      <c r="J18" s="5">
        <f t="shared" si="6"/>
        <v>-20.90922184315891</v>
      </c>
      <c r="K18" s="9">
        <f t="shared" si="7"/>
        <v>-5.9646073108221564</v>
      </c>
      <c r="L18" s="2" t="s">
        <v>5</v>
      </c>
      <c r="M18" s="14">
        <f t="shared" si="8"/>
        <v>2.1804573506168614</v>
      </c>
      <c r="O18" t="str">
        <f t="shared" si="9"/>
        <v>0.00</v>
      </c>
      <c r="P18">
        <f t="shared" si="10"/>
        <v>282712.30623121752</v>
      </c>
      <c r="Q18" s="156" t="s">
        <v>240</v>
      </c>
      <c r="R18" s="156" t="s">
        <v>226</v>
      </c>
      <c r="S18" s="156" t="s">
        <v>241</v>
      </c>
      <c r="T18" s="32">
        <v>307760</v>
      </c>
      <c r="U18" s="33">
        <v>52.390019743298232</v>
      </c>
      <c r="V18" s="33">
        <v>20.920426398989541</v>
      </c>
      <c r="W18" s="54">
        <v>0.8847568835965699</v>
      </c>
      <c r="X18" s="34">
        <v>1.8807351583566172E-3</v>
      </c>
      <c r="Y18" s="54">
        <v>1.0411370050321915</v>
      </c>
      <c r="Z18" s="55">
        <v>0.1853717973203132</v>
      </c>
      <c r="AA18" s="56">
        <v>0.86254159377368633</v>
      </c>
      <c r="AB18" s="56">
        <v>1.8807351583566172E-3</v>
      </c>
      <c r="AC18" s="58">
        <v>1187.8440812154045</v>
      </c>
      <c r="AD18" s="58">
        <v>17.515452517495813</v>
      </c>
      <c r="AE18" s="59">
        <v>-20.90922184315891</v>
      </c>
    </row>
    <row r="19" spans="1:31" x14ac:dyDescent="0.2">
      <c r="A19" t="str">
        <f t="shared" si="0"/>
        <v>ETH-59802.2.2</v>
      </c>
      <c r="B19" s="150">
        <v>777</v>
      </c>
      <c r="C19">
        <f t="shared" si="1"/>
        <v>1173</v>
      </c>
      <c r="D19" s="69">
        <f t="shared" si="2"/>
        <v>0.8588450473469561</v>
      </c>
      <c r="E19" s="2" t="s">
        <v>5</v>
      </c>
      <c r="F19" s="13">
        <f t="shared" si="3"/>
        <v>2.0559659006801558E-3</v>
      </c>
      <c r="G19" s="12">
        <f t="shared" si="4"/>
        <v>1222.3555873036107</v>
      </c>
      <c r="H19" s="66" t="s">
        <v>5</v>
      </c>
      <c r="I19" s="12">
        <f t="shared" si="5"/>
        <v>19.229981160375406</v>
      </c>
      <c r="J19" s="5">
        <f t="shared" si="6"/>
        <v>-21.048921901852591</v>
      </c>
      <c r="K19" s="9">
        <f t="shared" si="7"/>
        <v>-10.224689381545748</v>
      </c>
      <c r="L19" s="2" t="s">
        <v>5</v>
      </c>
      <c r="M19" s="14">
        <f t="shared" si="8"/>
        <v>2.3938729192549992</v>
      </c>
      <c r="O19" t="str">
        <f t="shared" si="9"/>
        <v>0.00</v>
      </c>
      <c r="P19">
        <f t="shared" si="10"/>
        <v>236574.6385661184</v>
      </c>
      <c r="Q19" s="87" t="s">
        <v>284</v>
      </c>
      <c r="R19" s="87" t="s">
        <v>226</v>
      </c>
      <c r="S19" s="87" t="s">
        <v>241</v>
      </c>
      <c r="T19" s="88">
        <v>415378</v>
      </c>
      <c r="U19" s="89">
        <v>47.680461023328213</v>
      </c>
      <c r="V19" s="89">
        <v>19.03848274998467</v>
      </c>
      <c r="W19" s="90">
        <v>0.87363140264402805</v>
      </c>
      <c r="X19" s="91">
        <v>0.15517486890613805</v>
      </c>
      <c r="Y19" s="90">
        <v>1.0358170875860262</v>
      </c>
      <c r="Z19" s="92">
        <v>0.20915848457703867</v>
      </c>
      <c r="AA19" s="93">
        <v>0.8588450473469561</v>
      </c>
      <c r="AB19" s="93">
        <v>2.0559659006801558E-3</v>
      </c>
      <c r="AC19" s="88">
        <v>1222.3443251373308</v>
      </c>
      <c r="AD19" s="88">
        <v>19.229803985052907</v>
      </c>
      <c r="AE19" s="94">
        <v>-21.048921901852591</v>
      </c>
    </row>
    <row r="20" spans="1:31" x14ac:dyDescent="0.2">
      <c r="A20" t="str">
        <f t="shared" si="0"/>
        <v>ETH-59803.2.1</v>
      </c>
      <c r="B20" s="150">
        <v>778</v>
      </c>
      <c r="C20">
        <f t="shared" si="1"/>
        <v>1172</v>
      </c>
      <c r="D20" s="69">
        <f t="shared" si="2"/>
        <v>0.86162475677077488</v>
      </c>
      <c r="E20" s="2" t="s">
        <v>5</v>
      </c>
      <c r="F20" s="13">
        <f t="shared" si="3"/>
        <v>1.9499657273756752E-3</v>
      </c>
      <c r="G20" s="12">
        <f t="shared" si="4"/>
        <v>1196.3982294033694</v>
      </c>
      <c r="H20" s="66" t="s">
        <v>5</v>
      </c>
      <c r="I20" s="12">
        <f t="shared" si="5"/>
        <v>18.179694309986083</v>
      </c>
      <c r="J20" s="5">
        <f t="shared" si="6"/>
        <v>-20.984129675962528</v>
      </c>
      <c r="K20" s="9">
        <f t="shared" si="7"/>
        <v>-7.1413216995088735</v>
      </c>
      <c r="L20" s="2" t="s">
        <v>5</v>
      </c>
      <c r="M20" s="14">
        <f t="shared" si="8"/>
        <v>2.2631263923796943</v>
      </c>
      <c r="O20" t="str">
        <f t="shared" si="9"/>
        <v>0.00</v>
      </c>
      <c r="P20">
        <f t="shared" si="10"/>
        <v>262994.12290238048</v>
      </c>
      <c r="Q20" s="156" t="s">
        <v>242</v>
      </c>
      <c r="R20" s="156" t="s">
        <v>226</v>
      </c>
      <c r="S20" s="156" t="s">
        <v>243</v>
      </c>
      <c r="T20" s="32">
        <v>277040</v>
      </c>
      <c r="U20" s="33">
        <v>47.766531004458137</v>
      </c>
      <c r="V20" s="33">
        <v>19.072871688172373</v>
      </c>
      <c r="W20" s="54">
        <v>0.87998835435585654</v>
      </c>
      <c r="X20" s="34">
        <v>1.9499657273756752E-3</v>
      </c>
      <c r="Y20" s="54">
        <v>1.0365600356193894</v>
      </c>
      <c r="Z20" s="55">
        <v>0.17147859676967828</v>
      </c>
      <c r="AA20" s="56">
        <v>0.86162475677077488</v>
      </c>
      <c r="AB20" s="56">
        <v>1.9499657273756752E-3</v>
      </c>
      <c r="AC20" s="58">
        <v>1196.3872063950594</v>
      </c>
      <c r="AD20" s="58">
        <v>18.17952681147553</v>
      </c>
      <c r="AE20" s="59">
        <v>-20.984129675962528</v>
      </c>
    </row>
    <row r="21" spans="1:31" x14ac:dyDescent="0.2">
      <c r="A21" t="str">
        <f t="shared" si="0"/>
        <v>ETH-59804.2.1</v>
      </c>
      <c r="B21" s="150">
        <v>779</v>
      </c>
      <c r="C21">
        <f t="shared" si="1"/>
        <v>1171</v>
      </c>
      <c r="D21" s="69">
        <f t="shared" si="2"/>
        <v>0.85687662853925928</v>
      </c>
      <c r="E21" s="2" t="s">
        <v>5</v>
      </c>
      <c r="F21" s="13">
        <f t="shared" si="3"/>
        <v>2.0439877574751062E-3</v>
      </c>
      <c r="G21" s="12">
        <f t="shared" si="4"/>
        <v>1240.7878487154319</v>
      </c>
      <c r="H21" s="66" t="s">
        <v>5</v>
      </c>
      <c r="I21" s="12">
        <f t="shared" si="5"/>
        <v>19.161864274193174</v>
      </c>
      <c r="J21" s="5">
        <f t="shared" si="6"/>
        <v>-18.641303612026427</v>
      </c>
      <c r="K21" s="9">
        <f t="shared" si="7"/>
        <v>-12.732066522275542</v>
      </c>
      <c r="L21" s="2" t="s">
        <v>5</v>
      </c>
      <c r="M21" s="14">
        <f t="shared" si="8"/>
        <v>2.3853932869654146</v>
      </c>
      <c r="O21" t="str">
        <f t="shared" si="9"/>
        <v>0.00</v>
      </c>
      <c r="P21">
        <f t="shared" si="10"/>
        <v>239355.504511031</v>
      </c>
      <c r="Q21" s="156" t="s">
        <v>244</v>
      </c>
      <c r="R21" s="156" t="s">
        <v>226</v>
      </c>
      <c r="S21" s="156" t="s">
        <v>245</v>
      </c>
      <c r="T21" s="32">
        <v>239701</v>
      </c>
      <c r="U21" s="33">
        <v>44.555742970594828</v>
      </c>
      <c r="V21" s="33">
        <v>17.789849260799119</v>
      </c>
      <c r="W21" s="54">
        <v>0.87670647664298551</v>
      </c>
      <c r="X21" s="34">
        <v>2.0439877574751062E-3</v>
      </c>
      <c r="Y21" s="54">
        <v>1.0360210893537767</v>
      </c>
      <c r="Z21" s="55">
        <v>0.19601247905005817</v>
      </c>
      <c r="AA21" s="56">
        <v>0.85687662853925928</v>
      </c>
      <c r="AB21" s="56">
        <v>2.0439877574751062E-3</v>
      </c>
      <c r="AC21" s="58">
        <v>1240.7764167236157</v>
      </c>
      <c r="AD21" s="58">
        <v>19.161687726465221</v>
      </c>
      <c r="AE21" s="59">
        <v>-18.641303612026427</v>
      </c>
    </row>
    <row r="22" spans="1:31" x14ac:dyDescent="0.2">
      <c r="A22" t="str">
        <f t="shared" si="0"/>
        <v>ETH-59805.2.1</v>
      </c>
      <c r="B22" s="150">
        <v>780</v>
      </c>
      <c r="C22">
        <f>1950-B22</f>
        <v>1170</v>
      </c>
      <c r="D22" s="69">
        <f t="shared" si="2"/>
        <v>0.85609214488764063</v>
      </c>
      <c r="E22" s="2" t="s">
        <v>5</v>
      </c>
      <c r="F22" s="13">
        <f t="shared" si="3"/>
        <v>1.9891081734952389E-3</v>
      </c>
      <c r="G22" s="12">
        <f t="shared" si="4"/>
        <v>1248.1455515665002</v>
      </c>
      <c r="H22" s="66" t="s">
        <v>5</v>
      </c>
      <c r="I22" s="12">
        <f t="shared" si="5"/>
        <v>18.664469768945704</v>
      </c>
      <c r="J22" s="5">
        <f t="shared" si="6"/>
        <v>-19.544604941323151</v>
      </c>
      <c r="K22" s="9">
        <f t="shared" si="7"/>
        <v>-13.755231614571928</v>
      </c>
      <c r="L22" s="2" t="s">
        <v>5</v>
      </c>
      <c r="M22" s="14">
        <f t="shared" si="8"/>
        <v>2.3234743892625054</v>
      </c>
      <c r="O22" t="str">
        <f t="shared" si="9"/>
        <v>0.00</v>
      </c>
      <c r="P22">
        <f t="shared" si="10"/>
        <v>252745.36272601807</v>
      </c>
      <c r="Q22" s="112" t="s">
        <v>246</v>
      </c>
      <c r="R22" s="112" t="s">
        <v>226</v>
      </c>
      <c r="S22" s="112" t="s">
        <v>247</v>
      </c>
      <c r="T22" s="114">
        <v>257262</v>
      </c>
      <c r="U22" s="116">
        <v>47.83254088843178</v>
      </c>
      <c r="V22" s="116">
        <v>19.099264445557615</v>
      </c>
      <c r="W22" s="118">
        <v>0.87672638461664509</v>
      </c>
      <c r="X22" s="120">
        <v>1.9891081734952389E-3</v>
      </c>
      <c r="Y22" s="118">
        <v>1.0381407329125145</v>
      </c>
      <c r="Z22" s="122">
        <v>0.15566463674620237</v>
      </c>
      <c r="AA22" s="124">
        <v>0.85609214488764063</v>
      </c>
      <c r="AB22" s="124">
        <v>1.9891081734952389E-3</v>
      </c>
      <c r="AC22" s="126">
        <v>1248.1340517845306</v>
      </c>
      <c r="AD22" s="126">
        <v>18.664297803959208</v>
      </c>
      <c r="AE22" s="127">
        <v>-19.544604941323151</v>
      </c>
    </row>
    <row r="23" spans="1:31" x14ac:dyDescent="0.2">
      <c r="A23" t="str">
        <f t="shared" si="0"/>
        <v>ETH-59805.2.1</v>
      </c>
      <c r="B23" s="150">
        <v>780</v>
      </c>
      <c r="C23">
        <f>1950-B23</f>
        <v>1170</v>
      </c>
      <c r="D23" s="69">
        <f>AA23</f>
        <v>0.85609214488764063</v>
      </c>
      <c r="E23" s="2" t="s">
        <v>5</v>
      </c>
      <c r="F23" s="13">
        <f>AB23</f>
        <v>1.9891081734952389E-3</v>
      </c>
      <c r="G23" s="12">
        <f>-8033*LN(D23)</f>
        <v>1248.1455515665002</v>
      </c>
      <c r="H23" s="66" t="s">
        <v>5</v>
      </c>
      <c r="I23" s="12">
        <f>F23/D23*8033</f>
        <v>18.664469768945704</v>
      </c>
      <c r="J23" s="5">
        <f>AE23</f>
        <v>-19.544604941323151</v>
      </c>
      <c r="K23" s="9">
        <f>(EXP(C23/8267)*EXP(-G23/8033)-1)*1000</f>
        <v>-13.755231614571928</v>
      </c>
      <c r="L23" s="2" t="s">
        <v>5</v>
      </c>
      <c r="M23" s="14">
        <f>I23/8.033</f>
        <v>2.3234743892625054</v>
      </c>
      <c r="O23" t="str">
        <f t="shared" si="9"/>
        <v>0.00</v>
      </c>
      <c r="P23">
        <f>1/AB23^2</f>
        <v>252745.36272601807</v>
      </c>
      <c r="Q23" s="112" t="s">
        <v>246</v>
      </c>
      <c r="R23" s="112" t="s">
        <v>226</v>
      </c>
      <c r="S23" s="112" t="s">
        <v>247</v>
      </c>
      <c r="T23" s="114">
        <v>257262</v>
      </c>
      <c r="U23" s="116">
        <v>47.83254088843178</v>
      </c>
      <c r="V23" s="116">
        <v>19.099264445557615</v>
      </c>
      <c r="W23" s="118">
        <v>0.87672638461664509</v>
      </c>
      <c r="X23" s="120">
        <v>1.9891081734952389E-3</v>
      </c>
      <c r="Y23" s="118">
        <v>1.0381407329125145</v>
      </c>
      <c r="Z23" s="122">
        <v>0.15566463674620237</v>
      </c>
      <c r="AA23" s="124">
        <v>0.85609214488764063</v>
      </c>
      <c r="AB23" s="124">
        <v>1.9891081734952389E-3</v>
      </c>
      <c r="AC23" s="126">
        <v>1248.1340517845306</v>
      </c>
      <c r="AD23" s="126">
        <v>18.664297803959208</v>
      </c>
      <c r="AE23" s="127">
        <v>-19.544604941323151</v>
      </c>
    </row>
    <row r="24" spans="1:31" x14ac:dyDescent="0.2">
      <c r="B24" s="150"/>
      <c r="D24" s="69"/>
      <c r="F24" s="13"/>
      <c r="G24" s="12"/>
      <c r="H24" s="66"/>
      <c r="I24" s="12"/>
      <c r="J24" s="5"/>
      <c r="K24" s="9"/>
      <c r="L24" s="2"/>
      <c r="M24" s="14"/>
    </row>
    <row r="25" spans="1:31" x14ac:dyDescent="0.2">
      <c r="D25" s="69"/>
      <c r="F25" s="13"/>
      <c r="G25" s="12"/>
      <c r="H25" s="66"/>
      <c r="I25" s="12"/>
      <c r="J25" s="5"/>
      <c r="K25" s="9"/>
      <c r="L25" s="2"/>
      <c r="M25" s="14"/>
    </row>
    <row r="26" spans="1:31" x14ac:dyDescent="0.2">
      <c r="A26" s="1" t="s">
        <v>330</v>
      </c>
      <c r="D26" s="69"/>
      <c r="F26" s="13"/>
      <c r="G26" s="12"/>
      <c r="H26" s="66"/>
      <c r="I26" s="12"/>
      <c r="J26" s="5"/>
      <c r="K26" s="9"/>
      <c r="L26" s="2"/>
      <c r="M26" s="14"/>
    </row>
    <row r="27" spans="1:31" x14ac:dyDescent="0.2">
      <c r="A27" s="160"/>
      <c r="B27" s="160" t="s">
        <v>17</v>
      </c>
      <c r="C27" s="160" t="s">
        <v>15</v>
      </c>
      <c r="D27" s="357" t="s">
        <v>1</v>
      </c>
      <c r="E27" s="357"/>
      <c r="F27" s="357"/>
      <c r="G27" s="357" t="s">
        <v>2</v>
      </c>
      <c r="H27" s="357"/>
      <c r="I27" s="357"/>
      <c r="J27" s="160" t="s">
        <v>3</v>
      </c>
      <c r="K27" s="357" t="s">
        <v>16</v>
      </c>
      <c r="L27" s="357"/>
      <c r="M27" s="357"/>
    </row>
    <row r="28" spans="1:31" x14ac:dyDescent="0.2">
      <c r="A28" s="161" t="str">
        <f t="shared" ref="A28:A38" si="11">"ETH-"&amp;Q6</f>
        <v>ETH-59794.2.2</v>
      </c>
      <c r="B28" s="161">
        <v>770</v>
      </c>
      <c r="C28" s="161">
        <f t="shared" ref="C28:C38" si="12">1950-B28</f>
        <v>1180</v>
      </c>
      <c r="D28" s="162">
        <f>AA6</f>
        <v>0.84429591603620269</v>
      </c>
      <c r="E28" s="163" t="s">
        <v>5</v>
      </c>
      <c r="F28" s="164">
        <f>AB6</f>
        <v>2.0447039120365445E-3</v>
      </c>
      <c r="G28" s="165">
        <f>-8033*LN(D28)</f>
        <v>1359.6031990854028</v>
      </c>
      <c r="H28" s="166" t="s">
        <v>5</v>
      </c>
      <c r="I28" s="165">
        <f t="shared" ref="I28:I38" si="13">F28/D28*8033</f>
        <v>19.454205822174401</v>
      </c>
      <c r="J28" s="167">
        <f>AE6</f>
        <v>-20.229610217398331</v>
      </c>
      <c r="K28" s="168">
        <f>(EXP(C28/8267)*EXP(-G28/8033)-1)*1000</f>
        <v>-26.167590610275738</v>
      </c>
      <c r="L28" s="163" t="s">
        <v>5</v>
      </c>
      <c r="M28" s="169">
        <f>I28/8.033</f>
        <v>2.4217858610947842</v>
      </c>
    </row>
    <row r="29" spans="1:31" x14ac:dyDescent="0.2">
      <c r="A29" s="161" t="str">
        <f t="shared" si="11"/>
        <v>ETH-59795.2.1</v>
      </c>
      <c r="B29" s="161">
        <v>771</v>
      </c>
      <c r="C29" s="161">
        <f t="shared" si="12"/>
        <v>1179</v>
      </c>
      <c r="D29" s="162">
        <f>AA7</f>
        <v>0.84500992404049358</v>
      </c>
      <c r="E29" s="163" t="s">
        <v>5</v>
      </c>
      <c r="F29" s="164">
        <f>AB7</f>
        <v>1.9620354567905381E-3</v>
      </c>
      <c r="G29" s="165">
        <f>-8033*LN(D29)</f>
        <v>1352.8126860782918</v>
      </c>
      <c r="H29" s="166" t="s">
        <v>5</v>
      </c>
      <c r="I29" s="165">
        <f t="shared" si="13"/>
        <v>18.65188842876017</v>
      </c>
      <c r="J29" s="167">
        <f>AE7</f>
        <v>-19.496378315073891</v>
      </c>
      <c r="K29" s="168">
        <f t="shared" ref="K29:K38" si="14">(EXP(C29/8267)*EXP(-G29/8033)-1)*1000</f>
        <v>-25.461925643006534</v>
      </c>
      <c r="L29" s="163" t="s">
        <v>5</v>
      </c>
      <c r="M29" s="169">
        <f t="shared" ref="M29:M38" si="15">I29/8.033</f>
        <v>2.3219081823428573</v>
      </c>
    </row>
    <row r="30" spans="1:31" x14ac:dyDescent="0.2">
      <c r="A30" s="161" t="str">
        <f t="shared" si="11"/>
        <v>ETH-59796.2.1</v>
      </c>
      <c r="B30" s="161">
        <v>772</v>
      </c>
      <c r="C30" s="161">
        <f t="shared" si="12"/>
        <v>1178</v>
      </c>
      <c r="D30" s="162">
        <f>(P8*AA8+P9*AA9)/(P8+P9)</f>
        <v>0.84625050766386978</v>
      </c>
      <c r="E30" s="163" t="s">
        <v>5</v>
      </c>
      <c r="F30" s="164">
        <f>1/SQRT(P8+P9)</f>
        <v>1.3921024029306436E-3</v>
      </c>
      <c r="G30" s="165">
        <f t="shared" ref="G30:G35" si="16">-8033*LN(D30)</f>
        <v>1341.0278540711886</v>
      </c>
      <c r="H30" s="166" t="s">
        <v>5</v>
      </c>
      <c r="I30" s="165">
        <f t="shared" si="13"/>
        <v>13.214477866149352</v>
      </c>
      <c r="J30" s="170">
        <f>(P8*AE8+P9*AE9)/(P8+P9)</f>
        <v>-21.99798176518955</v>
      </c>
      <c r="K30" s="168">
        <f t="shared" si="14"/>
        <v>-24.149226822754333</v>
      </c>
      <c r="L30" s="163" t="s">
        <v>5</v>
      </c>
      <c r="M30" s="169">
        <f t="shared" si="15"/>
        <v>1.645024009230593</v>
      </c>
    </row>
    <row r="31" spans="1:31" x14ac:dyDescent="0.2">
      <c r="A31" s="161" t="str">
        <f t="shared" si="11"/>
        <v>ETH-59796.2.2</v>
      </c>
      <c r="B31" s="161">
        <v>773</v>
      </c>
      <c r="C31" s="161">
        <f t="shared" si="12"/>
        <v>1177</v>
      </c>
      <c r="D31" s="162">
        <f>(P10*AA10+P11*AA11)/(P10+P11)</f>
        <v>0.84657852605119766</v>
      </c>
      <c r="E31" s="163" t="s">
        <v>5</v>
      </c>
      <c r="F31" s="164">
        <f>1/SQRT(P10+P11)</f>
        <v>1.3795421738439331E-3</v>
      </c>
      <c r="G31" s="165">
        <f t="shared" si="16"/>
        <v>1337.9147556000453</v>
      </c>
      <c r="H31" s="166" t="s">
        <v>5</v>
      </c>
      <c r="I31" s="165">
        <f t="shared" si="13"/>
        <v>13.090176447279891</v>
      </c>
      <c r="J31" s="170">
        <f>(P10*AE10+P11*AE11)/(P10+P11)</f>
        <v>-21.092453774155942</v>
      </c>
      <c r="K31" s="168">
        <f>(EXP(C31/8267)*EXP(-G31/8033)-1)*1000</f>
        <v>-23.889053899681876</v>
      </c>
      <c r="L31" s="163" t="s">
        <v>5</v>
      </c>
      <c r="M31" s="169">
        <f>I31/8.033</f>
        <v>1.6295501614938244</v>
      </c>
    </row>
    <row r="32" spans="1:31" x14ac:dyDescent="0.2">
      <c r="A32" s="161" t="str">
        <f t="shared" si="11"/>
        <v>ETH-59797.2.1</v>
      </c>
      <c r="B32" s="161">
        <v>774</v>
      </c>
      <c r="C32" s="161">
        <f t="shared" si="12"/>
        <v>1176</v>
      </c>
      <c r="D32" s="162">
        <f>(P12*AA12+P13*AA13)/(P12+P13)</f>
        <v>0.85633104863939891</v>
      </c>
      <c r="E32" s="163" t="s">
        <v>5</v>
      </c>
      <c r="F32" s="164">
        <f>1/SQRT(P12+P13)</f>
        <v>1.4140092927277513E-3</v>
      </c>
      <c r="G32" s="165">
        <f t="shared" si="16"/>
        <v>1245.9041501914435</v>
      </c>
      <c r="H32" s="166" t="s">
        <v>5</v>
      </c>
      <c r="I32" s="165">
        <f t="shared" si="13"/>
        <v>13.264422289171474</v>
      </c>
      <c r="J32" s="170">
        <f>(P12*AE12+P13*AE13)/(P12+P13)</f>
        <v>-21.989736132232938</v>
      </c>
      <c r="K32" s="168">
        <f t="shared" si="14"/>
        <v>-12.763753470968586</v>
      </c>
      <c r="L32" s="163" t="s">
        <v>5</v>
      </c>
      <c r="M32" s="169">
        <f t="shared" si="15"/>
        <v>1.6512414153082877</v>
      </c>
    </row>
    <row r="33" spans="1:29" x14ac:dyDescent="0.2">
      <c r="A33" s="161" t="str">
        <f t="shared" si="11"/>
        <v>ETH-59797.2.2</v>
      </c>
      <c r="B33" s="161">
        <v>775</v>
      </c>
      <c r="C33" s="161">
        <f t="shared" si="12"/>
        <v>1175</v>
      </c>
      <c r="D33" s="162">
        <f>(P14*AA14+P15*AA15)/(P14+P15)</f>
        <v>0.86025538512249577</v>
      </c>
      <c r="E33" s="163" t="s">
        <v>5</v>
      </c>
      <c r="F33" s="164">
        <f>1/SQRT(P14+P15)</f>
        <v>1.3910918590745258E-3</v>
      </c>
      <c r="G33" s="165">
        <f t="shared" si="16"/>
        <v>1209.1751521427261</v>
      </c>
      <c r="H33" s="166" t="s">
        <v>5</v>
      </c>
      <c r="I33" s="165">
        <f t="shared" si="13"/>
        <v>12.989911016197192</v>
      </c>
      <c r="J33" s="170">
        <f>(P14*AE14+P15*AE15)/(P14+P15)</f>
        <v>-21.903826057597069</v>
      </c>
      <c r="K33" s="168">
        <f t="shared" si="14"/>
        <v>-8.3594723625237677</v>
      </c>
      <c r="L33" s="163" t="s">
        <v>5</v>
      </c>
      <c r="M33" s="169">
        <f t="shared" si="15"/>
        <v>1.6170684695876003</v>
      </c>
    </row>
    <row r="34" spans="1:29" x14ac:dyDescent="0.2">
      <c r="A34" s="161" t="str">
        <f t="shared" si="11"/>
        <v>ETH-59798.2.1</v>
      </c>
      <c r="B34" s="161">
        <v>776</v>
      </c>
      <c r="C34" s="161">
        <f t="shared" si="12"/>
        <v>1174</v>
      </c>
      <c r="D34" s="162">
        <f>(P16*AA16+P17*AA17)/(P16+P17)</f>
        <v>0.86260470768530895</v>
      </c>
      <c r="E34" s="163" t="s">
        <v>5</v>
      </c>
      <c r="F34" s="164">
        <f>1/SQRT(P16+P17)</f>
        <v>1.4037753621558445E-3</v>
      </c>
      <c r="G34" s="165">
        <f t="shared" si="16"/>
        <v>1187.2672561700442</v>
      </c>
      <c r="H34" s="166" t="s">
        <v>5</v>
      </c>
      <c r="I34" s="165">
        <f t="shared" si="13"/>
        <v>13.072647742042864</v>
      </c>
      <c r="J34" s="170">
        <f>(P16*AE16+P17*AE17)/(P16+P17)</f>
        <v>-22.133313459601606</v>
      </c>
      <c r="K34" s="168">
        <f t="shared" si="14"/>
        <v>-5.7716142922678015</v>
      </c>
      <c r="L34" s="163" t="s">
        <v>5</v>
      </c>
      <c r="M34" s="169">
        <f t="shared" si="15"/>
        <v>1.627368074448259</v>
      </c>
    </row>
    <row r="35" spans="1:29" x14ac:dyDescent="0.2">
      <c r="A35" s="161" t="str">
        <f t="shared" si="11"/>
        <v>ETH-59798.2.2</v>
      </c>
      <c r="B35" s="161">
        <v>777</v>
      </c>
      <c r="C35" s="161">
        <f t="shared" si="12"/>
        <v>1173</v>
      </c>
      <c r="D35" s="162">
        <f>(P19*AA19+P18*AA18)/(P19+P18)</f>
        <v>0.86085753615658622</v>
      </c>
      <c r="E35" s="163" t="s">
        <v>5</v>
      </c>
      <c r="F35" s="164">
        <f>1/SQRT(P18+P18)</f>
        <v>1.3298805840899195E-3</v>
      </c>
      <c r="G35" s="165">
        <f t="shared" si="16"/>
        <v>1203.5542781205711</v>
      </c>
      <c r="H35" s="166" t="s">
        <v>5</v>
      </c>
      <c r="I35" s="165">
        <f t="shared" si="13"/>
        <v>12.409638393467167</v>
      </c>
      <c r="J35" s="170">
        <f>(P19*AE19+P18*AE18)/(P19+P18)</f>
        <v>-20.972865828867086</v>
      </c>
      <c r="K35" s="168">
        <f t="shared" si="14"/>
        <v>-7.9053982092661679</v>
      </c>
      <c r="L35" s="163" t="s">
        <v>5</v>
      </c>
      <c r="M35" s="169">
        <f t="shared" si="15"/>
        <v>1.5448323656749867</v>
      </c>
    </row>
    <row r="36" spans="1:29" x14ac:dyDescent="0.2">
      <c r="A36" s="161" t="str">
        <f t="shared" si="11"/>
        <v>ETH-59799.2.1</v>
      </c>
      <c r="B36" s="161">
        <v>778</v>
      </c>
      <c r="C36" s="161">
        <f t="shared" si="12"/>
        <v>1172</v>
      </c>
      <c r="D36" s="162">
        <f>AA20</f>
        <v>0.86162475677077488</v>
      </c>
      <c r="E36" s="163" t="s">
        <v>5</v>
      </c>
      <c r="F36" s="164">
        <f>AB20</f>
        <v>1.9499657273756752E-3</v>
      </c>
      <c r="G36" s="165">
        <f>-8033*LN(D36)</f>
        <v>1196.3982294033694</v>
      </c>
      <c r="H36" s="166" t="s">
        <v>5</v>
      </c>
      <c r="I36" s="165">
        <f t="shared" si="13"/>
        <v>18.179694309986083</v>
      </c>
      <c r="J36" s="167">
        <f>AE20</f>
        <v>-20.984129675962528</v>
      </c>
      <c r="K36" s="168">
        <f t="shared" si="14"/>
        <v>-7.1413216995088735</v>
      </c>
      <c r="L36" s="163" t="s">
        <v>5</v>
      </c>
      <c r="M36" s="169">
        <f t="shared" si="15"/>
        <v>2.2631263923796943</v>
      </c>
    </row>
    <row r="37" spans="1:29" x14ac:dyDescent="0.2">
      <c r="A37" s="161" t="str">
        <f t="shared" si="11"/>
        <v>ETH-59799.2.2</v>
      </c>
      <c r="B37" s="161">
        <v>779</v>
      </c>
      <c r="C37" s="161">
        <f t="shared" si="12"/>
        <v>1171</v>
      </c>
      <c r="D37" s="162">
        <f>AA21</f>
        <v>0.85687662853925928</v>
      </c>
      <c r="E37" s="163" t="s">
        <v>5</v>
      </c>
      <c r="F37" s="164">
        <f>AB21</f>
        <v>2.0439877574751062E-3</v>
      </c>
      <c r="G37" s="165">
        <f>-8033*LN(D37)</f>
        <v>1240.7878487154319</v>
      </c>
      <c r="H37" s="166" t="s">
        <v>5</v>
      </c>
      <c r="I37" s="165">
        <f t="shared" si="13"/>
        <v>19.161864274193174</v>
      </c>
      <c r="J37" s="167">
        <f>AE21</f>
        <v>-18.641303612026427</v>
      </c>
      <c r="K37" s="168">
        <f t="shared" si="14"/>
        <v>-12.732066522275542</v>
      </c>
      <c r="L37" s="163" t="s">
        <v>5</v>
      </c>
      <c r="M37" s="169">
        <f t="shared" si="15"/>
        <v>2.3853932869654146</v>
      </c>
    </row>
    <row r="38" spans="1:29" x14ac:dyDescent="0.2">
      <c r="A38" s="161" t="str">
        <f t="shared" si="11"/>
        <v>ETH-59801.2.1</v>
      </c>
      <c r="B38" s="161">
        <v>780</v>
      </c>
      <c r="C38" s="161">
        <f t="shared" si="12"/>
        <v>1170</v>
      </c>
      <c r="D38" s="162">
        <f>AA22</f>
        <v>0.85609214488764063</v>
      </c>
      <c r="E38" s="163" t="s">
        <v>5</v>
      </c>
      <c r="F38" s="164">
        <f>AB22</f>
        <v>1.9891081734952389E-3</v>
      </c>
      <c r="G38" s="165">
        <f>-8033*LN(D38)</f>
        <v>1248.1455515665002</v>
      </c>
      <c r="H38" s="166" t="s">
        <v>5</v>
      </c>
      <c r="I38" s="165">
        <f t="shared" si="13"/>
        <v>18.664469768945704</v>
      </c>
      <c r="J38" s="167">
        <f>AE22</f>
        <v>-19.544604941323151</v>
      </c>
      <c r="K38" s="168">
        <f t="shared" si="14"/>
        <v>-13.755231614571928</v>
      </c>
      <c r="L38" s="163" t="s">
        <v>5</v>
      </c>
      <c r="M38" s="169">
        <f t="shared" si="15"/>
        <v>2.3234743892625054</v>
      </c>
    </row>
    <row r="42" spans="1:29" x14ac:dyDescent="0.2">
      <c r="Q42" s="148"/>
      <c r="R42" s="148"/>
      <c r="S42" s="149"/>
      <c r="T42" s="345"/>
      <c r="U42" s="345"/>
      <c r="V42" s="345"/>
      <c r="W42" s="345"/>
      <c r="X42" s="345"/>
      <c r="Y42" s="345"/>
      <c r="Z42" s="148"/>
      <c r="AA42" s="346"/>
      <c r="AB42" s="345"/>
      <c r="AC42" s="345"/>
    </row>
    <row r="43" spans="1:29" x14ac:dyDescent="0.2">
      <c r="T43" s="69"/>
      <c r="U43" s="2"/>
      <c r="V43" s="13"/>
      <c r="W43" s="12"/>
      <c r="X43" s="66"/>
      <c r="Y43" s="12"/>
      <c r="Z43" s="5"/>
      <c r="AA43" s="9"/>
      <c r="AB43" s="2"/>
      <c r="AC43" s="14"/>
    </row>
    <row r="44" spans="1:29" x14ac:dyDescent="0.2">
      <c r="T44" s="69"/>
      <c r="U44" s="2"/>
      <c r="V44" s="13"/>
      <c r="W44" s="12"/>
      <c r="X44" s="66"/>
      <c r="Y44" s="12"/>
      <c r="Z44" s="5"/>
      <c r="AA44" s="9"/>
      <c r="AB44" s="2"/>
      <c r="AC44" s="14"/>
    </row>
    <row r="45" spans="1:29" x14ac:dyDescent="0.2">
      <c r="T45" s="69"/>
      <c r="U45" s="2"/>
      <c r="V45" s="13"/>
      <c r="W45" s="12"/>
      <c r="X45" s="66"/>
      <c r="Y45" s="12"/>
      <c r="Z45" s="129"/>
      <c r="AA45" s="9"/>
      <c r="AB45" s="2"/>
      <c r="AC45" s="14"/>
    </row>
    <row r="46" spans="1:29" x14ac:dyDescent="0.2">
      <c r="T46" s="69"/>
      <c r="U46" s="2"/>
      <c r="V46" s="13"/>
      <c r="W46" s="12"/>
      <c r="X46" s="66"/>
      <c r="Y46" s="12"/>
      <c r="Z46" s="129"/>
      <c r="AA46" s="9"/>
      <c r="AB46" s="2"/>
      <c r="AC46" s="14"/>
    </row>
    <row r="47" spans="1:29" x14ac:dyDescent="0.2">
      <c r="T47" s="69"/>
      <c r="U47" s="2"/>
      <c r="V47" s="13"/>
      <c r="W47" s="12"/>
      <c r="X47" s="66"/>
      <c r="Y47" s="12"/>
      <c r="Z47" s="129"/>
      <c r="AA47" s="9"/>
      <c r="AB47" s="2"/>
      <c r="AC47" s="14"/>
    </row>
    <row r="48" spans="1:29" x14ac:dyDescent="0.2">
      <c r="T48" s="69"/>
      <c r="U48" s="2"/>
      <c r="V48" s="13"/>
      <c r="W48" s="12"/>
      <c r="X48" s="66"/>
      <c r="Y48" s="12"/>
      <c r="Z48" s="129"/>
      <c r="AA48" s="9"/>
      <c r="AB48" s="2"/>
      <c r="AC48" s="14"/>
    </row>
    <row r="49" spans="20:29" x14ac:dyDescent="0.2">
      <c r="T49" s="69"/>
      <c r="U49" s="2"/>
      <c r="V49" s="13"/>
      <c r="W49" s="12"/>
      <c r="X49" s="66"/>
      <c r="Y49" s="12"/>
      <c r="Z49" s="129"/>
      <c r="AA49" s="9"/>
      <c r="AB49" s="2"/>
      <c r="AC49" s="14"/>
    </row>
    <row r="50" spans="20:29" x14ac:dyDescent="0.2">
      <c r="T50" s="69"/>
      <c r="U50" s="2"/>
      <c r="V50" s="13"/>
      <c r="W50" s="12"/>
      <c r="X50" s="66"/>
      <c r="Y50" s="12"/>
      <c r="Z50" s="129"/>
      <c r="AA50" s="9"/>
      <c r="AB50" s="2"/>
      <c r="AC50" s="14"/>
    </row>
    <row r="51" spans="20:29" x14ac:dyDescent="0.2">
      <c r="T51" s="69"/>
      <c r="U51" s="2"/>
      <c r="V51" s="13"/>
      <c r="W51" s="12"/>
      <c r="X51" s="66"/>
      <c r="Y51" s="12"/>
      <c r="Z51" s="5"/>
      <c r="AA51" s="9"/>
      <c r="AB51" s="2"/>
      <c r="AC51" s="14"/>
    </row>
    <row r="52" spans="20:29" x14ac:dyDescent="0.2">
      <c r="T52" s="69"/>
      <c r="U52" s="2"/>
      <c r="V52" s="13"/>
      <c r="W52" s="12"/>
      <c r="X52" s="66"/>
      <c r="Y52" s="12"/>
      <c r="Z52" s="5"/>
      <c r="AA52" s="9"/>
      <c r="AB52" s="2"/>
      <c r="AC52" s="14"/>
    </row>
    <row r="53" spans="20:29" x14ac:dyDescent="0.2">
      <c r="T53" s="69"/>
      <c r="U53" s="2"/>
      <c r="V53" s="13"/>
      <c r="W53" s="12"/>
      <c r="X53" s="66"/>
      <c r="Y53" s="12"/>
      <c r="Z53" s="5"/>
      <c r="AA53" s="9"/>
      <c r="AB53" s="2"/>
      <c r="AC53" s="14"/>
    </row>
  </sheetData>
  <sortState ref="N37:AC53">
    <sortCondition ref="N36"/>
  </sortState>
  <mergeCells count="9">
    <mergeCell ref="AA42:AC42"/>
    <mergeCell ref="D27:F27"/>
    <mergeCell ref="G27:I27"/>
    <mergeCell ref="K27:M27"/>
    <mergeCell ref="D5:F5"/>
    <mergeCell ref="G5:I5"/>
    <mergeCell ref="K5:M5"/>
    <mergeCell ref="T42:V42"/>
    <mergeCell ref="W42:Y42"/>
  </mergeCells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workbookViewId="0">
      <selection activeCell="O1" sqref="O1:AL1048576"/>
    </sheetView>
  </sheetViews>
  <sheetFormatPr baseColWidth="10" defaultColWidth="11" defaultRowHeight="16" x14ac:dyDescent="0.2"/>
  <cols>
    <col min="1" max="1" width="13.6640625" customWidth="1"/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  <col min="15" max="17" width="8.6640625" hidden="1" customWidth="1"/>
    <col min="18" max="18" width="1.6640625" hidden="1" customWidth="1"/>
    <col min="19" max="20" width="8.6640625" hidden="1" customWidth="1"/>
    <col min="21" max="21" width="1.6640625" hidden="1" customWidth="1"/>
    <col min="22" max="24" width="8.6640625" hidden="1" customWidth="1"/>
    <col min="25" max="25" width="1.6640625" hidden="1" customWidth="1"/>
    <col min="26" max="29" width="8.6640625" hidden="1" customWidth="1"/>
    <col min="30" max="30" width="1.6640625" hidden="1" customWidth="1"/>
    <col min="31" max="32" width="8.6640625" hidden="1" customWidth="1"/>
    <col min="33" max="33" width="1.6640625" hidden="1" customWidth="1"/>
    <col min="34" max="36" width="8.6640625" hidden="1" customWidth="1"/>
    <col min="37" max="37" width="1.6640625" hidden="1" customWidth="1"/>
    <col min="38" max="38" width="8.6640625" hidden="1" customWidth="1"/>
    <col min="39" max="40" width="8.6640625" customWidth="1"/>
    <col min="41" max="42" width="9.1640625" customWidth="1"/>
    <col min="43" max="43" width="11.6640625" bestFit="1" customWidth="1"/>
    <col min="44" max="44" width="1.6640625" bestFit="1" customWidth="1"/>
    <col min="45" max="46" width="11.6640625" bestFit="1" customWidth="1"/>
    <col min="47" max="47" width="1.6640625" bestFit="1" customWidth="1"/>
    <col min="48" max="48" width="11.6640625" bestFit="1" customWidth="1"/>
    <col min="49" max="49" width="5.1640625" customWidth="1"/>
    <col min="50" max="50" width="12.5" bestFit="1" customWidth="1"/>
    <col min="51" max="51" width="1.6640625" bestFit="1" customWidth="1"/>
    <col min="52" max="52" width="11.6640625" bestFit="1" customWidth="1"/>
    <col min="53" max="54" width="9.1640625" customWidth="1"/>
    <col min="55" max="55" width="7.1640625" bestFit="1" customWidth="1"/>
    <col min="56" max="56" width="1.6640625" bestFit="1" customWidth="1"/>
    <col min="57" max="57" width="7.1640625" bestFit="1" customWidth="1"/>
    <col min="58" max="58" width="9.1640625" bestFit="1" customWidth="1"/>
    <col min="59" max="59" width="1.6640625" bestFit="1" customWidth="1"/>
    <col min="60" max="60" width="7.1640625" bestFit="1" customWidth="1"/>
    <col min="61" max="61" width="5.1640625" customWidth="1"/>
    <col min="62" max="62" width="8" bestFit="1" customWidth="1"/>
    <col min="63" max="63" width="1.6640625" bestFit="1" customWidth="1"/>
    <col min="64" max="64" width="7.1640625" bestFit="1" customWidth="1"/>
  </cols>
  <sheetData>
    <row r="1" spans="1:39" s="225" customFormat="1" ht="14" x14ac:dyDescent="0.2"/>
    <row r="2" spans="1:39" s="225" customFormat="1" ht="14" x14ac:dyDescent="0.2"/>
    <row r="3" spans="1:39" x14ac:dyDescent="0.2">
      <c r="A3" s="223" t="s">
        <v>453</v>
      </c>
    </row>
    <row r="4" spans="1:39" x14ac:dyDescent="0.2">
      <c r="A4" s="68" t="s">
        <v>214</v>
      </c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</row>
    <row r="5" spans="1:39" x14ac:dyDescent="0.2">
      <c r="A5" s="68" t="s">
        <v>215</v>
      </c>
      <c r="O5" s="205" t="s">
        <v>332</v>
      </c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354" t="s">
        <v>331</v>
      </c>
      <c r="AB5" s="355"/>
      <c r="AC5" s="355"/>
      <c r="AD5" s="355"/>
      <c r="AE5" s="355"/>
      <c r="AF5" s="355"/>
      <c r="AG5" s="355"/>
      <c r="AH5" s="355"/>
      <c r="AI5" s="355"/>
      <c r="AJ5" s="355"/>
      <c r="AK5" s="355"/>
      <c r="AL5" s="355"/>
    </row>
    <row r="6" spans="1:39" x14ac:dyDescent="0.2">
      <c r="A6" s="64"/>
      <c r="B6" s="64" t="s">
        <v>17</v>
      </c>
      <c r="C6" s="65" t="s">
        <v>15</v>
      </c>
      <c r="D6" s="345" t="s">
        <v>1</v>
      </c>
      <c r="E6" s="345"/>
      <c r="F6" s="345"/>
      <c r="G6" s="345" t="s">
        <v>2</v>
      </c>
      <c r="H6" s="345"/>
      <c r="I6" s="345"/>
      <c r="J6" s="64" t="s">
        <v>3</v>
      </c>
      <c r="K6" s="346" t="s">
        <v>16</v>
      </c>
      <c r="L6" s="346"/>
      <c r="M6" s="346"/>
      <c r="O6" s="181" t="s">
        <v>17</v>
      </c>
      <c r="P6" s="181" t="s">
        <v>15</v>
      </c>
      <c r="Q6" s="356" t="s">
        <v>1</v>
      </c>
      <c r="R6" s="356"/>
      <c r="S6" s="356"/>
      <c r="T6" s="356" t="s">
        <v>2</v>
      </c>
      <c r="U6" s="356"/>
      <c r="V6" s="356"/>
      <c r="W6" s="188" t="s">
        <v>3</v>
      </c>
      <c r="X6" s="356" t="s">
        <v>16</v>
      </c>
      <c r="Y6" s="356"/>
      <c r="Z6" s="356"/>
      <c r="AA6" s="185" t="s">
        <v>17</v>
      </c>
      <c r="AB6" s="186" t="s">
        <v>15</v>
      </c>
      <c r="AC6" s="358" t="s">
        <v>1</v>
      </c>
      <c r="AD6" s="358"/>
      <c r="AE6" s="358"/>
      <c r="AF6" s="358" t="s">
        <v>2</v>
      </c>
      <c r="AG6" s="358"/>
      <c r="AH6" s="358"/>
      <c r="AI6" s="186" t="s">
        <v>3</v>
      </c>
      <c r="AJ6" s="358" t="s">
        <v>16</v>
      </c>
      <c r="AK6" s="358"/>
      <c r="AL6" s="358"/>
    </row>
    <row r="7" spans="1:39" x14ac:dyDescent="0.2">
      <c r="A7" t="s">
        <v>789</v>
      </c>
      <c r="B7" s="2">
        <v>770</v>
      </c>
      <c r="C7" s="2">
        <f t="shared" ref="C7:C19" si="0">1950-B7</f>
        <v>1180</v>
      </c>
      <c r="D7" s="325">
        <v>0.84867439822329782</v>
      </c>
      <c r="E7" s="2" t="s">
        <v>5</v>
      </c>
      <c r="F7" s="63">
        <f t="shared" ref="F7:F19" si="1">Z34</f>
        <v>0</v>
      </c>
      <c r="G7" s="66">
        <f t="shared" ref="G7:G19" si="2">-8033*LN(D7)</f>
        <v>1318.0520560637956</v>
      </c>
      <c r="H7" s="66" t="s">
        <v>5</v>
      </c>
      <c r="I7" s="66">
        <v>18.348655703588399</v>
      </c>
      <c r="J7" s="308">
        <f t="shared" ref="J7:J19" si="3">AG34</f>
        <v>-22.718804455618248</v>
      </c>
      <c r="K7" s="308">
        <f t="shared" ref="K7:K19" si="4">(EXP(C7/8267)*EXP(-G7/8033)-1)*1000</f>
        <v>-21.117337758471134</v>
      </c>
      <c r="L7" s="2" t="s">
        <v>5</v>
      </c>
      <c r="M7" s="308">
        <v>2.2841598037580479</v>
      </c>
      <c r="O7" s="181">
        <v>770</v>
      </c>
      <c r="P7" s="181">
        <v>1180</v>
      </c>
      <c r="Q7" s="203">
        <v>0.84867439822329782</v>
      </c>
      <c r="R7" s="204" t="s">
        <v>5</v>
      </c>
      <c r="S7" s="203">
        <v>1.9385258074967584E-3</v>
      </c>
      <c r="T7" s="183">
        <v>1318.0520560637956</v>
      </c>
      <c r="U7" s="181" t="s">
        <v>5</v>
      </c>
      <c r="V7" s="183">
        <v>18.348655703588435</v>
      </c>
      <c r="W7" s="184">
        <v>-22.718804455618248</v>
      </c>
      <c r="X7" s="184">
        <v>-21.117337758471134</v>
      </c>
      <c r="Y7" s="181" t="s">
        <v>5</v>
      </c>
      <c r="Z7" s="184">
        <v>2.2841598037580524</v>
      </c>
      <c r="AA7" s="185">
        <v>770</v>
      </c>
      <c r="AB7" s="181">
        <f>1950-AA7</f>
        <v>1180</v>
      </c>
      <c r="AC7" s="182">
        <f>(Q7/(S7^2)+Q8/(S8^2))/(1/(S7^2)+1/(S8^2))</f>
        <v>0.84829455812745702</v>
      </c>
      <c r="AD7" s="181" t="s">
        <v>5</v>
      </c>
      <c r="AE7" s="182">
        <f>SQRT(1/(1/(S7^2)+1/(S8^2)))</f>
        <v>1.2182530398582093E-3</v>
      </c>
      <c r="AF7" s="183">
        <f>-8033*LN(AC7)</f>
        <v>1321.6481802349867</v>
      </c>
      <c r="AG7" s="181" t="s">
        <v>5</v>
      </c>
      <c r="AH7" s="183">
        <f>AE7/AC7*8033</f>
        <v>11.536354413004032</v>
      </c>
      <c r="AI7" s="184">
        <f>AVERAGE(W7:W8)</f>
        <v>-22.568003283478522</v>
      </c>
      <c r="AJ7" s="184">
        <f>(EXP(AB7/8267)*EXP(-AF7/8033)-1)*1000</f>
        <v>-21.555454997569168</v>
      </c>
      <c r="AK7" s="181" t="s">
        <v>5</v>
      </c>
      <c r="AL7" s="184">
        <f>AH7/8.033</f>
        <v>1.43612030536587</v>
      </c>
    </row>
    <row r="8" spans="1:39" x14ac:dyDescent="0.2">
      <c r="A8" t="s">
        <v>790</v>
      </c>
      <c r="B8" s="2">
        <v>771</v>
      </c>
      <c r="C8" s="2">
        <f t="shared" si="0"/>
        <v>1179</v>
      </c>
      <c r="D8" s="325">
        <v>0.849537293528703</v>
      </c>
      <c r="E8" s="2" t="s">
        <v>5</v>
      </c>
      <c r="F8" s="63">
        <f t="shared" si="1"/>
        <v>0</v>
      </c>
      <c r="G8" s="66">
        <f t="shared" si="2"/>
        <v>1309.8885996248412</v>
      </c>
      <c r="H8" s="66" t="s">
        <v>5</v>
      </c>
      <c r="I8" s="66">
        <v>18.692720320595967</v>
      </c>
      <c r="J8" s="308">
        <f t="shared" si="3"/>
        <v>-23.264475731474722</v>
      </c>
      <c r="K8" s="308">
        <f t="shared" si="4"/>
        <v>-20.240574014560142</v>
      </c>
      <c r="L8" s="2" t="s">
        <v>5</v>
      </c>
      <c r="M8" s="308">
        <v>2.3269912013688496</v>
      </c>
      <c r="O8" s="181">
        <v>770</v>
      </c>
      <c r="P8" s="181">
        <v>1180</v>
      </c>
      <c r="Q8" s="182">
        <v>0.84804662494137228</v>
      </c>
      <c r="R8" s="181" t="s">
        <v>5</v>
      </c>
      <c r="S8" s="182">
        <v>1.5661686064966506E-3</v>
      </c>
      <c r="T8" s="183">
        <v>1323.9963485373062</v>
      </c>
      <c r="U8" s="181" t="s">
        <v>5</v>
      </c>
      <c r="V8" s="183">
        <v>14.835307453593551</v>
      </c>
      <c r="W8" s="184">
        <v>-22.417202111338796</v>
      </c>
      <c r="X8" s="184">
        <v>-21.84142744797024</v>
      </c>
      <c r="Y8" s="181" t="s">
        <v>5</v>
      </c>
      <c r="Z8" s="184">
        <v>1.8467954006714242</v>
      </c>
      <c r="AA8" s="185">
        <v>771</v>
      </c>
      <c r="AB8" s="188">
        <f t="shared" ref="AB8:AB17" si="5">1950-AA8</f>
        <v>1179</v>
      </c>
      <c r="AC8" s="182">
        <f>(Q10/(S10^2)+Q9/(S9^2))/(1/(S10^2)+1/(S9^2))</f>
        <v>0.8479042095261764</v>
      </c>
      <c r="AD8" s="181" t="s">
        <v>5</v>
      </c>
      <c r="AE8" s="182">
        <f>SQRT(1/(1/(S10^2)+1/(S9^2)))</f>
        <v>1.2227483385973147E-3</v>
      </c>
      <c r="AF8" s="183">
        <f t="shared" ref="AF8:AF17" si="6">-8033*LN(AC8)</f>
        <v>1325.3454714124591</v>
      </c>
      <c r="AG8" s="181" t="s">
        <v>5</v>
      </c>
      <c r="AH8" s="183">
        <f t="shared" ref="AH8:AH17" si="7">AE8/AC8*8033</f>
        <v>11.58425361449865</v>
      </c>
      <c r="AI8" s="184">
        <f>AVERAGE(W9:W10)</f>
        <v>-23.48364197520786</v>
      </c>
      <c r="AJ8" s="184">
        <f t="shared" ref="AJ8:AJ17" si="8">(EXP(AB8/8267)*EXP(-AF8/8033)-1)*1000</f>
        <v>-22.123986852453868</v>
      </c>
      <c r="AK8" s="181" t="s">
        <v>5</v>
      </c>
      <c r="AL8" s="184">
        <f t="shared" ref="AL8:AL17" si="9">AH8/8.033</f>
        <v>1.4420831089877568</v>
      </c>
    </row>
    <row r="9" spans="1:39" x14ac:dyDescent="0.2">
      <c r="A9" t="s">
        <v>791</v>
      </c>
      <c r="B9" s="2">
        <v>772</v>
      </c>
      <c r="C9" s="2">
        <f t="shared" si="0"/>
        <v>1178</v>
      </c>
      <c r="D9" s="325">
        <v>0.84697899271051136</v>
      </c>
      <c r="E9" s="2" t="s">
        <v>5</v>
      </c>
      <c r="F9" s="63">
        <f t="shared" si="1"/>
        <v>0</v>
      </c>
      <c r="G9" s="66">
        <f t="shared" si="2"/>
        <v>1334.1157128175143</v>
      </c>
      <c r="H9" s="66" t="s">
        <v>5</v>
      </c>
      <c r="I9" s="66">
        <v>18.366183472156838</v>
      </c>
      <c r="J9" s="308">
        <f t="shared" si="3"/>
        <v>-21.893391141432296</v>
      </c>
      <c r="K9" s="308">
        <f t="shared" si="4"/>
        <v>-23.309176873507418</v>
      </c>
      <c r="L9" s="2" t="s">
        <v>5</v>
      </c>
      <c r="M9" s="308">
        <v>2.2863417742010257</v>
      </c>
      <c r="O9" s="181">
        <v>771</v>
      </c>
      <c r="P9" s="181">
        <v>1179</v>
      </c>
      <c r="Q9" s="182">
        <v>0.849537293528703</v>
      </c>
      <c r="R9" s="181" t="s">
        <v>5</v>
      </c>
      <c r="S9" s="182">
        <v>1.9768840212857305E-3</v>
      </c>
      <c r="T9" s="183">
        <v>1309.8885996248412</v>
      </c>
      <c r="U9" s="181" t="s">
        <v>5</v>
      </c>
      <c r="V9" s="183">
        <v>18.692720320595967</v>
      </c>
      <c r="W9" s="184">
        <v>-23.264475731474722</v>
      </c>
      <c r="X9" s="184">
        <v>-20.240574014560142</v>
      </c>
      <c r="Y9" s="181" t="s">
        <v>5</v>
      </c>
      <c r="Z9" s="184">
        <v>2.3269912013688496</v>
      </c>
      <c r="AA9" s="185">
        <v>772</v>
      </c>
      <c r="AB9" s="188">
        <f t="shared" si="5"/>
        <v>1178</v>
      </c>
      <c r="AC9" s="182">
        <f>(Q11/(S11^2)+Q12/(S12^2))/(1/(S11^2)+1/(S12^2))</f>
        <v>0.84594466857610728</v>
      </c>
      <c r="AD9" s="181" t="s">
        <v>5</v>
      </c>
      <c r="AE9" s="182">
        <f>SQRT(1/(1/(S11^2)+1/(S12^2)))</f>
        <v>1.2162319517525627E-3</v>
      </c>
      <c r="AF9" s="183">
        <f t="shared" si="6"/>
        <v>1343.9315444412389</v>
      </c>
      <c r="AG9" s="181" t="s">
        <v>5</v>
      </c>
      <c r="AH9" s="183">
        <f t="shared" si="7"/>
        <v>11.549208395477178</v>
      </c>
      <c r="AI9" s="184">
        <f>AVERAGE(W11:W12)</f>
        <v>-22.012620283022645</v>
      </c>
      <c r="AJ9" s="184">
        <f t="shared" si="8"/>
        <v>-24.501904082688597</v>
      </c>
      <c r="AK9" s="181" t="s">
        <v>5</v>
      </c>
      <c r="AL9" s="184">
        <f t="shared" si="9"/>
        <v>1.4377204525678051</v>
      </c>
    </row>
    <row r="10" spans="1:39" x14ac:dyDescent="0.2">
      <c r="A10" t="s">
        <v>792</v>
      </c>
      <c r="B10" s="2">
        <v>773</v>
      </c>
      <c r="C10" s="2">
        <f t="shared" si="0"/>
        <v>1177</v>
      </c>
      <c r="D10" s="325">
        <v>0.84938313521199671</v>
      </c>
      <c r="E10" s="2" t="s">
        <v>5</v>
      </c>
      <c r="F10" s="63">
        <f t="shared" si="1"/>
        <v>0</v>
      </c>
      <c r="G10" s="66">
        <f t="shared" si="2"/>
        <v>1311.3464121751538</v>
      </c>
      <c r="H10" s="66" t="s">
        <v>5</v>
      </c>
      <c r="I10" s="66">
        <v>18.619384177740816</v>
      </c>
      <c r="J10" s="308">
        <f t="shared" si="3"/>
        <v>-22.47325483632412</v>
      </c>
      <c r="K10" s="308">
        <f t="shared" si="4"/>
        <v>-20.655319972885277</v>
      </c>
      <c r="L10" s="2" t="s">
        <v>5</v>
      </c>
      <c r="M10" s="308">
        <v>2.3178618421188619</v>
      </c>
      <c r="O10" s="181">
        <v>771</v>
      </c>
      <c r="P10" s="181">
        <v>1179</v>
      </c>
      <c r="Q10" s="182">
        <v>0.8468923199629661</v>
      </c>
      <c r="R10" s="181" t="s">
        <v>5</v>
      </c>
      <c r="S10" s="182">
        <v>1.5561214426059117E-3</v>
      </c>
      <c r="T10" s="183">
        <v>1334.9377849270418</v>
      </c>
      <c r="U10" s="181" t="s">
        <v>5</v>
      </c>
      <c r="V10" s="183">
        <v>14.760227780787902</v>
      </c>
      <c r="W10" s="184">
        <v>-23.702808218940994</v>
      </c>
      <c r="X10" s="184">
        <v>-23.290984870273146</v>
      </c>
      <c r="Y10" s="181" t="s">
        <v>5</v>
      </c>
      <c r="Z10" s="184">
        <v>1.837448995492083</v>
      </c>
      <c r="AA10" s="185">
        <v>773</v>
      </c>
      <c r="AB10" s="188">
        <f t="shared" si="5"/>
        <v>1177</v>
      </c>
      <c r="AC10" s="182">
        <f>(Q14/(S14^2)+Q13/(S13^2))/(1/(S14^2)+1/(S13^2))</f>
        <v>0.85062022265360693</v>
      </c>
      <c r="AD10" s="181" t="s">
        <v>5</v>
      </c>
      <c r="AE10" s="182">
        <f>SQRT(1/(1/(S14^2)+1/(S13^2)))</f>
        <v>1.2251977084470761E-3</v>
      </c>
      <c r="AF10" s="183">
        <f t="shared" si="6"/>
        <v>1299.6552291823768</v>
      </c>
      <c r="AG10" s="181" t="s">
        <v>5</v>
      </c>
      <c r="AH10" s="183">
        <f t="shared" si="7"/>
        <v>11.570396435264703</v>
      </c>
      <c r="AI10" s="184">
        <f>AVERAGE(W13:W14)</f>
        <v>-22.773150301552803</v>
      </c>
      <c r="AJ10" s="184">
        <f t="shared" si="8"/>
        <v>-19.228949523033002</v>
      </c>
      <c r="AK10" s="181" t="s">
        <v>5</v>
      </c>
      <c r="AL10" s="184">
        <f t="shared" si="9"/>
        <v>1.4403580773390643</v>
      </c>
    </row>
    <row r="11" spans="1:39" x14ac:dyDescent="0.2">
      <c r="A11" t="s">
        <v>793</v>
      </c>
      <c r="B11" s="2">
        <v>773.8</v>
      </c>
      <c r="C11" s="2">
        <f t="shared" si="0"/>
        <v>1176.2</v>
      </c>
      <c r="D11" s="325">
        <v>0.85546489250986957</v>
      </c>
      <c r="E11" s="2" t="s">
        <v>5</v>
      </c>
      <c r="F11" s="63">
        <f t="shared" si="1"/>
        <v>0</v>
      </c>
      <c r="G11" s="66">
        <f t="shared" si="2"/>
        <v>1254.0334284717028</v>
      </c>
      <c r="H11" s="66" t="s">
        <v>5</v>
      </c>
      <c r="I11" s="66">
        <v>18.54947013451276</v>
      </c>
      <c r="J11" s="308">
        <f t="shared" si="3"/>
        <v>-22.127950557442432</v>
      </c>
      <c r="K11" s="308">
        <f t="shared" si="4"/>
        <v>-13.738456818425448</v>
      </c>
      <c r="L11" s="2" t="s">
        <v>5</v>
      </c>
      <c r="M11" s="308">
        <v>2.3091584880508851</v>
      </c>
      <c r="O11" s="181">
        <v>772</v>
      </c>
      <c r="P11" s="181">
        <v>1178</v>
      </c>
      <c r="Q11" s="182">
        <v>0.84697899271051136</v>
      </c>
      <c r="R11" s="181" t="s">
        <v>5</v>
      </c>
      <c r="S11" s="182">
        <v>1.9365012948484594E-3</v>
      </c>
      <c r="T11" s="183">
        <v>1334.1157128175143</v>
      </c>
      <c r="U11" s="181" t="s">
        <v>5</v>
      </c>
      <c r="V11" s="183">
        <v>18.366183472156838</v>
      </c>
      <c r="W11" s="184">
        <v>-21.893391141432296</v>
      </c>
      <c r="X11" s="184">
        <v>-23.309176873507418</v>
      </c>
      <c r="Y11" s="181" t="s">
        <v>5</v>
      </c>
      <c r="Z11" s="184">
        <v>2.2863417742010257</v>
      </c>
      <c r="AA11" s="185">
        <v>774</v>
      </c>
      <c r="AB11" s="188">
        <f t="shared" si="5"/>
        <v>1176</v>
      </c>
      <c r="AC11" s="182">
        <f>(Q15/(S15^2)+Q16/(S16^2)+Q17/(S17^2))/(1/(S15^2)+1/(S16^2)+1/(S17^2))</f>
        <v>0.85684674819155193</v>
      </c>
      <c r="AD11" s="181" t="s">
        <v>5</v>
      </c>
      <c r="AE11" s="182">
        <f>SQRT(1/(1/(S15^2)+1/(S16^2)+1/(S17^2)))</f>
        <v>1.0445020255939223E-3</v>
      </c>
      <c r="AF11" s="183">
        <f t="shared" si="6"/>
        <v>1241.0679742437601</v>
      </c>
      <c r="AG11" s="181" t="s">
        <v>5</v>
      </c>
      <c r="AH11" s="183">
        <f t="shared" si="7"/>
        <v>9.7922817461871805</v>
      </c>
      <c r="AI11" s="184">
        <f>AVERAGE(W15:W17)</f>
        <v>-22.523649089462584</v>
      </c>
      <c r="AJ11" s="184">
        <f t="shared" si="8"/>
        <v>-12.169220210714649</v>
      </c>
      <c r="AK11" s="181" t="s">
        <v>5</v>
      </c>
      <c r="AL11" s="184">
        <f t="shared" si="9"/>
        <v>1.2190068151608591</v>
      </c>
    </row>
    <row r="12" spans="1:39" x14ac:dyDescent="0.2">
      <c r="A12" t="s">
        <v>794</v>
      </c>
      <c r="B12" s="2">
        <v>774.2</v>
      </c>
      <c r="C12" s="2">
        <f t="shared" si="0"/>
        <v>1175.8</v>
      </c>
      <c r="D12" s="325">
        <v>0.85930482060077829</v>
      </c>
      <c r="E12" s="2" t="s">
        <v>5</v>
      </c>
      <c r="F12" s="63">
        <f t="shared" si="1"/>
        <v>0</v>
      </c>
      <c r="G12" s="66">
        <f t="shared" si="2"/>
        <v>1218.0563597391097</v>
      </c>
      <c r="H12" s="66" t="s">
        <v>5</v>
      </c>
      <c r="I12" s="66">
        <v>18.385673494354538</v>
      </c>
      <c r="J12" s="308">
        <f t="shared" si="3"/>
        <v>-23.578296785754628</v>
      </c>
      <c r="K12" s="308">
        <f t="shared" si="4"/>
        <v>-9.3593548209111042</v>
      </c>
      <c r="L12" s="2" t="s">
        <v>5</v>
      </c>
      <c r="M12" s="308">
        <v>2.2887680187171093</v>
      </c>
      <c r="O12" s="181">
        <v>772</v>
      </c>
      <c r="P12" s="181">
        <v>1178</v>
      </c>
      <c r="Q12" s="182">
        <v>0.84527090532628757</v>
      </c>
      <c r="R12" s="181" t="s">
        <v>5</v>
      </c>
      <c r="S12" s="182">
        <v>1.5629429359328225E-3</v>
      </c>
      <c r="T12" s="183">
        <v>1350.332077354559</v>
      </c>
      <c r="U12" s="181" t="s">
        <v>5</v>
      </c>
      <c r="V12" s="183">
        <v>14.853368932060773</v>
      </c>
      <c r="W12" s="184">
        <v>-22.131849424612994</v>
      </c>
      <c r="X12" s="184">
        <v>-25.278851785904834</v>
      </c>
      <c r="Y12" s="181" t="s">
        <v>5</v>
      </c>
      <c r="Z12" s="184">
        <v>1.8490438107880958</v>
      </c>
      <c r="AA12" s="185">
        <v>775</v>
      </c>
      <c r="AB12" s="188">
        <f t="shared" si="5"/>
        <v>1175</v>
      </c>
      <c r="AC12" s="182">
        <f>(Q20/(S20^2)+Q19/(S19^2)+Q18/(S18^2))/(1/(S20^2)+1/(S19^2)+1/(S18^2))</f>
        <v>0.86004502370338498</v>
      </c>
      <c r="AD12" s="181" t="s">
        <v>5</v>
      </c>
      <c r="AE12" s="182">
        <f>SQRT(1/(1/(S20^2)+1/(S19^2)+1/(S18^2)))</f>
        <v>1.0547178273709438E-3</v>
      </c>
      <c r="AF12" s="183">
        <f t="shared" si="6"/>
        <v>1211.1397314446549</v>
      </c>
      <c r="AG12" s="181" t="s">
        <v>5</v>
      </c>
      <c r="AH12" s="183">
        <f t="shared" si="7"/>
        <v>9.8512846115749753</v>
      </c>
      <c r="AI12" s="184">
        <f>AVERAGE(W18:W20)</f>
        <v>-21.282627841050502</v>
      </c>
      <c r="AJ12" s="184">
        <f t="shared" si="8"/>
        <v>-8.6019618746491222</v>
      </c>
      <c r="AK12" s="181" t="s">
        <v>5</v>
      </c>
      <c r="AL12" s="184">
        <f t="shared" si="9"/>
        <v>1.226351874962651</v>
      </c>
    </row>
    <row r="13" spans="1:39" x14ac:dyDescent="0.2">
      <c r="A13" s="158" t="s">
        <v>795</v>
      </c>
      <c r="B13" s="2">
        <v>774.8</v>
      </c>
      <c r="C13" s="2">
        <f t="shared" si="0"/>
        <v>1175.2</v>
      </c>
      <c r="D13" s="325">
        <v>0.86057414706384094</v>
      </c>
      <c r="E13" s="2" t="s">
        <v>5</v>
      </c>
      <c r="F13" s="63">
        <f t="shared" si="1"/>
        <v>0</v>
      </c>
      <c r="G13" s="66">
        <f t="shared" si="2"/>
        <v>1206.1991284794642</v>
      </c>
      <c r="H13" s="66" t="s">
        <v>5</v>
      </c>
      <c r="I13" s="66">
        <v>18.240886754459385</v>
      </c>
      <c r="J13" s="308">
        <f t="shared" si="3"/>
        <v>-20.918932710977558</v>
      </c>
      <c r="K13" s="308">
        <f t="shared" si="4"/>
        <v>-7.9680270103889006</v>
      </c>
      <c r="L13" s="2" t="s">
        <v>5</v>
      </c>
      <c r="M13" s="308">
        <v>2.270744025203459</v>
      </c>
      <c r="O13" s="181">
        <v>773</v>
      </c>
      <c r="P13" s="181">
        <v>1177</v>
      </c>
      <c r="Q13" s="182">
        <v>0.84938313521199671</v>
      </c>
      <c r="R13" s="181" t="s">
        <v>5</v>
      </c>
      <c r="S13" s="182">
        <v>1.9687708977066875E-3</v>
      </c>
      <c r="T13" s="183">
        <v>1311.3464121751538</v>
      </c>
      <c r="U13" s="181" t="s">
        <v>5</v>
      </c>
      <c r="V13" s="183">
        <v>18.619384177740816</v>
      </c>
      <c r="W13" s="184">
        <v>-22.47325483632412</v>
      </c>
      <c r="X13" s="184">
        <v>-20.655319972885277</v>
      </c>
      <c r="Y13" s="181" t="s">
        <v>5</v>
      </c>
      <c r="Z13" s="184">
        <v>2.3178618421188619</v>
      </c>
      <c r="AA13" s="185">
        <v>776</v>
      </c>
      <c r="AB13" s="188">
        <f t="shared" si="5"/>
        <v>1174</v>
      </c>
      <c r="AC13" s="182">
        <f>(Q21/(S21^2)+Q22/(S22^2))/(1/(S21^2)+1/(S22^2))</f>
        <v>0.85944168706772273</v>
      </c>
      <c r="AD13" s="181" t="s">
        <v>5</v>
      </c>
      <c r="AE13" s="182">
        <f>SQRT(1/(1/(S21^2)+1/(S22^2)))</f>
        <v>1.2392589696035776E-3</v>
      </c>
      <c r="AF13" s="183">
        <f t="shared" si="6"/>
        <v>1216.7769990813472</v>
      </c>
      <c r="AG13" s="181" t="s">
        <v>5</v>
      </c>
      <c r="AH13" s="183">
        <f t="shared" si="7"/>
        <v>11.583063112507716</v>
      </c>
      <c r="AI13" s="184">
        <f>AVERAGE(W21:W22)</f>
        <v>-21.695381607553742</v>
      </c>
      <c r="AJ13" s="184">
        <f t="shared" si="8"/>
        <v>-9.4172759198534184</v>
      </c>
      <c r="AK13" s="181" t="s">
        <v>5</v>
      </c>
      <c r="AL13" s="184">
        <f t="shared" si="9"/>
        <v>1.4419349075697394</v>
      </c>
    </row>
    <row r="14" spans="1:39" x14ac:dyDescent="0.2">
      <c r="A14" s="158" t="s">
        <v>796</v>
      </c>
      <c r="B14" s="2">
        <v>775.2</v>
      </c>
      <c r="C14" s="2">
        <f t="shared" si="0"/>
        <v>1174.8</v>
      </c>
      <c r="D14" s="325">
        <v>0.85944134916891191</v>
      </c>
      <c r="E14" s="2" t="s">
        <v>5</v>
      </c>
      <c r="F14" s="63">
        <f t="shared" si="1"/>
        <v>0</v>
      </c>
      <c r="G14" s="66">
        <f t="shared" si="2"/>
        <v>1216.780157342951</v>
      </c>
      <c r="H14" s="66" t="s">
        <v>5</v>
      </c>
      <c r="I14" s="66">
        <v>18.73643424186395</v>
      </c>
      <c r="J14" s="308">
        <f t="shared" si="3"/>
        <v>-21.481960489144857</v>
      </c>
      <c r="K14" s="308">
        <f t="shared" si="4"/>
        <v>-9.3218017985888793</v>
      </c>
      <c r="L14" s="2" t="s">
        <v>5</v>
      </c>
      <c r="M14" s="308">
        <v>2.3324329941321986</v>
      </c>
      <c r="O14" s="181">
        <v>773</v>
      </c>
      <c r="P14" s="181">
        <v>1177</v>
      </c>
      <c r="Q14" s="182">
        <v>0.85140213556509825</v>
      </c>
      <c r="R14" s="181" t="s">
        <v>5</v>
      </c>
      <c r="S14" s="182">
        <v>1.5652156234355653E-3</v>
      </c>
      <c r="T14" s="183">
        <v>1292.274472014815</v>
      </c>
      <c r="U14" s="181" t="s">
        <v>5</v>
      </c>
      <c r="V14" s="183">
        <v>14.767847739438206</v>
      </c>
      <c r="W14" s="184">
        <v>-23.073045766781487</v>
      </c>
      <c r="X14" s="184">
        <v>-18.327398481614686</v>
      </c>
      <c r="Y14" s="181" t="s">
        <v>5</v>
      </c>
      <c r="Z14" s="184">
        <v>1.8383975774229064</v>
      </c>
      <c r="AA14" s="185">
        <v>777</v>
      </c>
      <c r="AB14" s="188">
        <f t="shared" si="5"/>
        <v>1173</v>
      </c>
      <c r="AC14" s="182">
        <f>(Q24/(S24^2)+Q23/(S23^2))/(1/(S24^2)+1/(S23^2))</f>
        <v>0.85995843529429405</v>
      </c>
      <c r="AD14" s="181" t="s">
        <v>5</v>
      </c>
      <c r="AE14" s="182">
        <f>SQRT(1/(1/(S24^2)+1/(S23^2)))</f>
        <v>1.2383310582262498E-3</v>
      </c>
      <c r="AF14" s="183">
        <f t="shared" si="6"/>
        <v>1211.9485259702431</v>
      </c>
      <c r="AG14" s="181" t="s">
        <v>5</v>
      </c>
      <c r="AH14" s="183">
        <f t="shared" si="7"/>
        <v>11.567435102054947</v>
      </c>
      <c r="AI14" s="184">
        <f>AVERAGE(W23:W24)</f>
        <v>-21.405051820798825</v>
      </c>
      <c r="AJ14" s="184">
        <f t="shared" si="8"/>
        <v>-8.9415663026859438</v>
      </c>
      <c r="AK14" s="181" t="s">
        <v>5</v>
      </c>
      <c r="AL14" s="184">
        <f t="shared" si="9"/>
        <v>1.4399894313525392</v>
      </c>
    </row>
    <row r="15" spans="1:39" x14ac:dyDescent="0.2">
      <c r="A15" s="158" t="s">
        <v>797</v>
      </c>
      <c r="B15" s="2">
        <v>776</v>
      </c>
      <c r="C15" s="2">
        <f t="shared" si="0"/>
        <v>1174</v>
      </c>
      <c r="D15" s="325">
        <v>0.85802360061589977</v>
      </c>
      <c r="E15" s="2" t="s">
        <v>5</v>
      </c>
      <c r="F15" s="63">
        <f t="shared" si="1"/>
        <v>0</v>
      </c>
      <c r="G15" s="66">
        <f t="shared" si="2"/>
        <v>1230.0424678368763</v>
      </c>
      <c r="H15" s="66" t="s">
        <v>5</v>
      </c>
      <c r="I15" s="66">
        <v>18.505281449616046</v>
      </c>
      <c r="J15" s="308">
        <f t="shared" si="3"/>
        <v>-20.579223462405373</v>
      </c>
      <c r="K15" s="308">
        <f t="shared" si="4"/>
        <v>-11.051746252821125</v>
      </c>
      <c r="L15" s="2" t="s">
        <v>5</v>
      </c>
      <c r="M15" s="308">
        <v>2.303657593628289</v>
      </c>
      <c r="O15" s="181">
        <v>773.8</v>
      </c>
      <c r="P15" s="181">
        <v>1176.2</v>
      </c>
      <c r="Q15" s="182">
        <v>0.85546489250986957</v>
      </c>
      <c r="R15" s="181" t="s">
        <v>5</v>
      </c>
      <c r="S15" s="182">
        <v>1.9754222183101227E-3</v>
      </c>
      <c r="T15" s="183">
        <v>1254.0334284717028</v>
      </c>
      <c r="U15" s="181" t="s">
        <v>5</v>
      </c>
      <c r="V15" s="183">
        <v>18.54947013451276</v>
      </c>
      <c r="W15" s="184">
        <v>-22.127950557442432</v>
      </c>
      <c r="X15" s="184">
        <v>-13.738456818425448</v>
      </c>
      <c r="Y15" s="181" t="s">
        <v>5</v>
      </c>
      <c r="Z15" s="184">
        <v>2.3091584880508851</v>
      </c>
      <c r="AA15" s="185">
        <v>778</v>
      </c>
      <c r="AB15" s="188">
        <f t="shared" si="5"/>
        <v>1172</v>
      </c>
      <c r="AC15" s="182">
        <f>(Q25/(S25^2)+Q26/(S26^2))/(1/(S25^2)+1/(S26^2))</f>
        <v>0.85727783476727459</v>
      </c>
      <c r="AD15" s="181" t="s">
        <v>5</v>
      </c>
      <c r="AE15" s="182">
        <f>SQRT(1/(1/(S25^2)+1/(S26^2)))</f>
        <v>1.2346220383977981E-3</v>
      </c>
      <c r="AF15" s="183">
        <f t="shared" si="6"/>
        <v>1237.0275228434193</v>
      </c>
      <c r="AG15" s="181" t="s">
        <v>5</v>
      </c>
      <c r="AH15" s="183">
        <f t="shared" si="7"/>
        <v>11.568850181623882</v>
      </c>
      <c r="AI15" s="184">
        <f>AVERAGE(W25:W26)</f>
        <v>-21.89314654695562</v>
      </c>
      <c r="AJ15" s="184">
        <f t="shared" si="8"/>
        <v>-12.150322660955059</v>
      </c>
      <c r="AK15" s="181" t="s">
        <v>5</v>
      </c>
      <c r="AL15" s="184">
        <f t="shared" si="9"/>
        <v>1.4401655896456969</v>
      </c>
    </row>
    <row r="16" spans="1:39" x14ac:dyDescent="0.2">
      <c r="A16" s="158" t="s">
        <v>798</v>
      </c>
      <c r="B16" s="2">
        <v>777</v>
      </c>
      <c r="C16" s="2">
        <f t="shared" si="0"/>
        <v>1173</v>
      </c>
      <c r="D16" s="325">
        <v>0.86093882026181257</v>
      </c>
      <c r="E16" s="2" t="s">
        <v>5</v>
      </c>
      <c r="F16" s="63">
        <f t="shared" si="1"/>
        <v>0</v>
      </c>
      <c r="G16" s="66">
        <f t="shared" si="2"/>
        <v>1202.7958199959105</v>
      </c>
      <c r="H16" s="66" t="s">
        <v>5</v>
      </c>
      <c r="I16" s="66">
        <v>18.386362510680122</v>
      </c>
      <c r="J16" s="308">
        <f t="shared" si="3"/>
        <v>-20.334443176871275</v>
      </c>
      <c r="K16" s="308">
        <f t="shared" si="4"/>
        <v>-7.8117224050598955</v>
      </c>
      <c r="L16" s="2" t="s">
        <v>5</v>
      </c>
      <c r="M16" s="308">
        <v>2.2888537919432497</v>
      </c>
      <c r="O16" s="181">
        <v>774</v>
      </c>
      <c r="P16" s="181">
        <v>1176</v>
      </c>
      <c r="Q16" s="182">
        <v>0.85614657368664249</v>
      </c>
      <c r="R16" s="181" t="s">
        <v>5</v>
      </c>
      <c r="S16" s="182">
        <v>1.5775464149051874E-3</v>
      </c>
      <c r="T16" s="183">
        <v>1247.6348441075622</v>
      </c>
      <c r="U16" s="181" t="s">
        <v>5</v>
      </c>
      <c r="V16" s="183">
        <v>14.801706554013023</v>
      </c>
      <c r="W16" s="184">
        <v>-21.864699925190688</v>
      </c>
      <c r="X16" s="184">
        <v>-12.976428651002347</v>
      </c>
      <c r="Y16" s="181" t="s">
        <v>5</v>
      </c>
      <c r="Z16" s="184">
        <v>1.8426125425137587</v>
      </c>
      <c r="AA16" s="185">
        <v>779</v>
      </c>
      <c r="AB16" s="188">
        <f t="shared" si="5"/>
        <v>1171</v>
      </c>
      <c r="AC16" s="182">
        <f>(Q28/(S28^2)+Q27/(S27^2))/(1/(S28^2)+1/(S27^2))</f>
        <v>0.85887516967440769</v>
      </c>
      <c r="AD16" s="181" t="s">
        <v>5</v>
      </c>
      <c r="AE16" s="182">
        <f>SQRT(1/(1/(S28^2)+1/(S27^2)))</f>
        <v>1.2466369167516106E-3</v>
      </c>
      <c r="AF16" s="183">
        <f t="shared" si="6"/>
        <v>1222.0738503198509</v>
      </c>
      <c r="AG16" s="181" t="s">
        <v>5</v>
      </c>
      <c r="AH16" s="183">
        <f t="shared" si="7"/>
        <v>11.65970877474779</v>
      </c>
      <c r="AI16" s="184">
        <f>AVERAGE(W27:W28)</f>
        <v>-21.268515988458027</v>
      </c>
      <c r="AJ16" s="184">
        <f t="shared" si="8"/>
        <v>-10.429406476766045</v>
      </c>
      <c r="AK16" s="181" t="s">
        <v>5</v>
      </c>
      <c r="AL16" s="184">
        <f t="shared" si="9"/>
        <v>1.4514762572821849</v>
      </c>
    </row>
    <row r="17" spans="1:49" x14ac:dyDescent="0.2">
      <c r="A17" s="326" t="s">
        <v>799</v>
      </c>
      <c r="B17" s="2">
        <v>778</v>
      </c>
      <c r="C17" s="2">
        <f t="shared" si="0"/>
        <v>1172</v>
      </c>
      <c r="D17" s="325">
        <v>0.85749963451347733</v>
      </c>
      <c r="E17" s="2" t="s">
        <v>5</v>
      </c>
      <c r="F17" s="63">
        <f t="shared" si="1"/>
        <v>0</v>
      </c>
      <c r="G17" s="66">
        <f t="shared" si="2"/>
        <v>1234.9494486873248</v>
      </c>
      <c r="H17" s="66" t="s">
        <v>5</v>
      </c>
      <c r="I17" s="66">
        <v>18.624561554056179</v>
      </c>
      <c r="J17" s="308">
        <f t="shared" si="3"/>
        <v>-21.054881835795847</v>
      </c>
      <c r="K17" s="308">
        <f t="shared" si="4"/>
        <v>-11.894740632778845</v>
      </c>
      <c r="L17" s="2" t="s">
        <v>5</v>
      </c>
      <c r="M17" s="308">
        <v>2.3185063555404182</v>
      </c>
      <c r="O17" s="181">
        <v>774.2</v>
      </c>
      <c r="P17" s="181">
        <v>1175.8</v>
      </c>
      <c r="Q17" s="182">
        <v>0.85930482060077829</v>
      </c>
      <c r="R17" s="181" t="s">
        <v>5</v>
      </c>
      <c r="S17" s="182">
        <v>1.9667675125218408E-3</v>
      </c>
      <c r="T17" s="183">
        <v>1218.0563597391097</v>
      </c>
      <c r="U17" s="181" t="s">
        <v>5</v>
      </c>
      <c r="V17" s="183">
        <v>18.385673494354538</v>
      </c>
      <c r="W17" s="184">
        <v>-23.578296785754628</v>
      </c>
      <c r="X17" s="184">
        <v>-9.3593548209111042</v>
      </c>
      <c r="Y17" s="181" t="s">
        <v>5</v>
      </c>
      <c r="Z17" s="184">
        <v>2.2887680187171093</v>
      </c>
      <c r="AA17" s="185">
        <v>780</v>
      </c>
      <c r="AB17" s="188">
        <f t="shared" si="5"/>
        <v>1170</v>
      </c>
      <c r="AC17" s="182">
        <f>(Q29/(S29^2)+Q30/(S30^2))/(1/(S29^2)+1/(S30^2))</f>
        <v>0.86041592489070307</v>
      </c>
      <c r="AD17" s="181" t="s">
        <v>5</v>
      </c>
      <c r="AE17" s="182">
        <f>SQRT(1/(1/(S29^2)+1/(S30^2)))</f>
        <v>1.2358592209753506E-3</v>
      </c>
      <c r="AF17" s="183">
        <f t="shared" si="6"/>
        <v>1207.6761837409788</v>
      </c>
      <c r="AG17" s="181" t="s">
        <v>5</v>
      </c>
      <c r="AH17" s="183">
        <f t="shared" si="7"/>
        <v>11.53820708671342</v>
      </c>
      <c r="AI17" s="184">
        <f>AVERAGE(W29:W30)</f>
        <v>-21.631259267417047</v>
      </c>
      <c r="AJ17" s="184">
        <f t="shared" si="8"/>
        <v>-8.7741026167937886</v>
      </c>
      <c r="AK17" s="181" t="s">
        <v>5</v>
      </c>
      <c r="AL17" s="184">
        <f t="shared" si="9"/>
        <v>1.4363509382190243</v>
      </c>
    </row>
    <row r="18" spans="1:49" x14ac:dyDescent="0.2">
      <c r="A18" s="326" t="s">
        <v>800</v>
      </c>
      <c r="B18" s="2">
        <v>779</v>
      </c>
      <c r="C18" s="2">
        <f t="shared" si="0"/>
        <v>1171</v>
      </c>
      <c r="D18" s="325">
        <v>0.8580296269090586</v>
      </c>
      <c r="E18" s="2" t="s">
        <v>5</v>
      </c>
      <c r="F18" s="63">
        <f t="shared" si="1"/>
        <v>0</v>
      </c>
      <c r="G18" s="66">
        <f t="shared" si="2"/>
        <v>1229.9860485928011</v>
      </c>
      <c r="H18" s="66" t="s">
        <v>5</v>
      </c>
      <c r="I18" s="66">
        <v>18.427506145121324</v>
      </c>
      <c r="J18" s="308">
        <f t="shared" si="3"/>
        <v>-19.921052570408659</v>
      </c>
      <c r="K18" s="308">
        <f t="shared" si="4"/>
        <v>-11.403615867955018</v>
      </c>
      <c r="L18" s="2" t="s">
        <v>5</v>
      </c>
      <c r="M18" s="308">
        <v>2.2939756187129747</v>
      </c>
      <c r="O18" s="181">
        <v>774.8</v>
      </c>
      <c r="P18" s="181">
        <v>1175.2</v>
      </c>
      <c r="Q18" s="182">
        <v>0.86057414706384094</v>
      </c>
      <c r="R18" s="181" t="s">
        <v>5</v>
      </c>
      <c r="S18" s="182">
        <v>1.9541616073466802E-3</v>
      </c>
      <c r="T18" s="183">
        <v>1206.1991284794642</v>
      </c>
      <c r="U18" s="181" t="s">
        <v>5</v>
      </c>
      <c r="V18" s="183">
        <v>18.240886754459385</v>
      </c>
      <c r="W18" s="184">
        <v>-20.918932710977558</v>
      </c>
      <c r="X18" s="184">
        <v>-7.9680270103889006</v>
      </c>
      <c r="Y18" s="181" t="s">
        <v>5</v>
      </c>
      <c r="Z18" s="184">
        <v>2.270744025203459</v>
      </c>
      <c r="AA18" s="173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</row>
    <row r="19" spans="1:49" x14ac:dyDescent="0.2">
      <c r="A19" s="326" t="s">
        <v>801</v>
      </c>
      <c r="B19" s="2">
        <v>780</v>
      </c>
      <c r="C19" s="2">
        <f t="shared" si="0"/>
        <v>1170</v>
      </c>
      <c r="D19" s="325">
        <v>0.85920780905578875</v>
      </c>
      <c r="E19" s="2" t="s">
        <v>5</v>
      </c>
      <c r="F19" s="63">
        <f t="shared" si="1"/>
        <v>0</v>
      </c>
      <c r="G19" s="66">
        <f t="shared" si="2"/>
        <v>1218.963299529112</v>
      </c>
      <c r="H19" s="66" t="s">
        <v>5</v>
      </c>
      <c r="I19" s="66">
        <v>18.179934291789536</v>
      </c>
      <c r="J19" s="308">
        <f t="shared" si="3"/>
        <v>-20.14629457315764</v>
      </c>
      <c r="K19" s="308">
        <f t="shared" si="4"/>
        <v>-10.165889621152168</v>
      </c>
      <c r="L19" s="2" t="s">
        <v>5</v>
      </c>
      <c r="M19" s="308">
        <v>2.2631562668728415</v>
      </c>
      <c r="O19" s="181">
        <v>775</v>
      </c>
      <c r="P19" s="181">
        <v>1175</v>
      </c>
      <c r="Q19" s="182">
        <v>0.86007507462537536</v>
      </c>
      <c r="R19" s="181" t="s">
        <v>5</v>
      </c>
      <c r="S19" s="182">
        <v>1.6049581364158618E-3</v>
      </c>
      <c r="T19" s="183">
        <v>1210.8590544656372</v>
      </c>
      <c r="U19" s="181" t="s">
        <v>5</v>
      </c>
      <c r="V19" s="183">
        <v>14.990120153690404</v>
      </c>
      <c r="W19" s="184">
        <v>-21.446990323029102</v>
      </c>
      <c r="X19" s="184">
        <v>-8.5673213334169773</v>
      </c>
      <c r="Y19" s="181" t="s">
        <v>5</v>
      </c>
      <c r="Z19" s="184">
        <v>1.8660674908117023</v>
      </c>
      <c r="AA19" s="173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2"/>
      <c r="AN19" s="172"/>
      <c r="AO19" s="172"/>
    </row>
    <row r="20" spans="1:49" x14ac:dyDescent="0.2">
      <c r="A20" s="327" t="s">
        <v>778</v>
      </c>
      <c r="B20" s="2">
        <v>770</v>
      </c>
      <c r="C20" s="2">
        <v>1180</v>
      </c>
      <c r="D20" s="63">
        <v>0.84804662494137228</v>
      </c>
      <c r="E20" s="2" t="s">
        <v>5</v>
      </c>
      <c r="F20" s="63">
        <v>1.5661686064966506E-3</v>
      </c>
      <c r="G20" s="66">
        <v>1323.9963485373062</v>
      </c>
      <c r="H20" s="66" t="s">
        <v>5</v>
      </c>
      <c r="I20" s="66">
        <v>14.835307453593551</v>
      </c>
      <c r="J20" s="308">
        <v>-22.417202111338796</v>
      </c>
      <c r="K20" s="308">
        <v>-21.84142744797024</v>
      </c>
      <c r="L20" s="308" t="s">
        <v>5</v>
      </c>
      <c r="M20" s="308">
        <v>1.8467954006714242</v>
      </c>
      <c r="O20" s="181">
        <v>775.2</v>
      </c>
      <c r="P20" s="181">
        <v>1174.8</v>
      </c>
      <c r="Q20" s="182">
        <v>0.85944134916891191</v>
      </c>
      <c r="R20" s="181" t="s">
        <v>5</v>
      </c>
      <c r="S20" s="182">
        <v>2.0046078287659372E-3</v>
      </c>
      <c r="T20" s="183">
        <v>1216.780157342951</v>
      </c>
      <c r="U20" s="181" t="s">
        <v>5</v>
      </c>
      <c r="V20" s="183">
        <v>18.73643424186395</v>
      </c>
      <c r="W20" s="184">
        <v>-21.481960489144857</v>
      </c>
      <c r="X20" s="184">
        <v>-9.3218017985888793</v>
      </c>
      <c r="Y20" s="181" t="s">
        <v>5</v>
      </c>
      <c r="Z20" s="184">
        <v>2.3324329941321986</v>
      </c>
      <c r="AA20" s="173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P20" s="2"/>
      <c r="AS20" s="2"/>
      <c r="AW20" s="2"/>
    </row>
    <row r="21" spans="1:49" x14ac:dyDescent="0.2">
      <c r="A21" s="327" t="s">
        <v>779</v>
      </c>
      <c r="B21" s="2">
        <v>771</v>
      </c>
      <c r="C21" s="2">
        <v>1179</v>
      </c>
      <c r="D21" s="63">
        <v>0.8468923199629661</v>
      </c>
      <c r="E21" s="2" t="s">
        <v>5</v>
      </c>
      <c r="F21" s="63">
        <v>1.5561214426059117E-3</v>
      </c>
      <c r="G21" s="66">
        <v>1334.9377849270418</v>
      </c>
      <c r="H21" s="66" t="s">
        <v>5</v>
      </c>
      <c r="I21" s="66">
        <v>14.760227780787902</v>
      </c>
      <c r="J21" s="308">
        <v>-23.702808218940994</v>
      </c>
      <c r="K21" s="308">
        <v>-23.290984870273146</v>
      </c>
      <c r="L21" s="308" t="s">
        <v>5</v>
      </c>
      <c r="M21" s="308">
        <v>1.837448995492083</v>
      </c>
      <c r="O21" s="181">
        <v>776</v>
      </c>
      <c r="P21" s="181">
        <v>1174</v>
      </c>
      <c r="Q21" s="182">
        <v>0.85802360061589977</v>
      </c>
      <c r="R21" s="181" t="s">
        <v>5</v>
      </c>
      <c r="S21" s="182">
        <v>1.9766107945634638E-3</v>
      </c>
      <c r="T21" s="183">
        <v>1230.0424678368763</v>
      </c>
      <c r="U21" s="181" t="s">
        <v>5</v>
      </c>
      <c r="V21" s="183">
        <v>18.505281449616046</v>
      </c>
      <c r="W21" s="184">
        <v>-20.579223462405373</v>
      </c>
      <c r="X21" s="184">
        <v>-11.051746252821125</v>
      </c>
      <c r="Y21" s="181" t="s">
        <v>5</v>
      </c>
      <c r="Z21" s="184">
        <v>2.303657593628289</v>
      </c>
      <c r="AA21" s="173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P21" s="2"/>
      <c r="AS21" s="2"/>
      <c r="AW21" s="2"/>
    </row>
    <row r="22" spans="1:49" x14ac:dyDescent="0.2">
      <c r="A22" s="327" t="s">
        <v>780</v>
      </c>
      <c r="B22" s="2">
        <v>772</v>
      </c>
      <c r="C22" s="2">
        <v>1178</v>
      </c>
      <c r="D22" s="63">
        <v>0.84527090532628757</v>
      </c>
      <c r="E22" s="2" t="s">
        <v>5</v>
      </c>
      <c r="F22" s="63">
        <v>1.5629429359328225E-3</v>
      </c>
      <c r="G22" s="66">
        <v>1350.332077354559</v>
      </c>
      <c r="H22" s="66" t="s">
        <v>5</v>
      </c>
      <c r="I22" s="66">
        <v>14.853368932060773</v>
      </c>
      <c r="J22" s="308">
        <v>-22.131849424612994</v>
      </c>
      <c r="K22" s="308">
        <v>-25.278851785904834</v>
      </c>
      <c r="L22" s="308" t="s">
        <v>5</v>
      </c>
      <c r="M22" s="308">
        <v>1.8490438107880958</v>
      </c>
      <c r="O22" s="181">
        <v>776</v>
      </c>
      <c r="P22" s="181">
        <v>1174</v>
      </c>
      <c r="Q22" s="182">
        <v>0.86036013309056969</v>
      </c>
      <c r="R22" s="181" t="s">
        <v>5</v>
      </c>
      <c r="S22" s="182">
        <v>1.5907305719781613E-3</v>
      </c>
      <c r="T22" s="183">
        <v>1208.1970830509731</v>
      </c>
      <c r="U22" s="181" t="s">
        <v>5</v>
      </c>
      <c r="V22" s="183">
        <v>14.852313808170607</v>
      </c>
      <c r="W22" s="184">
        <v>-22.811539752702114</v>
      </c>
      <c r="X22" s="184">
        <v>-8.3586854687240919</v>
      </c>
      <c r="Y22" s="181" t="s">
        <v>5</v>
      </c>
      <c r="Z22" s="184">
        <v>1.8489124621151012</v>
      </c>
      <c r="AA22" s="173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</row>
    <row r="23" spans="1:49" x14ac:dyDescent="0.2">
      <c r="A23" s="327" t="s">
        <v>781</v>
      </c>
      <c r="B23" s="2">
        <v>773</v>
      </c>
      <c r="C23" s="2">
        <v>1177</v>
      </c>
      <c r="D23" s="63">
        <v>0.85140213556509825</v>
      </c>
      <c r="E23" s="2" t="s">
        <v>5</v>
      </c>
      <c r="F23" s="63">
        <v>1.5652156234355653E-3</v>
      </c>
      <c r="G23" s="66">
        <v>1292.274472014815</v>
      </c>
      <c r="H23" s="66" t="s">
        <v>5</v>
      </c>
      <c r="I23" s="66">
        <v>14.767847739438206</v>
      </c>
      <c r="J23" s="308">
        <v>-23.073045766781487</v>
      </c>
      <c r="K23" s="308">
        <v>-18.327398481614686</v>
      </c>
      <c r="L23" s="308" t="s">
        <v>5</v>
      </c>
      <c r="M23" s="308">
        <v>1.8383975774229064</v>
      </c>
      <c r="O23" s="181">
        <v>777</v>
      </c>
      <c r="P23" s="181">
        <v>1173</v>
      </c>
      <c r="Q23" s="182">
        <v>0.86093882026181257</v>
      </c>
      <c r="R23" s="181" t="s">
        <v>5</v>
      </c>
      <c r="S23" s="182">
        <v>1.9705812393264843E-3</v>
      </c>
      <c r="T23" s="183">
        <v>1202.7958199959105</v>
      </c>
      <c r="U23" s="181" t="s">
        <v>5</v>
      </c>
      <c r="V23" s="183">
        <v>18.386362510680122</v>
      </c>
      <c r="W23" s="184">
        <v>-20.334443176871275</v>
      </c>
      <c r="X23" s="184">
        <v>-7.8117224050598955</v>
      </c>
      <c r="Y23" s="181" t="s">
        <v>5</v>
      </c>
      <c r="Z23" s="184">
        <v>2.2888537919432497</v>
      </c>
      <c r="AA23" s="173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</row>
    <row r="24" spans="1:49" x14ac:dyDescent="0.2">
      <c r="A24" s="327" t="s">
        <v>782</v>
      </c>
      <c r="B24" s="2">
        <v>774</v>
      </c>
      <c r="C24" s="2">
        <v>1176</v>
      </c>
      <c r="D24" s="63">
        <v>0.85614657368664249</v>
      </c>
      <c r="E24" s="2" t="s">
        <v>5</v>
      </c>
      <c r="F24" s="63">
        <v>1.5775464149051874E-3</v>
      </c>
      <c r="G24" s="66">
        <v>1247.6348441075622</v>
      </c>
      <c r="H24" s="66" t="s">
        <v>5</v>
      </c>
      <c r="I24" s="66">
        <v>14.801706554013023</v>
      </c>
      <c r="J24" s="308">
        <v>-21.864699925190688</v>
      </c>
      <c r="K24" s="308">
        <v>-12.976428651002347</v>
      </c>
      <c r="L24" s="308" t="s">
        <v>5</v>
      </c>
      <c r="M24" s="308">
        <v>1.8426125425137587</v>
      </c>
      <c r="O24" s="181">
        <v>777</v>
      </c>
      <c r="P24" s="181">
        <v>1173</v>
      </c>
      <c r="Q24" s="182">
        <v>0.85931862261979808</v>
      </c>
      <c r="R24" s="181" t="s">
        <v>5</v>
      </c>
      <c r="S24" s="182">
        <v>1.5919244082136473E-3</v>
      </c>
      <c r="T24" s="183">
        <v>1217.9273359913818</v>
      </c>
      <c r="U24" s="181" t="s">
        <v>5</v>
      </c>
      <c r="V24" s="183">
        <v>14.881475199727163</v>
      </c>
      <c r="W24" s="184">
        <v>-22.475660464726378</v>
      </c>
      <c r="X24" s="184">
        <v>-9.67891792460318</v>
      </c>
      <c r="Y24" s="181" t="s">
        <v>5</v>
      </c>
      <c r="Z24" s="184">
        <v>1.8525426614872604</v>
      </c>
      <c r="AA24" s="173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</row>
    <row r="25" spans="1:49" x14ac:dyDescent="0.2">
      <c r="A25" s="327" t="s">
        <v>783</v>
      </c>
      <c r="B25" s="2">
        <v>775</v>
      </c>
      <c r="C25" s="2">
        <v>1175</v>
      </c>
      <c r="D25" s="63">
        <v>0.86007507462537536</v>
      </c>
      <c r="E25" s="2" t="s">
        <v>5</v>
      </c>
      <c r="F25" s="63">
        <v>1.6049581364158618E-3</v>
      </c>
      <c r="G25" s="66">
        <v>1210.8590544656372</v>
      </c>
      <c r="H25" s="66" t="s">
        <v>5</v>
      </c>
      <c r="I25" s="66">
        <v>14.990120153690404</v>
      </c>
      <c r="J25" s="308">
        <v>-21.446990323029102</v>
      </c>
      <c r="K25" s="308">
        <v>-8.5673213334169773</v>
      </c>
      <c r="L25" s="308" t="s">
        <v>5</v>
      </c>
      <c r="M25" s="308">
        <v>1.8660674908117023</v>
      </c>
      <c r="O25" s="181">
        <v>778</v>
      </c>
      <c r="P25" s="181">
        <v>1172</v>
      </c>
      <c r="Q25" s="182">
        <v>0.85749963451347733</v>
      </c>
      <c r="R25" s="181" t="s">
        <v>5</v>
      </c>
      <c r="S25" s="182">
        <v>1.9881366701790322E-3</v>
      </c>
      <c r="T25" s="183">
        <v>1234.9494486873248</v>
      </c>
      <c r="U25" s="181" t="s">
        <v>5</v>
      </c>
      <c r="V25" s="183">
        <v>18.624561554056179</v>
      </c>
      <c r="W25" s="184">
        <v>-21.054881835795847</v>
      </c>
      <c r="X25" s="184">
        <v>-11.894740632778845</v>
      </c>
      <c r="Y25" s="181" t="s">
        <v>5</v>
      </c>
      <c r="Z25" s="184">
        <v>2.3185063555404182</v>
      </c>
      <c r="AA25" s="173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</row>
    <row r="26" spans="1:49" x14ac:dyDescent="0.2">
      <c r="A26" s="327" t="s">
        <v>784</v>
      </c>
      <c r="B26" s="2">
        <v>776</v>
      </c>
      <c r="C26" s="2">
        <v>1174</v>
      </c>
      <c r="D26" s="63">
        <v>0.86036013309056969</v>
      </c>
      <c r="E26" s="2" t="s">
        <v>5</v>
      </c>
      <c r="F26" s="63">
        <v>1.5907305719781613E-3</v>
      </c>
      <c r="G26" s="66">
        <v>1208.1970830509731</v>
      </c>
      <c r="H26" s="66" t="s">
        <v>5</v>
      </c>
      <c r="I26" s="66">
        <v>14.852313808170607</v>
      </c>
      <c r="J26" s="308">
        <v>-22.811539752702114</v>
      </c>
      <c r="K26" s="308">
        <v>-8.3586854687240919</v>
      </c>
      <c r="L26" s="308" t="s">
        <v>5</v>
      </c>
      <c r="M26" s="308">
        <v>1.8489124621151012</v>
      </c>
      <c r="O26" s="181">
        <v>778</v>
      </c>
      <c r="P26" s="181">
        <v>1172</v>
      </c>
      <c r="Q26" s="182">
        <v>0.85713861220755905</v>
      </c>
      <c r="R26" s="181" t="s">
        <v>5</v>
      </c>
      <c r="S26" s="182">
        <v>1.5751449329512691E-3</v>
      </c>
      <c r="T26" s="183">
        <v>1238.3321939770015</v>
      </c>
      <c r="U26" s="181" t="s">
        <v>5</v>
      </c>
      <c r="V26" s="183">
        <v>14.762068895495684</v>
      </c>
      <c r="W26" s="184">
        <v>-22.731411258115397</v>
      </c>
      <c r="X26" s="184">
        <v>-12.310750185283382</v>
      </c>
      <c r="Y26" s="181" t="s">
        <v>5</v>
      </c>
      <c r="Z26" s="184">
        <v>1.8376781894056622</v>
      </c>
      <c r="AA26" s="173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</row>
    <row r="27" spans="1:49" x14ac:dyDescent="0.2">
      <c r="A27" s="327" t="s">
        <v>785</v>
      </c>
      <c r="B27" s="2">
        <v>777</v>
      </c>
      <c r="C27" s="2">
        <v>1173</v>
      </c>
      <c r="D27" s="63">
        <v>0.85931862261979808</v>
      </c>
      <c r="E27" s="2" t="s">
        <v>5</v>
      </c>
      <c r="F27" s="63">
        <v>1.5919244082136473E-3</v>
      </c>
      <c r="G27" s="66">
        <v>1217.9273359913818</v>
      </c>
      <c r="H27" s="66" t="s">
        <v>5</v>
      </c>
      <c r="I27" s="66">
        <v>14.881475199727163</v>
      </c>
      <c r="J27" s="308">
        <v>-22.475660464726378</v>
      </c>
      <c r="K27" s="308">
        <v>-9.67891792460318</v>
      </c>
      <c r="L27" s="308" t="s">
        <v>5</v>
      </c>
      <c r="M27" s="308">
        <v>1.8525426614872604</v>
      </c>
      <c r="O27" s="181">
        <v>779</v>
      </c>
      <c r="P27" s="181">
        <v>1171</v>
      </c>
      <c r="Q27" s="182">
        <v>0.8580296269090586</v>
      </c>
      <c r="R27" s="181" t="s">
        <v>5</v>
      </c>
      <c r="S27" s="182">
        <v>1.9683171793419534E-3</v>
      </c>
      <c r="T27" s="183">
        <v>1229.9860485928011</v>
      </c>
      <c r="U27" s="181" t="s">
        <v>5</v>
      </c>
      <c r="V27" s="183">
        <v>18.427506145121324</v>
      </c>
      <c r="W27" s="184">
        <v>-19.921052570408659</v>
      </c>
      <c r="X27" s="184">
        <v>-11.403615867955018</v>
      </c>
      <c r="Y27" s="181" t="s">
        <v>5</v>
      </c>
      <c r="Z27" s="184">
        <v>2.2939756187129747</v>
      </c>
      <c r="AA27" s="173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</row>
    <row r="28" spans="1:49" x14ac:dyDescent="0.2">
      <c r="A28" s="327" t="s">
        <v>786</v>
      </c>
      <c r="B28" s="2">
        <v>778</v>
      </c>
      <c r="C28" s="2">
        <v>1172</v>
      </c>
      <c r="D28" s="63">
        <v>0.85713861220755905</v>
      </c>
      <c r="E28" s="2" t="s">
        <v>5</v>
      </c>
      <c r="F28" s="63">
        <v>1.5751449329512691E-3</v>
      </c>
      <c r="G28" s="66">
        <v>1238.3321939770015</v>
      </c>
      <c r="H28" s="66" t="s">
        <v>5</v>
      </c>
      <c r="I28" s="66">
        <v>14.762068895495684</v>
      </c>
      <c r="J28" s="308">
        <v>-22.731411258115397</v>
      </c>
      <c r="K28" s="308">
        <v>-12.310750185283382</v>
      </c>
      <c r="L28" s="308" t="s">
        <v>5</v>
      </c>
      <c r="M28" s="308">
        <v>1.8376781894056622</v>
      </c>
      <c r="O28" s="181">
        <v>779</v>
      </c>
      <c r="P28" s="181">
        <v>1171</v>
      </c>
      <c r="Q28" s="182">
        <v>0.85944153406633927</v>
      </c>
      <c r="R28" s="181" t="s">
        <v>5</v>
      </c>
      <c r="S28" s="182">
        <v>1.6109247887306094E-3</v>
      </c>
      <c r="T28" s="183">
        <v>1216.7784291495429</v>
      </c>
      <c r="U28" s="181" t="s">
        <v>5</v>
      </c>
      <c r="V28" s="183">
        <v>15.056939087696126</v>
      </c>
      <c r="W28" s="184">
        <v>-22.615979406507392</v>
      </c>
      <c r="X28" s="184">
        <v>-9.7768581586134005</v>
      </c>
      <c r="Y28" s="181" t="s">
        <v>5</v>
      </c>
      <c r="Z28" s="184">
        <v>1.8743855455864717</v>
      </c>
      <c r="AA28" s="173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</row>
    <row r="29" spans="1:49" x14ac:dyDescent="0.2">
      <c r="A29" s="327" t="s">
        <v>787</v>
      </c>
      <c r="B29" s="2">
        <v>779</v>
      </c>
      <c r="C29" s="2">
        <v>1171</v>
      </c>
      <c r="D29" s="63">
        <v>0.85944153406633927</v>
      </c>
      <c r="E29" s="2" t="s">
        <v>5</v>
      </c>
      <c r="F29" s="63">
        <v>1.6109247887306094E-3</v>
      </c>
      <c r="G29" s="66">
        <v>1216.7784291495429</v>
      </c>
      <c r="H29" s="66" t="s">
        <v>5</v>
      </c>
      <c r="I29" s="66">
        <v>15.056939087696126</v>
      </c>
      <c r="J29" s="308">
        <v>-22.615979406507392</v>
      </c>
      <c r="K29" s="308">
        <v>-9.7768581586134005</v>
      </c>
      <c r="L29" s="308" t="s">
        <v>5</v>
      </c>
      <c r="M29" s="308">
        <v>1.8743855455864717</v>
      </c>
      <c r="O29" s="181">
        <v>780</v>
      </c>
      <c r="P29" s="181">
        <v>1170</v>
      </c>
      <c r="Q29" s="182">
        <v>0.85920780905578875</v>
      </c>
      <c r="R29" s="181" t="s">
        <v>5</v>
      </c>
      <c r="S29" s="182">
        <v>1.9445394536139339E-3</v>
      </c>
      <c r="T29" s="183">
        <v>1218.963299529112</v>
      </c>
      <c r="U29" s="181" t="s">
        <v>5</v>
      </c>
      <c r="V29" s="183">
        <v>18.179934291789536</v>
      </c>
      <c r="W29" s="184">
        <v>-20.14629457315764</v>
      </c>
      <c r="X29" s="184">
        <v>-10.165889621152168</v>
      </c>
      <c r="Y29" s="181" t="s">
        <v>5</v>
      </c>
      <c r="Z29" s="184">
        <v>2.2631562668728415</v>
      </c>
      <c r="AA29" s="173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</row>
    <row r="30" spans="1:49" x14ac:dyDescent="0.2">
      <c r="A30" s="327" t="s">
        <v>788</v>
      </c>
      <c r="B30" s="2">
        <v>780</v>
      </c>
      <c r="C30" s="2">
        <v>1170</v>
      </c>
      <c r="D30" s="63">
        <v>0.86123460586625633</v>
      </c>
      <c r="E30" s="2" t="s">
        <v>5</v>
      </c>
      <c r="F30" s="63">
        <v>1.6007363974311491E-3</v>
      </c>
      <c r="G30" s="66">
        <v>1200.0364628396433</v>
      </c>
      <c r="H30" s="66" t="s">
        <v>5</v>
      </c>
      <c r="I30" s="66">
        <v>14.930560607966664</v>
      </c>
      <c r="J30" s="308">
        <v>-23.116223961676454</v>
      </c>
      <c r="K30" s="308">
        <v>-7.8309566786635143</v>
      </c>
      <c r="L30" s="308" t="s">
        <v>5</v>
      </c>
      <c r="M30" s="308">
        <v>1.8586531318270465</v>
      </c>
      <c r="O30" s="181">
        <v>780</v>
      </c>
      <c r="P30" s="181">
        <v>1170</v>
      </c>
      <c r="Q30" s="182">
        <v>0.86123460586625633</v>
      </c>
      <c r="R30" s="181" t="s">
        <v>5</v>
      </c>
      <c r="S30" s="182">
        <v>1.6007363974311491E-3</v>
      </c>
      <c r="T30" s="183">
        <v>1200.0364628396433</v>
      </c>
      <c r="U30" s="181" t="s">
        <v>5</v>
      </c>
      <c r="V30" s="183">
        <v>14.930560607966664</v>
      </c>
      <c r="W30" s="184">
        <v>-23.116223961676454</v>
      </c>
      <c r="X30" s="184">
        <v>-7.8309566786635143</v>
      </c>
      <c r="Y30" s="181" t="s">
        <v>5</v>
      </c>
      <c r="Z30" s="184">
        <v>1.8586531318270465</v>
      </c>
      <c r="AA30" s="173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</row>
    <row r="31" spans="1:49" x14ac:dyDescent="0.2">
      <c r="F31" s="13"/>
      <c r="G31" s="12"/>
      <c r="H31" s="66"/>
      <c r="I31" s="12"/>
      <c r="K31" s="9"/>
      <c r="L31" s="2"/>
      <c r="M31" s="14"/>
    </row>
    <row r="32" spans="1:49" x14ac:dyDescent="0.2">
      <c r="F32" s="13"/>
      <c r="G32" s="12"/>
      <c r="H32" s="66"/>
      <c r="I32" s="12"/>
      <c r="K32" s="9"/>
      <c r="L32" s="2"/>
      <c r="M32" s="14"/>
    </row>
    <row r="33" spans="2:33" x14ac:dyDescent="0.2">
      <c r="B33" s="347" t="s">
        <v>331</v>
      </c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</row>
    <row r="34" spans="2:33" x14ac:dyDescent="0.2">
      <c r="B34" s="176" t="s">
        <v>17</v>
      </c>
      <c r="C34" s="175" t="s">
        <v>15</v>
      </c>
      <c r="D34" s="348" t="s">
        <v>1</v>
      </c>
      <c r="E34" s="348"/>
      <c r="F34" s="348"/>
      <c r="G34" s="348" t="s">
        <v>2</v>
      </c>
      <c r="H34" s="348"/>
      <c r="I34" s="348"/>
      <c r="J34" s="175" t="str">
        <f t="shared" ref="J34:J45" si="10">AI6</f>
        <v>δ¹³C*</v>
      </c>
      <c r="K34" s="349" t="str">
        <f t="shared" ref="K34:K45" si="11">AJ6</f>
        <v>∆¹⁴C</v>
      </c>
      <c r="L34" s="349"/>
      <c r="M34" s="349"/>
      <c r="Q34" s="67"/>
      <c r="R34" s="159"/>
      <c r="S34" s="67"/>
      <c r="T34" s="67"/>
      <c r="U34" s="32"/>
      <c r="V34" s="33"/>
      <c r="W34" s="33"/>
      <c r="X34" s="33"/>
      <c r="Y34" s="54"/>
      <c r="Z34" s="34"/>
      <c r="AA34" s="54"/>
      <c r="AB34" s="55"/>
      <c r="AC34" s="34"/>
      <c r="AD34" s="35"/>
      <c r="AE34" s="32"/>
      <c r="AF34" s="32"/>
      <c r="AG34" s="36">
        <v>-22.718804455618248</v>
      </c>
    </row>
    <row r="35" spans="2:33" x14ac:dyDescent="0.2">
      <c r="B35" s="176">
        <v>770</v>
      </c>
      <c r="C35" s="177">
        <f>1950-B35</f>
        <v>1180</v>
      </c>
      <c r="D35" s="178">
        <f>AC7</f>
        <v>0.84829455812745702</v>
      </c>
      <c r="E35" s="178" t="str">
        <f t="shared" ref="E35:E45" si="12">AD7</f>
        <v>±</v>
      </c>
      <c r="F35" s="178">
        <f t="shared" ref="F35:F45" si="13">AE7</f>
        <v>1.2182530398582093E-3</v>
      </c>
      <c r="G35" s="179">
        <f t="shared" ref="G35:G45" si="14">AF7</f>
        <v>1321.6481802349867</v>
      </c>
      <c r="H35" s="178" t="str">
        <f t="shared" ref="H35:H45" si="15">AG7</f>
        <v>±</v>
      </c>
      <c r="I35" s="179">
        <f t="shared" ref="I35:I45" si="16">AH7</f>
        <v>11.536354413004032</v>
      </c>
      <c r="J35" s="180">
        <f t="shared" si="10"/>
        <v>-22.568003283478522</v>
      </c>
      <c r="K35" s="180">
        <f>AJ7</f>
        <v>-21.555454997569168</v>
      </c>
      <c r="L35" s="180" t="str">
        <f t="shared" ref="L35:L45" si="17">AK7</f>
        <v>±</v>
      </c>
      <c r="M35" s="180">
        <f t="shared" ref="M35:M45" si="18">AL7</f>
        <v>1.43612030536587</v>
      </c>
      <c r="Q35" s="67"/>
      <c r="R35" s="159"/>
      <c r="S35" s="67"/>
      <c r="T35" s="67"/>
      <c r="U35" s="32"/>
      <c r="V35" s="33"/>
      <c r="W35" s="33"/>
      <c r="X35" s="33"/>
      <c r="Y35" s="54"/>
      <c r="Z35" s="34"/>
      <c r="AA35" s="54"/>
      <c r="AB35" s="55"/>
      <c r="AC35" s="34"/>
      <c r="AD35" s="35"/>
      <c r="AE35" s="32"/>
      <c r="AF35" s="32"/>
      <c r="AG35" s="36">
        <v>-23.264475731474722</v>
      </c>
    </row>
    <row r="36" spans="2:33" x14ac:dyDescent="0.2">
      <c r="B36" s="176">
        <v>771</v>
      </c>
      <c r="C36" s="187">
        <f t="shared" ref="C36:C45" si="19">1950-B36</f>
        <v>1179</v>
      </c>
      <c r="D36" s="178">
        <f t="shared" ref="D36:D45" si="20">AC8</f>
        <v>0.8479042095261764</v>
      </c>
      <c r="E36" s="178" t="str">
        <f t="shared" si="12"/>
        <v>±</v>
      </c>
      <c r="F36" s="178">
        <f t="shared" si="13"/>
        <v>1.2227483385973147E-3</v>
      </c>
      <c r="G36" s="179">
        <f t="shared" si="14"/>
        <v>1325.3454714124591</v>
      </c>
      <c r="H36" s="178" t="str">
        <f t="shared" si="15"/>
        <v>±</v>
      </c>
      <c r="I36" s="179">
        <f t="shared" si="16"/>
        <v>11.58425361449865</v>
      </c>
      <c r="J36" s="180">
        <f t="shared" si="10"/>
        <v>-23.48364197520786</v>
      </c>
      <c r="K36" s="180">
        <f t="shared" si="11"/>
        <v>-22.123986852453868</v>
      </c>
      <c r="L36" s="180" t="str">
        <f t="shared" si="17"/>
        <v>±</v>
      </c>
      <c r="M36" s="180">
        <f t="shared" si="18"/>
        <v>1.4420831089877568</v>
      </c>
      <c r="Q36" s="67"/>
      <c r="R36" s="159"/>
      <c r="S36" s="67"/>
      <c r="T36" s="67"/>
      <c r="U36" s="32"/>
      <c r="V36" s="33"/>
      <c r="W36" s="33"/>
      <c r="X36" s="33"/>
      <c r="Y36" s="54"/>
      <c r="Z36" s="34"/>
      <c r="AA36" s="54"/>
      <c r="AB36" s="55"/>
      <c r="AC36" s="34"/>
      <c r="AD36" s="35"/>
      <c r="AE36" s="32"/>
      <c r="AF36" s="32"/>
      <c r="AG36" s="36">
        <v>-21.893391141432296</v>
      </c>
    </row>
    <row r="37" spans="2:33" x14ac:dyDescent="0.2">
      <c r="B37" s="176">
        <v>772</v>
      </c>
      <c r="C37" s="187">
        <f t="shared" si="19"/>
        <v>1178</v>
      </c>
      <c r="D37" s="178">
        <f t="shared" si="20"/>
        <v>0.84594466857610728</v>
      </c>
      <c r="E37" s="178" t="str">
        <f t="shared" si="12"/>
        <v>±</v>
      </c>
      <c r="F37" s="178">
        <f t="shared" si="13"/>
        <v>1.2162319517525627E-3</v>
      </c>
      <c r="G37" s="179">
        <f t="shared" si="14"/>
        <v>1343.9315444412389</v>
      </c>
      <c r="H37" s="178" t="str">
        <f t="shared" si="15"/>
        <v>±</v>
      </c>
      <c r="I37" s="179">
        <f t="shared" si="16"/>
        <v>11.549208395477178</v>
      </c>
      <c r="J37" s="180">
        <f t="shared" si="10"/>
        <v>-22.012620283022645</v>
      </c>
      <c r="K37" s="180">
        <f t="shared" si="11"/>
        <v>-24.501904082688597</v>
      </c>
      <c r="L37" s="180" t="str">
        <f t="shared" si="17"/>
        <v>±</v>
      </c>
      <c r="M37" s="180">
        <f t="shared" si="18"/>
        <v>1.4377204525678051</v>
      </c>
      <c r="Q37" s="67"/>
      <c r="R37" s="159"/>
      <c r="S37" s="67"/>
      <c r="T37" s="67"/>
      <c r="U37" s="32"/>
      <c r="V37" s="33"/>
      <c r="W37" s="33"/>
      <c r="X37" s="33"/>
      <c r="Y37" s="54"/>
      <c r="Z37" s="34"/>
      <c r="AA37" s="54"/>
      <c r="AB37" s="55"/>
      <c r="AC37" s="34"/>
      <c r="AD37" s="35"/>
      <c r="AE37" s="32"/>
      <c r="AF37" s="32"/>
      <c r="AG37" s="36">
        <v>-22.47325483632412</v>
      </c>
    </row>
    <row r="38" spans="2:33" x14ac:dyDescent="0.2">
      <c r="B38" s="176">
        <v>773</v>
      </c>
      <c r="C38" s="187">
        <f t="shared" si="19"/>
        <v>1177</v>
      </c>
      <c r="D38" s="178">
        <f t="shared" si="20"/>
        <v>0.85062022265360693</v>
      </c>
      <c r="E38" s="178" t="str">
        <f t="shared" si="12"/>
        <v>±</v>
      </c>
      <c r="F38" s="178">
        <f t="shared" si="13"/>
        <v>1.2251977084470761E-3</v>
      </c>
      <c r="G38" s="179">
        <f t="shared" si="14"/>
        <v>1299.6552291823768</v>
      </c>
      <c r="H38" s="178" t="str">
        <f t="shared" si="15"/>
        <v>±</v>
      </c>
      <c r="I38" s="179">
        <f t="shared" si="16"/>
        <v>11.570396435264703</v>
      </c>
      <c r="J38" s="180">
        <f t="shared" si="10"/>
        <v>-22.773150301552803</v>
      </c>
      <c r="K38" s="180">
        <f t="shared" si="11"/>
        <v>-19.228949523033002</v>
      </c>
      <c r="L38" s="180" t="str">
        <f t="shared" si="17"/>
        <v>±</v>
      </c>
      <c r="M38" s="180">
        <f t="shared" si="18"/>
        <v>1.4403580773390643</v>
      </c>
      <c r="Q38" s="67"/>
      <c r="R38" s="159"/>
      <c r="S38" s="67"/>
      <c r="T38" s="67"/>
      <c r="U38" s="32"/>
      <c r="V38" s="33"/>
      <c r="W38" s="33"/>
      <c r="X38" s="33"/>
      <c r="Y38" s="54"/>
      <c r="Z38" s="34"/>
      <c r="AA38" s="54"/>
      <c r="AB38" s="55"/>
      <c r="AC38" s="34"/>
      <c r="AD38" s="35"/>
      <c r="AE38" s="32"/>
      <c r="AF38" s="32"/>
      <c r="AG38" s="36">
        <v>-22.127950557442432</v>
      </c>
    </row>
    <row r="39" spans="2:33" x14ac:dyDescent="0.2">
      <c r="B39" s="176">
        <v>774</v>
      </c>
      <c r="C39" s="187">
        <f t="shared" si="19"/>
        <v>1176</v>
      </c>
      <c r="D39" s="178">
        <f t="shared" si="20"/>
        <v>0.85684674819155193</v>
      </c>
      <c r="E39" s="178" t="str">
        <f t="shared" si="12"/>
        <v>±</v>
      </c>
      <c r="F39" s="178">
        <f t="shared" si="13"/>
        <v>1.0445020255939223E-3</v>
      </c>
      <c r="G39" s="179">
        <f t="shared" si="14"/>
        <v>1241.0679742437601</v>
      </c>
      <c r="H39" s="178" t="str">
        <f t="shared" si="15"/>
        <v>±</v>
      </c>
      <c r="I39" s="179">
        <f t="shared" si="16"/>
        <v>9.7922817461871805</v>
      </c>
      <c r="J39" s="180">
        <f t="shared" si="10"/>
        <v>-22.523649089462584</v>
      </c>
      <c r="K39" s="180">
        <f t="shared" si="11"/>
        <v>-12.169220210714649</v>
      </c>
      <c r="L39" s="180" t="str">
        <f t="shared" si="17"/>
        <v>±</v>
      </c>
      <c r="M39" s="180">
        <f t="shared" si="18"/>
        <v>1.2190068151608591</v>
      </c>
      <c r="Q39" s="67"/>
      <c r="R39" s="159"/>
      <c r="S39" s="67"/>
      <c r="T39" s="67"/>
      <c r="U39" s="32"/>
      <c r="V39" s="33"/>
      <c r="W39" s="33"/>
      <c r="X39" s="33"/>
      <c r="Y39" s="54"/>
      <c r="Z39" s="34"/>
      <c r="AA39" s="54"/>
      <c r="AB39" s="55"/>
      <c r="AC39" s="34"/>
      <c r="AD39" s="35"/>
      <c r="AE39" s="32"/>
      <c r="AF39" s="32"/>
      <c r="AG39" s="36">
        <v>-23.578296785754628</v>
      </c>
    </row>
    <row r="40" spans="2:33" x14ac:dyDescent="0.2">
      <c r="B40" s="176">
        <v>775</v>
      </c>
      <c r="C40" s="187">
        <f t="shared" si="19"/>
        <v>1175</v>
      </c>
      <c r="D40" s="178">
        <f t="shared" si="20"/>
        <v>0.86004502370338498</v>
      </c>
      <c r="E40" s="178" t="str">
        <f t="shared" si="12"/>
        <v>±</v>
      </c>
      <c r="F40" s="178">
        <f t="shared" si="13"/>
        <v>1.0547178273709438E-3</v>
      </c>
      <c r="G40" s="179">
        <f t="shared" si="14"/>
        <v>1211.1397314446549</v>
      </c>
      <c r="H40" s="178" t="str">
        <f t="shared" si="15"/>
        <v>±</v>
      </c>
      <c r="I40" s="179">
        <f t="shared" si="16"/>
        <v>9.8512846115749753</v>
      </c>
      <c r="J40" s="180">
        <f t="shared" si="10"/>
        <v>-21.282627841050502</v>
      </c>
      <c r="K40" s="180">
        <f t="shared" si="11"/>
        <v>-8.6019618746491222</v>
      </c>
      <c r="L40" s="180" t="str">
        <f t="shared" si="17"/>
        <v>±</v>
      </c>
      <c r="M40" s="180">
        <f t="shared" si="18"/>
        <v>1.226351874962651</v>
      </c>
      <c r="Q40" s="67"/>
      <c r="R40" s="159"/>
      <c r="S40" s="67"/>
      <c r="T40" s="67"/>
      <c r="U40" s="32"/>
      <c r="V40" s="33"/>
      <c r="W40" s="33"/>
      <c r="X40" s="33"/>
      <c r="Y40" s="54"/>
      <c r="Z40" s="34"/>
      <c r="AA40" s="54"/>
      <c r="AB40" s="55"/>
      <c r="AC40" s="34"/>
      <c r="AD40" s="35"/>
      <c r="AE40" s="32"/>
      <c r="AF40" s="32"/>
      <c r="AG40" s="36">
        <v>-20.918932710977558</v>
      </c>
    </row>
    <row r="41" spans="2:33" x14ac:dyDescent="0.2">
      <c r="B41" s="176">
        <v>776</v>
      </c>
      <c r="C41" s="187">
        <f t="shared" si="19"/>
        <v>1174</v>
      </c>
      <c r="D41" s="178">
        <f t="shared" si="20"/>
        <v>0.85944168706772273</v>
      </c>
      <c r="E41" s="178" t="str">
        <f t="shared" si="12"/>
        <v>±</v>
      </c>
      <c r="F41" s="178">
        <f t="shared" si="13"/>
        <v>1.2392589696035776E-3</v>
      </c>
      <c r="G41" s="179">
        <f t="shared" si="14"/>
        <v>1216.7769990813472</v>
      </c>
      <c r="H41" s="178" t="str">
        <f t="shared" si="15"/>
        <v>±</v>
      </c>
      <c r="I41" s="179">
        <f t="shared" si="16"/>
        <v>11.583063112507716</v>
      </c>
      <c r="J41" s="180">
        <f t="shared" si="10"/>
        <v>-21.695381607553742</v>
      </c>
      <c r="K41" s="180">
        <f t="shared" si="11"/>
        <v>-9.4172759198534184</v>
      </c>
      <c r="L41" s="180" t="str">
        <f t="shared" si="17"/>
        <v>±</v>
      </c>
      <c r="M41" s="180">
        <f t="shared" si="18"/>
        <v>1.4419349075697394</v>
      </c>
      <c r="Q41" s="67"/>
      <c r="R41" s="159"/>
      <c r="S41" s="67"/>
      <c r="T41" s="67"/>
      <c r="U41" s="32"/>
      <c r="V41" s="33"/>
      <c r="W41" s="33"/>
      <c r="X41" s="33"/>
      <c r="Y41" s="54"/>
      <c r="Z41" s="34"/>
      <c r="AA41" s="54"/>
      <c r="AB41" s="55"/>
      <c r="AC41" s="34"/>
      <c r="AD41" s="35"/>
      <c r="AE41" s="32"/>
      <c r="AF41" s="32"/>
      <c r="AG41" s="36">
        <v>-21.481960489144857</v>
      </c>
    </row>
    <row r="42" spans="2:33" x14ac:dyDescent="0.2">
      <c r="B42" s="176">
        <v>777</v>
      </c>
      <c r="C42" s="187">
        <f t="shared" si="19"/>
        <v>1173</v>
      </c>
      <c r="D42" s="178">
        <f t="shared" si="20"/>
        <v>0.85995843529429405</v>
      </c>
      <c r="E42" s="178" t="str">
        <f t="shared" si="12"/>
        <v>±</v>
      </c>
      <c r="F42" s="178">
        <f t="shared" si="13"/>
        <v>1.2383310582262498E-3</v>
      </c>
      <c r="G42" s="179">
        <f t="shared" si="14"/>
        <v>1211.9485259702431</v>
      </c>
      <c r="H42" s="178" t="str">
        <f t="shared" si="15"/>
        <v>±</v>
      </c>
      <c r="I42" s="179">
        <f t="shared" si="16"/>
        <v>11.567435102054947</v>
      </c>
      <c r="J42" s="180">
        <f t="shared" si="10"/>
        <v>-21.405051820798825</v>
      </c>
      <c r="K42" s="180">
        <f t="shared" si="11"/>
        <v>-8.9415663026859438</v>
      </c>
      <c r="L42" s="180" t="str">
        <f t="shared" si="17"/>
        <v>±</v>
      </c>
      <c r="M42" s="180">
        <f t="shared" si="18"/>
        <v>1.4399894313525392</v>
      </c>
      <c r="Q42" s="67"/>
      <c r="R42" s="159"/>
      <c r="S42" s="67"/>
      <c r="T42" s="67"/>
      <c r="U42" s="32"/>
      <c r="V42" s="33"/>
      <c r="W42" s="33"/>
      <c r="X42" s="33"/>
      <c r="Y42" s="54"/>
      <c r="Z42" s="34"/>
      <c r="AA42" s="54"/>
      <c r="AB42" s="55"/>
      <c r="AC42" s="34"/>
      <c r="AD42" s="35"/>
      <c r="AE42" s="32"/>
      <c r="AF42" s="32"/>
      <c r="AG42" s="36">
        <v>-20.579223462405373</v>
      </c>
    </row>
    <row r="43" spans="2:33" x14ac:dyDescent="0.2">
      <c r="B43" s="176">
        <v>778</v>
      </c>
      <c r="C43" s="187">
        <f t="shared" si="19"/>
        <v>1172</v>
      </c>
      <c r="D43" s="178">
        <f t="shared" si="20"/>
        <v>0.85727783476727459</v>
      </c>
      <c r="E43" s="178" t="str">
        <f t="shared" si="12"/>
        <v>±</v>
      </c>
      <c r="F43" s="178">
        <f t="shared" si="13"/>
        <v>1.2346220383977981E-3</v>
      </c>
      <c r="G43" s="179">
        <f t="shared" si="14"/>
        <v>1237.0275228434193</v>
      </c>
      <c r="H43" s="178" t="str">
        <f t="shared" si="15"/>
        <v>±</v>
      </c>
      <c r="I43" s="179">
        <f t="shared" si="16"/>
        <v>11.568850181623882</v>
      </c>
      <c r="J43" s="180">
        <f t="shared" si="10"/>
        <v>-21.89314654695562</v>
      </c>
      <c r="K43" s="180">
        <f t="shared" si="11"/>
        <v>-12.150322660955059</v>
      </c>
      <c r="L43" s="180" t="str">
        <f t="shared" si="17"/>
        <v>±</v>
      </c>
      <c r="M43" s="180">
        <f t="shared" si="18"/>
        <v>1.4401655896456969</v>
      </c>
      <c r="Q43" s="67"/>
      <c r="R43" s="159"/>
      <c r="S43" s="67"/>
      <c r="T43" s="67"/>
      <c r="U43" s="32"/>
      <c r="V43" s="33"/>
      <c r="W43" s="33"/>
      <c r="X43" s="33"/>
      <c r="Y43" s="54"/>
      <c r="Z43" s="34"/>
      <c r="AA43" s="54"/>
      <c r="AB43" s="55"/>
      <c r="AC43" s="34"/>
      <c r="AD43" s="35"/>
      <c r="AE43" s="32"/>
      <c r="AF43" s="32"/>
      <c r="AG43" s="36">
        <v>-20.334443176871275</v>
      </c>
    </row>
    <row r="44" spans="2:33" x14ac:dyDescent="0.2">
      <c r="B44" s="176">
        <v>779</v>
      </c>
      <c r="C44" s="187">
        <f t="shared" si="19"/>
        <v>1171</v>
      </c>
      <c r="D44" s="178">
        <f t="shared" si="20"/>
        <v>0.85887516967440769</v>
      </c>
      <c r="E44" s="178" t="str">
        <f t="shared" si="12"/>
        <v>±</v>
      </c>
      <c r="F44" s="178">
        <f t="shared" si="13"/>
        <v>1.2466369167516106E-3</v>
      </c>
      <c r="G44" s="179">
        <f t="shared" si="14"/>
        <v>1222.0738503198509</v>
      </c>
      <c r="H44" s="178" t="str">
        <f t="shared" si="15"/>
        <v>±</v>
      </c>
      <c r="I44" s="179">
        <f t="shared" si="16"/>
        <v>11.65970877474779</v>
      </c>
      <c r="J44" s="180">
        <f t="shared" si="10"/>
        <v>-21.268515988458027</v>
      </c>
      <c r="K44" s="180">
        <f t="shared" si="11"/>
        <v>-10.429406476766045</v>
      </c>
      <c r="L44" s="180" t="str">
        <f t="shared" si="17"/>
        <v>±</v>
      </c>
      <c r="M44" s="180">
        <f t="shared" si="18"/>
        <v>1.4514762572821849</v>
      </c>
      <c r="Q44" s="67"/>
      <c r="R44" s="159"/>
      <c r="S44" s="67"/>
      <c r="T44" s="67"/>
      <c r="U44" s="32"/>
      <c r="V44" s="33"/>
      <c r="W44" s="33"/>
      <c r="X44" s="33"/>
      <c r="Y44" s="54"/>
      <c r="Z44" s="34"/>
      <c r="AA44" s="54"/>
      <c r="AB44" s="55"/>
      <c r="AC44" s="34"/>
      <c r="AD44" s="35"/>
      <c r="AE44" s="32"/>
      <c r="AF44" s="32"/>
      <c r="AG44" s="36">
        <v>-21.054881835795847</v>
      </c>
    </row>
    <row r="45" spans="2:33" x14ac:dyDescent="0.2">
      <c r="B45" s="176">
        <v>780</v>
      </c>
      <c r="C45" s="187">
        <f t="shared" si="19"/>
        <v>1170</v>
      </c>
      <c r="D45" s="178">
        <f t="shared" si="20"/>
        <v>0.86041592489070307</v>
      </c>
      <c r="E45" s="178" t="str">
        <f t="shared" si="12"/>
        <v>±</v>
      </c>
      <c r="F45" s="178">
        <f t="shared" si="13"/>
        <v>1.2358592209753506E-3</v>
      </c>
      <c r="G45" s="179">
        <f t="shared" si="14"/>
        <v>1207.6761837409788</v>
      </c>
      <c r="H45" s="178" t="str">
        <f t="shared" si="15"/>
        <v>±</v>
      </c>
      <c r="I45" s="179">
        <f t="shared" si="16"/>
        <v>11.53820708671342</v>
      </c>
      <c r="J45" s="180">
        <f t="shared" si="10"/>
        <v>-21.631259267417047</v>
      </c>
      <c r="K45" s="180">
        <f t="shared" si="11"/>
        <v>-8.7741026167937886</v>
      </c>
      <c r="L45" s="180" t="str">
        <f t="shared" si="17"/>
        <v>±</v>
      </c>
      <c r="M45" s="180">
        <f t="shared" si="18"/>
        <v>1.4363509382190243</v>
      </c>
      <c r="Q45" s="67"/>
      <c r="R45" s="159"/>
      <c r="S45" s="67"/>
      <c r="T45" s="67"/>
      <c r="U45" s="32"/>
      <c r="V45" s="33"/>
      <c r="W45" s="33"/>
      <c r="X45" s="33"/>
      <c r="Y45" s="54"/>
      <c r="Z45" s="34"/>
      <c r="AA45" s="54"/>
      <c r="AB45" s="55"/>
      <c r="AC45" s="34"/>
      <c r="AD45" s="35"/>
      <c r="AE45" s="32"/>
      <c r="AF45" s="32"/>
      <c r="AG45" s="36">
        <v>-19.921052570408659</v>
      </c>
    </row>
    <row r="46" spans="2:33" x14ac:dyDescent="0.2">
      <c r="E46"/>
      <c r="Q46" s="67"/>
      <c r="R46" s="159"/>
      <c r="S46" s="67"/>
      <c r="T46" s="67"/>
      <c r="U46" s="32"/>
      <c r="V46" s="33"/>
      <c r="W46" s="33"/>
      <c r="X46" s="33"/>
      <c r="Y46" s="54"/>
      <c r="Z46" s="34"/>
      <c r="AA46" s="54"/>
      <c r="AB46" s="55"/>
      <c r="AC46" s="34"/>
      <c r="AD46" s="35"/>
      <c r="AE46" s="32"/>
      <c r="AF46" s="32"/>
      <c r="AG46" s="36">
        <v>-20.14629457315764</v>
      </c>
    </row>
    <row r="47" spans="2:33" x14ac:dyDescent="0.2">
      <c r="E47"/>
    </row>
    <row r="48" spans="2:33" x14ac:dyDescent="0.2">
      <c r="E48"/>
    </row>
    <row r="49" spans="5:38" x14ac:dyDescent="0.2">
      <c r="E49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155"/>
      <c r="AD49" s="155"/>
      <c r="AE49" s="155"/>
      <c r="AF49" s="155"/>
      <c r="AG49" s="60"/>
      <c r="AH49" s="155"/>
      <c r="AI49" s="155"/>
      <c r="AJ49" s="60"/>
      <c r="AK49" s="155"/>
      <c r="AL49" s="60"/>
    </row>
    <row r="50" spans="5:38" x14ac:dyDescent="0.2">
      <c r="E50"/>
      <c r="Q50" s="156"/>
      <c r="R50" s="156"/>
      <c r="S50" s="159"/>
      <c r="T50" s="156"/>
      <c r="U50" s="156"/>
      <c r="V50" s="157"/>
      <c r="W50" s="157"/>
      <c r="X50" s="34"/>
      <c r="Y50" s="34"/>
      <c r="Z50" s="32"/>
      <c r="AA50" s="32"/>
      <c r="AB50" s="36"/>
      <c r="AC50" s="32"/>
      <c r="AD50" s="33"/>
      <c r="AE50" s="33"/>
      <c r="AF50" s="54"/>
      <c r="AG50" s="35"/>
      <c r="AH50" s="54"/>
      <c r="AI50" s="54"/>
      <c r="AJ50" s="55"/>
      <c r="AK50" s="55"/>
      <c r="AL50" s="32"/>
    </row>
    <row r="51" spans="5:38" x14ac:dyDescent="0.2">
      <c r="E51"/>
      <c r="Q51" s="156"/>
      <c r="R51" s="156"/>
      <c r="S51" s="159"/>
      <c r="T51" s="156"/>
      <c r="U51" s="156"/>
      <c r="V51" s="157"/>
      <c r="W51" s="157"/>
      <c r="X51" s="34"/>
      <c r="Y51" s="34"/>
      <c r="Z51" s="32"/>
      <c r="AA51" s="32"/>
      <c r="AB51" s="36"/>
      <c r="AC51" s="32"/>
      <c r="AD51" s="33"/>
      <c r="AE51" s="33"/>
      <c r="AF51" s="54"/>
      <c r="AG51" s="35"/>
      <c r="AH51" s="54"/>
      <c r="AI51" s="54"/>
      <c r="AJ51" s="55"/>
      <c r="AK51" s="55"/>
      <c r="AL51" s="32"/>
    </row>
    <row r="52" spans="5:38" x14ac:dyDescent="0.2">
      <c r="Q52" s="156"/>
      <c r="R52" s="156"/>
      <c r="S52" s="159"/>
      <c r="T52" s="156"/>
      <c r="U52" s="156"/>
      <c r="V52" s="157"/>
      <c r="W52" s="157"/>
      <c r="X52" s="34"/>
      <c r="Y52" s="34"/>
      <c r="Z52" s="32"/>
      <c r="AA52" s="32"/>
      <c r="AB52" s="36"/>
      <c r="AC52" s="32"/>
      <c r="AD52" s="33"/>
      <c r="AE52" s="33"/>
      <c r="AF52" s="54"/>
      <c r="AG52" s="35"/>
      <c r="AH52" s="54"/>
      <c r="AI52" s="54"/>
      <c r="AJ52" s="55"/>
      <c r="AK52" s="55"/>
      <c r="AL52" s="32"/>
    </row>
    <row r="53" spans="5:38" x14ac:dyDescent="0.2">
      <c r="Q53" s="156"/>
      <c r="R53" s="156"/>
      <c r="S53" s="159"/>
      <c r="T53" s="156"/>
      <c r="U53" s="156"/>
      <c r="V53" s="157"/>
      <c r="W53" s="157"/>
      <c r="X53" s="34"/>
      <c r="Y53" s="34"/>
      <c r="Z53" s="32"/>
      <c r="AA53" s="32"/>
      <c r="AB53" s="36"/>
      <c r="AC53" s="32"/>
      <c r="AD53" s="33"/>
      <c r="AE53" s="33"/>
      <c r="AF53" s="54"/>
      <c r="AG53" s="35"/>
      <c r="AH53" s="54"/>
      <c r="AI53" s="54"/>
      <c r="AJ53" s="55"/>
      <c r="AK53" s="55"/>
      <c r="AL53" s="32"/>
    </row>
    <row r="54" spans="5:38" x14ac:dyDescent="0.2">
      <c r="Q54" s="156"/>
      <c r="R54" s="156"/>
      <c r="S54" s="159"/>
      <c r="T54" s="156"/>
      <c r="U54" s="156"/>
      <c r="V54" s="157"/>
      <c r="W54" s="157"/>
      <c r="X54" s="34"/>
      <c r="Y54" s="34"/>
      <c r="Z54" s="32"/>
      <c r="AA54" s="32"/>
      <c r="AB54" s="36"/>
      <c r="AC54" s="32"/>
      <c r="AD54" s="33"/>
      <c r="AE54" s="33"/>
      <c r="AF54" s="54"/>
      <c r="AG54" s="35"/>
      <c r="AH54" s="54"/>
      <c r="AI54" s="54"/>
      <c r="AJ54" s="55"/>
      <c r="AK54" s="55"/>
      <c r="AL54" s="32"/>
    </row>
    <row r="55" spans="5:38" x14ac:dyDescent="0.2">
      <c r="Q55" s="156"/>
      <c r="R55" s="156"/>
      <c r="S55" s="159"/>
      <c r="T55" s="156"/>
      <c r="U55" s="156"/>
      <c r="V55" s="157"/>
      <c r="W55" s="157"/>
      <c r="X55" s="34"/>
      <c r="Y55" s="34"/>
      <c r="Z55" s="32"/>
      <c r="AA55" s="32"/>
      <c r="AB55" s="36"/>
      <c r="AC55" s="32"/>
      <c r="AD55" s="33"/>
      <c r="AE55" s="33"/>
      <c r="AF55" s="54"/>
      <c r="AG55" s="35"/>
      <c r="AH55" s="54"/>
      <c r="AI55" s="54"/>
      <c r="AJ55" s="55"/>
      <c r="AK55" s="55"/>
      <c r="AL55" s="32"/>
    </row>
    <row r="56" spans="5:38" x14ac:dyDescent="0.2">
      <c r="Q56" s="156"/>
      <c r="R56" s="156"/>
      <c r="S56" s="159"/>
      <c r="T56" s="156"/>
      <c r="U56" s="156"/>
      <c r="V56" s="157"/>
      <c r="W56" s="157"/>
      <c r="X56" s="34"/>
      <c r="Y56" s="34"/>
      <c r="Z56" s="32"/>
      <c r="AA56" s="32"/>
      <c r="AB56" s="36"/>
      <c r="AC56" s="32"/>
      <c r="AD56" s="33"/>
      <c r="AE56" s="33"/>
      <c r="AF56" s="54"/>
      <c r="AG56" s="35"/>
      <c r="AH56" s="54"/>
      <c r="AI56" s="54"/>
      <c r="AJ56" s="55"/>
      <c r="AK56" s="55"/>
      <c r="AL56" s="32"/>
    </row>
    <row r="57" spans="5:38" x14ac:dyDescent="0.2">
      <c r="Q57" s="156"/>
      <c r="R57" s="156"/>
      <c r="S57" s="159"/>
      <c r="T57" s="156"/>
      <c r="U57" s="156"/>
      <c r="V57" s="157"/>
      <c r="W57" s="157"/>
      <c r="X57" s="34"/>
      <c r="Y57" s="34"/>
      <c r="Z57" s="32"/>
      <c r="AA57" s="32"/>
      <c r="AB57" s="36"/>
      <c r="AC57" s="32"/>
      <c r="AD57" s="33"/>
      <c r="AE57" s="33"/>
      <c r="AF57" s="54"/>
      <c r="AG57" s="35"/>
      <c r="AH57" s="54"/>
      <c r="AI57" s="54"/>
      <c r="AJ57" s="55"/>
      <c r="AK57" s="55"/>
      <c r="AL57" s="32"/>
    </row>
    <row r="58" spans="5:38" x14ac:dyDescent="0.2">
      <c r="Q58" s="156"/>
      <c r="R58" s="156"/>
      <c r="S58" s="159"/>
      <c r="T58" s="156"/>
      <c r="U58" s="156"/>
      <c r="V58" s="157"/>
      <c r="W58" s="157"/>
      <c r="X58" s="34"/>
      <c r="Y58" s="34"/>
      <c r="Z58" s="32"/>
      <c r="AA58" s="32"/>
      <c r="AB58" s="36"/>
      <c r="AC58" s="32"/>
      <c r="AD58" s="33"/>
      <c r="AE58" s="33"/>
      <c r="AF58" s="54"/>
      <c r="AG58" s="35"/>
      <c r="AH58" s="54"/>
      <c r="AI58" s="54"/>
      <c r="AJ58" s="55"/>
      <c r="AK58" s="55"/>
      <c r="AL58" s="32"/>
    </row>
    <row r="59" spans="5:38" x14ac:dyDescent="0.2">
      <c r="Q59" s="156"/>
      <c r="R59" s="156"/>
      <c r="S59" s="159"/>
      <c r="T59" s="156"/>
      <c r="U59" s="156"/>
      <c r="V59" s="157"/>
      <c r="W59" s="157"/>
      <c r="X59" s="34"/>
      <c r="Y59" s="34"/>
      <c r="Z59" s="32"/>
      <c r="AA59" s="32"/>
      <c r="AB59" s="36"/>
      <c r="AC59" s="32"/>
      <c r="AD59" s="33"/>
      <c r="AE59" s="33"/>
      <c r="AF59" s="54"/>
      <c r="AG59" s="35"/>
      <c r="AH59" s="54"/>
      <c r="AI59" s="54"/>
      <c r="AJ59" s="55"/>
      <c r="AK59" s="55"/>
      <c r="AL59" s="32"/>
    </row>
    <row r="60" spans="5:38" x14ac:dyDescent="0.2">
      <c r="Q60" s="156"/>
      <c r="R60" s="156"/>
      <c r="S60" s="159"/>
      <c r="T60" s="156"/>
      <c r="U60" s="156"/>
      <c r="V60" s="157"/>
      <c r="W60" s="157"/>
      <c r="X60" s="34"/>
      <c r="Y60" s="34"/>
      <c r="Z60" s="32"/>
      <c r="AA60" s="32"/>
      <c r="AB60" s="36"/>
      <c r="AC60" s="32"/>
      <c r="AD60" s="33"/>
      <c r="AE60" s="33"/>
      <c r="AF60" s="54"/>
      <c r="AG60" s="35"/>
      <c r="AH60" s="54"/>
      <c r="AI60" s="54"/>
      <c r="AJ60" s="55"/>
      <c r="AK60" s="55"/>
      <c r="AL60" s="32"/>
    </row>
  </sheetData>
  <sortState ref="O4:Z27">
    <sortCondition ref="O4:O27"/>
  </sortState>
  <mergeCells count="14">
    <mergeCell ref="AF6:AH6"/>
    <mergeCell ref="AJ6:AL6"/>
    <mergeCell ref="X6:Z6"/>
    <mergeCell ref="AA5:AL5"/>
    <mergeCell ref="D34:F34"/>
    <mergeCell ref="G34:I34"/>
    <mergeCell ref="K34:M34"/>
    <mergeCell ref="Q6:S6"/>
    <mergeCell ref="AC6:AE6"/>
    <mergeCell ref="T6:V6"/>
    <mergeCell ref="D6:F6"/>
    <mergeCell ref="G6:I6"/>
    <mergeCell ref="K6:M6"/>
    <mergeCell ref="B33:M33"/>
  </mergeCells>
  <pageMargins left="0.75" right="0.75" top="1" bottom="1" header="0.5" footer="0.5"/>
  <pageSetup paperSize="9" orientation="portrait" horizontalDpi="4294967292" verticalDpi="4294967292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workbookViewId="0">
      <selection activeCell="AC60" sqref="AC60"/>
    </sheetView>
  </sheetViews>
  <sheetFormatPr baseColWidth="10" defaultColWidth="11" defaultRowHeight="16" x14ac:dyDescent="0.2"/>
  <cols>
    <col min="1" max="1" width="13.6640625" customWidth="1"/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  <col min="17" max="17" width="9.5" customWidth="1"/>
    <col min="18" max="18" width="3.1640625" customWidth="1"/>
    <col min="19" max="19" width="9" customWidth="1"/>
    <col min="20" max="20" width="8.6640625" customWidth="1"/>
    <col min="21" max="21" width="3.1640625" customWidth="1"/>
    <col min="22" max="22" width="4.6640625" customWidth="1"/>
    <col min="23" max="23" width="8.6640625" customWidth="1"/>
    <col min="24" max="24" width="1.6640625" customWidth="1"/>
    <col min="25" max="25" width="5.1640625" customWidth="1"/>
    <col min="26" max="26" width="8.6640625" customWidth="1"/>
    <col min="27" max="27" width="11.1640625" customWidth="1"/>
    <col min="28" max="29" width="8.6640625" customWidth="1"/>
    <col min="30" max="30" width="1.6640625" customWidth="1"/>
    <col min="31" max="31" width="8.6640625" customWidth="1"/>
    <col min="32" max="32" width="7.1640625" customWidth="1"/>
    <col min="33" max="33" width="2.6640625" customWidth="1"/>
    <col min="34" max="34" width="4.1640625" customWidth="1"/>
    <col min="35" max="35" width="7.5" customWidth="1"/>
    <col min="36" max="36" width="5" bestFit="1" customWidth="1"/>
    <col min="37" max="37" width="1.6640625" bestFit="1" customWidth="1"/>
    <col min="38" max="38" width="3.1640625" bestFit="1" customWidth="1"/>
    <col min="39" max="39" width="1.6640625" customWidth="1"/>
    <col min="40" max="42" width="8.6640625" customWidth="1"/>
    <col min="43" max="43" width="1.6640625" customWidth="1"/>
    <col min="44" max="44" width="8.6640625" customWidth="1"/>
  </cols>
  <sheetData>
    <row r="1" spans="1:26" s="225" customFormat="1" ht="14" x14ac:dyDescent="0.2"/>
    <row r="2" spans="1:26" s="225" customFormat="1" ht="14" x14ac:dyDescent="0.2">
      <c r="A2" s="227"/>
      <c r="H2" s="227"/>
    </row>
    <row r="4" spans="1:26" x14ac:dyDescent="0.2">
      <c r="A4" s="64"/>
      <c r="B4" s="64" t="s">
        <v>17</v>
      </c>
      <c r="C4" s="65" t="s">
        <v>15</v>
      </c>
      <c r="D4" s="345" t="s">
        <v>1</v>
      </c>
      <c r="E4" s="345"/>
      <c r="F4" s="345"/>
      <c r="G4" s="345" t="s">
        <v>2</v>
      </c>
      <c r="H4" s="345"/>
      <c r="I4" s="345"/>
      <c r="J4" s="64" t="s">
        <v>3</v>
      </c>
      <c r="K4" s="346" t="s">
        <v>16</v>
      </c>
      <c r="L4" s="345"/>
      <c r="M4" s="345"/>
      <c r="O4" s="328" t="s">
        <v>332</v>
      </c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4"/>
    </row>
    <row r="5" spans="1:26" ht="17" customHeight="1" x14ac:dyDescent="0.2">
      <c r="A5" t="s">
        <v>184</v>
      </c>
      <c r="B5" s="2">
        <v>760</v>
      </c>
      <c r="C5" s="2">
        <f>1950-B5</f>
        <v>1190</v>
      </c>
      <c r="D5" s="63">
        <f>EXP(G5/(-8033))</f>
        <v>0.84720341027472568</v>
      </c>
      <c r="E5" s="2" t="s">
        <v>5</v>
      </c>
      <c r="F5" s="63">
        <f>I5/8033*D5</f>
        <v>1.5156105850319891E-3</v>
      </c>
      <c r="G5" s="66">
        <v>1331.9875520000001</v>
      </c>
      <c r="H5" s="66" t="s">
        <v>5</v>
      </c>
      <c r="I5" s="66">
        <v>14.37069266</v>
      </c>
      <c r="J5" s="308"/>
      <c r="K5" s="308">
        <f>(EXP(C5/8267)*EXP(-G5/8033)-1)*1000</f>
        <v>-21.631265357715201</v>
      </c>
      <c r="L5" s="2" t="s">
        <v>5</v>
      </c>
      <c r="M5" s="308">
        <f>I5/8.033</f>
        <v>1.7889571343209263</v>
      </c>
      <c r="O5" s="323" t="s">
        <v>17</v>
      </c>
      <c r="P5" s="323" t="s">
        <v>15</v>
      </c>
      <c r="Q5" s="356" t="s">
        <v>1</v>
      </c>
      <c r="R5" s="359"/>
      <c r="S5" s="359"/>
      <c r="T5" s="356" t="s">
        <v>2</v>
      </c>
      <c r="U5" s="359"/>
      <c r="V5" s="359"/>
      <c r="W5" s="356" t="s">
        <v>16</v>
      </c>
      <c r="X5" s="359"/>
      <c r="Y5" s="359"/>
      <c r="Z5" s="323" t="s">
        <v>3</v>
      </c>
    </row>
    <row r="6" spans="1:26" x14ac:dyDescent="0.2">
      <c r="A6" t="s">
        <v>185</v>
      </c>
      <c r="B6" s="2">
        <v>761</v>
      </c>
      <c r="C6" s="2">
        <f t="shared" ref="C6:C34" si="0">1950-B6</f>
        <v>1189</v>
      </c>
      <c r="D6" s="63">
        <f t="shared" ref="D6:D34" si="1">EXP(G6/(-8033))</f>
        <v>0.84674206003037211</v>
      </c>
      <c r="E6" s="2" t="s">
        <v>5</v>
      </c>
      <c r="F6" s="63">
        <f t="shared" ref="F6:F34" si="2">I6/8033*D6</f>
        <v>1.5503797946347573E-3</v>
      </c>
      <c r="G6" s="66">
        <v>1336.363167</v>
      </c>
      <c r="H6" s="66" t="s">
        <v>5</v>
      </c>
      <c r="I6" s="66">
        <v>14.70837635</v>
      </c>
      <c r="J6" s="308"/>
      <c r="K6" s="308">
        <f t="shared" ref="K6:K34" si="3">(EXP(C6/8267)*EXP(-G6/8033)-1)*1000</f>
        <v>-22.282317235439052</v>
      </c>
      <c r="L6" s="2" t="s">
        <v>5</v>
      </c>
      <c r="M6" s="308">
        <f t="shared" ref="M6:M34" si="4">I6/8.033</f>
        <v>1.8309941927050917</v>
      </c>
      <c r="O6" s="323">
        <v>770</v>
      </c>
      <c r="P6" s="323">
        <v>1180</v>
      </c>
      <c r="Q6" s="182">
        <v>0.84470311871320503</v>
      </c>
      <c r="R6" s="182" t="s">
        <v>5</v>
      </c>
      <c r="S6" s="182">
        <v>1.53302085370425E-3</v>
      </c>
      <c r="T6" s="183">
        <v>1355.7298290000001</v>
      </c>
      <c r="U6" s="183" t="s">
        <v>5</v>
      </c>
      <c r="V6" s="183">
        <v>14.578798450000001</v>
      </c>
      <c r="W6" s="184">
        <v>-25.697912673283252</v>
      </c>
      <c r="X6" s="184" t="s">
        <v>5</v>
      </c>
      <c r="Y6" s="184">
        <v>1.8148634943358648</v>
      </c>
      <c r="Z6" s="323"/>
    </row>
    <row r="7" spans="1:26" x14ac:dyDescent="0.2">
      <c r="A7" t="s">
        <v>186</v>
      </c>
      <c r="B7" s="2">
        <v>762</v>
      </c>
      <c r="C7" s="2">
        <f t="shared" si="0"/>
        <v>1188</v>
      </c>
      <c r="D7" s="63">
        <f t="shared" si="1"/>
        <v>0.84653886621480279</v>
      </c>
      <c r="E7" s="2" t="s">
        <v>5</v>
      </c>
      <c r="F7" s="63">
        <f t="shared" si="2"/>
        <v>1.7055414528291074E-3</v>
      </c>
      <c r="G7" s="66">
        <v>1338.2910879999999</v>
      </c>
      <c r="H7" s="66" t="s">
        <v>5</v>
      </c>
      <c r="I7" s="66">
        <v>16.184271079999998</v>
      </c>
      <c r="J7" s="308"/>
      <c r="K7" s="308">
        <f t="shared" si="3"/>
        <v>-22.63517344465027</v>
      </c>
      <c r="L7" s="2" t="s">
        <v>5</v>
      </c>
      <c r="M7" s="308">
        <f t="shared" si="4"/>
        <v>2.014723151998008</v>
      </c>
      <c r="O7" s="323">
        <v>770</v>
      </c>
      <c r="P7" s="323">
        <v>1180</v>
      </c>
      <c r="Q7" s="182">
        <v>0.84640000000000004</v>
      </c>
      <c r="R7" s="182" t="s">
        <v>5</v>
      </c>
      <c r="S7" s="182">
        <v>1.8E-3</v>
      </c>
      <c r="T7" s="183">
        <v>1339.6089292147938</v>
      </c>
      <c r="U7" s="183" t="s">
        <v>5</v>
      </c>
      <c r="V7" s="183">
        <v>17.083412098298677</v>
      </c>
      <c r="W7" s="184">
        <v>-23.740686586337322</v>
      </c>
      <c r="X7" s="184" t="s">
        <v>5</v>
      </c>
      <c r="Y7" s="184">
        <v>2.1266540642722118</v>
      </c>
      <c r="Z7" s="323">
        <v>-19.600000000000001</v>
      </c>
    </row>
    <row r="8" spans="1:26" x14ac:dyDescent="0.2">
      <c r="A8" t="s">
        <v>187</v>
      </c>
      <c r="B8" s="2">
        <v>763</v>
      </c>
      <c r="C8" s="2">
        <f t="shared" si="0"/>
        <v>1187</v>
      </c>
      <c r="D8" s="63">
        <f t="shared" si="1"/>
        <v>0.84560576850802194</v>
      </c>
      <c r="E8" s="2" t="s">
        <v>5</v>
      </c>
      <c r="F8" s="63">
        <f t="shared" si="2"/>
        <v>1.5045660622103919E-3</v>
      </c>
      <c r="G8" s="66">
        <v>1347.1503479999999</v>
      </c>
      <c r="H8" s="66" t="s">
        <v>5</v>
      </c>
      <c r="I8" s="66">
        <v>14.292924230000001</v>
      </c>
      <c r="J8" s="308"/>
      <c r="K8" s="308">
        <f t="shared" si="3"/>
        <v>-23.830561496909986</v>
      </c>
      <c r="L8" s="2" t="s">
        <v>5</v>
      </c>
      <c r="M8" s="308">
        <f t="shared" si="4"/>
        <v>1.7792760151873523</v>
      </c>
      <c r="O8" s="323">
        <v>771</v>
      </c>
      <c r="P8" s="323">
        <v>1179</v>
      </c>
      <c r="Q8" s="182">
        <v>0.84627647920616589</v>
      </c>
      <c r="R8" s="182" t="s">
        <v>5</v>
      </c>
      <c r="S8" s="182">
        <v>1.4495492480258981E-3</v>
      </c>
      <c r="T8" s="183">
        <v>1340.781324</v>
      </c>
      <c r="U8" s="183" t="s">
        <v>5</v>
      </c>
      <c r="V8" s="183">
        <v>13.75936753</v>
      </c>
      <c r="W8" s="184">
        <v>-24.001225363512457</v>
      </c>
      <c r="X8" s="184" t="s">
        <v>5</v>
      </c>
      <c r="Y8" s="184">
        <v>1.7128554126727251</v>
      </c>
      <c r="Z8" s="323"/>
    </row>
    <row r="9" spans="1:26" x14ac:dyDescent="0.2">
      <c r="A9" t="s">
        <v>188</v>
      </c>
      <c r="B9" s="2">
        <v>764</v>
      </c>
      <c r="C9" s="2">
        <f t="shared" si="0"/>
        <v>1186</v>
      </c>
      <c r="D9" s="63">
        <f t="shared" si="1"/>
        <v>0.84712377868973021</v>
      </c>
      <c r="E9" s="2" t="s">
        <v>5</v>
      </c>
      <c r="F9" s="63">
        <f t="shared" si="2"/>
        <v>1.4966376384217366E-3</v>
      </c>
      <c r="G9" s="66">
        <v>1332.7426370000001</v>
      </c>
      <c r="H9" s="66" t="s">
        <v>5</v>
      </c>
      <c r="I9" s="66">
        <v>14.19212924</v>
      </c>
      <c r="J9" s="308"/>
      <c r="K9" s="308">
        <f t="shared" si="3"/>
        <v>-22.196451774581959</v>
      </c>
      <c r="L9" s="2" t="s">
        <v>5</v>
      </c>
      <c r="M9" s="308">
        <f t="shared" si="4"/>
        <v>1.7667284003485624</v>
      </c>
      <c r="O9" s="323">
        <v>771</v>
      </c>
      <c r="P9" s="323">
        <v>1179</v>
      </c>
      <c r="Q9" s="182">
        <v>0.83450000000000002</v>
      </c>
      <c r="R9" s="182" t="s">
        <v>5</v>
      </c>
      <c r="S9" s="182">
        <v>1.8E-3</v>
      </c>
      <c r="T9" s="183">
        <v>1453.3507307260263</v>
      </c>
      <c r="U9" s="183" t="s">
        <v>5</v>
      </c>
      <c r="V9" s="183">
        <v>17.327022168963449</v>
      </c>
      <c r="W9" s="184">
        <v>-37.582873391272308</v>
      </c>
      <c r="X9" s="184" t="s">
        <v>5</v>
      </c>
      <c r="Y9" s="184">
        <v>2.1569802276812462</v>
      </c>
      <c r="Z9" s="323">
        <v>-22.4</v>
      </c>
    </row>
    <row r="10" spans="1:26" x14ac:dyDescent="0.2">
      <c r="A10" t="s">
        <v>189</v>
      </c>
      <c r="B10" s="2">
        <v>765</v>
      </c>
      <c r="C10" s="2">
        <f t="shared" si="0"/>
        <v>1185</v>
      </c>
      <c r="D10" s="63">
        <f t="shared" si="1"/>
        <v>0.84723836665287511</v>
      </c>
      <c r="E10" s="2" t="s">
        <v>5</v>
      </c>
      <c r="F10" s="63">
        <f t="shared" si="2"/>
        <v>1.0548593807938745E-3</v>
      </c>
      <c r="G10" s="66">
        <v>1331.6561099999999</v>
      </c>
      <c r="H10" s="66" t="s">
        <v>5</v>
      </c>
      <c r="I10" s="66">
        <v>10.00153645</v>
      </c>
      <c r="J10" s="308"/>
      <c r="K10" s="308">
        <f t="shared" si="3"/>
        <v>-22.182473902929377</v>
      </c>
      <c r="L10" s="2" t="s">
        <v>5</v>
      </c>
      <c r="M10" s="308">
        <f t="shared" si="4"/>
        <v>1.2450561994273621</v>
      </c>
      <c r="O10" s="323">
        <v>772</v>
      </c>
      <c r="P10" s="323">
        <v>1178</v>
      </c>
      <c r="Q10" s="182">
        <v>0.84894627810685874</v>
      </c>
      <c r="R10" s="182" t="s">
        <v>5</v>
      </c>
      <c r="S10" s="182">
        <v>1.0635424659662734E-3</v>
      </c>
      <c r="T10" s="183">
        <v>1315.47903</v>
      </c>
      <c r="U10" s="183" t="s">
        <v>5</v>
      </c>
      <c r="V10" s="183">
        <v>10.063577459999999</v>
      </c>
      <c r="W10" s="184">
        <v>-21.040608692218466</v>
      </c>
      <c r="X10" s="184" t="s">
        <v>5</v>
      </c>
      <c r="Y10" s="184">
        <v>1.252779467197809</v>
      </c>
      <c r="Z10" s="323"/>
    </row>
    <row r="11" spans="1:26" x14ac:dyDescent="0.2">
      <c r="A11" t="s">
        <v>190</v>
      </c>
      <c r="B11" s="2">
        <v>766</v>
      </c>
      <c r="C11" s="2">
        <f t="shared" si="0"/>
        <v>1184</v>
      </c>
      <c r="D11" s="63">
        <f t="shared" si="1"/>
        <v>0.84860510631362218</v>
      </c>
      <c r="E11" s="2" t="s">
        <v>5</v>
      </c>
      <c r="F11" s="63">
        <f t="shared" si="2"/>
        <v>1.5452560761377986E-3</v>
      </c>
      <c r="G11" s="66">
        <v>1318.7079550000001</v>
      </c>
      <c r="H11" s="66" t="s">
        <v>5</v>
      </c>
      <c r="I11" s="66">
        <v>14.627583509999999</v>
      </c>
      <c r="J11" s="308"/>
      <c r="K11" s="308">
        <f t="shared" si="3"/>
        <v>-20.723551086205827</v>
      </c>
      <c r="L11" s="2" t="s">
        <v>5</v>
      </c>
      <c r="M11" s="308">
        <f t="shared" si="4"/>
        <v>1.8209365753765716</v>
      </c>
      <c r="O11" s="323">
        <v>772</v>
      </c>
      <c r="P11" s="323">
        <v>1178</v>
      </c>
      <c r="Q11" s="182">
        <v>0.84960000000000002</v>
      </c>
      <c r="R11" s="182" t="s">
        <v>5</v>
      </c>
      <c r="S11" s="182">
        <v>1.9E-3</v>
      </c>
      <c r="T11" s="183">
        <v>1309.2956856960184</v>
      </c>
      <c r="U11" s="183" t="s">
        <v>5</v>
      </c>
      <c r="V11" s="183">
        <v>17.964571563088512</v>
      </c>
      <c r="W11" s="184">
        <v>-20.286771608414632</v>
      </c>
      <c r="X11" s="184" t="s">
        <v>5</v>
      </c>
      <c r="Y11" s="184">
        <v>2.2363465160075329</v>
      </c>
      <c r="Z11" s="323">
        <v>-26.3</v>
      </c>
    </row>
    <row r="12" spans="1:26" x14ac:dyDescent="0.2">
      <c r="A12" t="s">
        <v>191</v>
      </c>
      <c r="B12" s="2">
        <v>767</v>
      </c>
      <c r="C12" s="2">
        <f t="shared" si="0"/>
        <v>1183</v>
      </c>
      <c r="D12" s="63">
        <f t="shared" si="1"/>
        <v>0.84796008991336869</v>
      </c>
      <c r="E12" s="2" t="s">
        <v>5</v>
      </c>
      <c r="F12" s="63">
        <f t="shared" si="2"/>
        <v>1.5138459739789999E-3</v>
      </c>
      <c r="G12" s="66">
        <v>1324.8160809999999</v>
      </c>
      <c r="H12" s="66" t="s">
        <v>5</v>
      </c>
      <c r="I12" s="66">
        <v>14.3411522</v>
      </c>
      <c r="J12" s="308"/>
      <c r="K12" s="308">
        <f t="shared" si="3"/>
        <v>-21.586248377919116</v>
      </c>
      <c r="L12" s="2" t="s">
        <v>5</v>
      </c>
      <c r="M12" s="308">
        <f t="shared" si="4"/>
        <v>1.785279746047554</v>
      </c>
      <c r="O12" s="323">
        <v>773</v>
      </c>
      <c r="P12" s="323">
        <v>1177</v>
      </c>
      <c r="Q12" s="182">
        <v>0.84862189043711334</v>
      </c>
      <c r="R12" s="182" t="s">
        <v>5</v>
      </c>
      <c r="S12" s="182">
        <v>1.0800417338830664E-3</v>
      </c>
      <c r="T12" s="183">
        <v>1318.549076</v>
      </c>
      <c r="U12" s="183" t="s">
        <v>5</v>
      </c>
      <c r="V12" s="183">
        <v>10.22360529</v>
      </c>
      <c r="W12" s="184">
        <v>-21.533040508617816</v>
      </c>
      <c r="X12" s="184" t="s">
        <v>5</v>
      </c>
      <c r="Y12" s="184">
        <v>1.2727007705713931</v>
      </c>
      <c r="Z12" s="323"/>
    </row>
    <row r="13" spans="1:26" x14ac:dyDescent="0.2">
      <c r="A13" t="s">
        <v>192</v>
      </c>
      <c r="B13" s="2">
        <v>768</v>
      </c>
      <c r="C13" s="2">
        <f t="shared" si="0"/>
        <v>1182</v>
      </c>
      <c r="D13" s="63">
        <f t="shared" si="1"/>
        <v>0.84482354707164431</v>
      </c>
      <c r="E13" s="2" t="s">
        <v>5</v>
      </c>
      <c r="F13" s="63">
        <f t="shared" si="2"/>
        <v>1.5571642654508492E-3</v>
      </c>
      <c r="G13" s="66">
        <v>1354.5846550000001</v>
      </c>
      <c r="H13" s="66" t="s">
        <v>5</v>
      </c>
      <c r="I13" s="66">
        <v>14.80628776</v>
      </c>
      <c r="J13" s="308"/>
      <c r="K13" s="308">
        <f t="shared" si="3"/>
        <v>-25.32323667232972</v>
      </c>
      <c r="L13" s="2" t="s">
        <v>5</v>
      </c>
      <c r="M13" s="308">
        <f t="shared" si="4"/>
        <v>1.8431828407817754</v>
      </c>
      <c r="O13" s="323">
        <v>773</v>
      </c>
      <c r="P13" s="323">
        <v>1177</v>
      </c>
      <c r="Q13" s="182">
        <v>0.85019999999999996</v>
      </c>
      <c r="R13" s="182" t="s">
        <v>5</v>
      </c>
      <c r="S13" s="182">
        <v>1.8E-3</v>
      </c>
      <c r="T13" s="183">
        <v>1303.6246653404746</v>
      </c>
      <c r="U13" s="183" t="s">
        <v>5</v>
      </c>
      <c r="V13" s="183">
        <v>17.007057163020466</v>
      </c>
      <c r="W13" s="184">
        <v>-19.713469174031385</v>
      </c>
      <c r="X13" s="184" t="s">
        <v>5</v>
      </c>
      <c r="Y13" s="184">
        <v>2.1171489061397319</v>
      </c>
      <c r="Z13" s="323">
        <v>-22</v>
      </c>
    </row>
    <row r="14" spans="1:26" x14ac:dyDescent="0.2">
      <c r="A14" t="s">
        <v>193</v>
      </c>
      <c r="B14" s="2">
        <v>769</v>
      </c>
      <c r="C14" s="2">
        <f t="shared" si="0"/>
        <v>1181</v>
      </c>
      <c r="D14" s="63">
        <f t="shared" si="1"/>
        <v>0.84468734258654621</v>
      </c>
      <c r="E14" s="2" t="s">
        <v>5</v>
      </c>
      <c r="F14" s="63">
        <f t="shared" si="2"/>
        <v>1.0138878071840923E-3</v>
      </c>
      <c r="G14" s="66">
        <v>1355.8798589999999</v>
      </c>
      <c r="H14" s="66" t="s">
        <v>5</v>
      </c>
      <c r="I14" s="66">
        <v>9.6421010999999996</v>
      </c>
      <c r="J14" s="308"/>
      <c r="K14" s="308">
        <f t="shared" si="3"/>
        <v>-25.598249961188756</v>
      </c>
      <c r="L14" s="2" t="s">
        <v>5</v>
      </c>
      <c r="M14" s="308">
        <f t="shared" si="4"/>
        <v>1.2003113531681813</v>
      </c>
      <c r="O14" s="323">
        <v>774</v>
      </c>
      <c r="P14" s="323">
        <v>1176</v>
      </c>
      <c r="Q14" s="182">
        <v>0.84707469712929406</v>
      </c>
      <c r="R14" s="182" t="s">
        <v>5</v>
      </c>
      <c r="S14" s="182">
        <v>1.4585914395946959E-3</v>
      </c>
      <c r="T14" s="183">
        <v>1333.208075</v>
      </c>
      <c r="U14" s="183" t="s">
        <v>5</v>
      </c>
      <c r="V14" s="183">
        <v>13.8321509</v>
      </c>
      <c r="W14" s="184">
        <v>-23.435100417816599</v>
      </c>
      <c r="X14" s="184" t="s">
        <v>5</v>
      </c>
      <c r="Y14" s="184">
        <v>1.7219159591684303</v>
      </c>
      <c r="Z14" s="323"/>
    </row>
    <row r="15" spans="1:26" x14ac:dyDescent="0.2">
      <c r="A15" t="s">
        <v>194</v>
      </c>
      <c r="B15" s="2">
        <v>770</v>
      </c>
      <c r="C15" s="2">
        <f t="shared" si="0"/>
        <v>1180</v>
      </c>
      <c r="D15" s="63">
        <f t="shared" si="1"/>
        <v>0.84470311871320503</v>
      </c>
      <c r="E15" s="2" t="s">
        <v>5</v>
      </c>
      <c r="F15" s="63">
        <f t="shared" si="2"/>
        <v>1.53302085370425E-3</v>
      </c>
      <c r="G15" s="66">
        <v>1355.7298290000001</v>
      </c>
      <c r="H15" s="66" t="s">
        <v>5</v>
      </c>
      <c r="I15" s="66">
        <v>14.578798450000001</v>
      </c>
      <c r="J15" s="2"/>
      <c r="K15" s="308">
        <f t="shared" si="3"/>
        <v>-25.697912673283252</v>
      </c>
      <c r="L15" s="2" t="s">
        <v>5</v>
      </c>
      <c r="M15" s="308">
        <f t="shared" si="4"/>
        <v>1.8148634943358648</v>
      </c>
      <c r="O15" s="181">
        <v>774</v>
      </c>
      <c r="P15" s="181">
        <v>1176</v>
      </c>
      <c r="Q15" s="182">
        <v>0.84809999999999997</v>
      </c>
      <c r="R15" s="182" t="s">
        <v>5</v>
      </c>
      <c r="S15" s="182">
        <v>1.8E-3</v>
      </c>
      <c r="T15" s="183">
        <v>1323.4907768611399</v>
      </c>
      <c r="U15" s="183" t="s">
        <v>5</v>
      </c>
      <c r="V15" s="183">
        <v>17.049168730102583</v>
      </c>
      <c r="W15" s="184">
        <v>-22.253062046979299</v>
      </c>
      <c r="X15" s="184" t="s">
        <v>5</v>
      </c>
      <c r="Y15" s="184">
        <v>2.1223912274495933</v>
      </c>
      <c r="Z15" s="181">
        <v>-19.8</v>
      </c>
    </row>
    <row r="16" spans="1:26" x14ac:dyDescent="0.2">
      <c r="A16" t="s">
        <v>195</v>
      </c>
      <c r="B16" s="2">
        <v>771</v>
      </c>
      <c r="C16" s="2">
        <f t="shared" si="0"/>
        <v>1179</v>
      </c>
      <c r="D16" s="63">
        <f t="shared" si="1"/>
        <v>0.84627647920616589</v>
      </c>
      <c r="E16" s="2" t="s">
        <v>5</v>
      </c>
      <c r="F16" s="63">
        <f t="shared" si="2"/>
        <v>1.4495492480258981E-3</v>
      </c>
      <c r="G16" s="66">
        <v>1340.781324</v>
      </c>
      <c r="H16" s="66" t="s">
        <v>5</v>
      </c>
      <c r="I16" s="66">
        <v>13.75936753</v>
      </c>
      <c r="J16" s="2"/>
      <c r="K16" s="308">
        <f t="shared" si="3"/>
        <v>-24.001225363512457</v>
      </c>
      <c r="L16" s="2" t="s">
        <v>5</v>
      </c>
      <c r="M16" s="308">
        <f t="shared" si="4"/>
        <v>1.7128554126727251</v>
      </c>
      <c r="O16" s="181">
        <v>774.8</v>
      </c>
      <c r="P16" s="181">
        <v>1175.2</v>
      </c>
      <c r="Q16" s="182">
        <v>0.8574278919932109</v>
      </c>
      <c r="R16" s="182" t="s">
        <v>5</v>
      </c>
      <c r="S16" s="182">
        <v>1.6273647342187152E-3</v>
      </c>
      <c r="T16" s="183">
        <v>1235.6215560000001</v>
      </c>
      <c r="U16" s="183" t="s">
        <v>5</v>
      </c>
      <c r="V16" s="183">
        <v>15.24632104</v>
      </c>
      <c r="W16" s="184">
        <v>-11.594891279893993</v>
      </c>
      <c r="X16" s="184" t="s">
        <v>5</v>
      </c>
      <c r="Y16" s="184">
        <v>1.8979610407070833</v>
      </c>
      <c r="Z16" s="181"/>
    </row>
    <row r="17" spans="1:38" x14ac:dyDescent="0.2">
      <c r="A17" t="s">
        <v>196</v>
      </c>
      <c r="B17" s="2">
        <v>772</v>
      </c>
      <c r="C17" s="2">
        <f t="shared" si="0"/>
        <v>1178</v>
      </c>
      <c r="D17" s="63">
        <f t="shared" si="1"/>
        <v>0.84894627810685874</v>
      </c>
      <c r="E17" s="2" t="s">
        <v>5</v>
      </c>
      <c r="F17" s="63">
        <f t="shared" si="2"/>
        <v>1.0635424659662734E-3</v>
      </c>
      <c r="G17" s="66">
        <v>1315.47903</v>
      </c>
      <c r="H17" s="66" t="s">
        <v>5</v>
      </c>
      <c r="I17" s="66">
        <v>10.063577459999999</v>
      </c>
      <c r="J17" s="2"/>
      <c r="K17" s="308">
        <f t="shared" si="3"/>
        <v>-21.040608692218466</v>
      </c>
      <c r="L17" s="2" t="s">
        <v>5</v>
      </c>
      <c r="M17" s="308">
        <f t="shared" si="4"/>
        <v>1.252779467197809</v>
      </c>
      <c r="O17" s="181">
        <v>775</v>
      </c>
      <c r="P17" s="181">
        <v>1175</v>
      </c>
      <c r="Q17" s="182">
        <v>0.85680000000000001</v>
      </c>
      <c r="R17" s="182" t="s">
        <v>5</v>
      </c>
      <c r="S17" s="182">
        <v>1.8E-3</v>
      </c>
      <c r="T17" s="183">
        <v>1241.5062538637881</v>
      </c>
      <c r="U17" s="183" t="s">
        <v>5</v>
      </c>
      <c r="V17" s="183">
        <v>16.876050420168067</v>
      </c>
      <c r="W17" s="184">
        <v>-12.342591777201427</v>
      </c>
      <c r="X17" s="184" t="s">
        <v>5</v>
      </c>
      <c r="Y17" s="184">
        <v>2.1008403361344539</v>
      </c>
      <c r="Z17" s="181">
        <v>-19.7</v>
      </c>
      <c r="AA17" s="173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</row>
    <row r="18" spans="1:38" x14ac:dyDescent="0.2">
      <c r="A18" t="s">
        <v>197</v>
      </c>
      <c r="B18" s="2">
        <v>773</v>
      </c>
      <c r="C18" s="2">
        <f t="shared" si="0"/>
        <v>1177</v>
      </c>
      <c r="D18" s="63">
        <f t="shared" si="1"/>
        <v>0.84862189043711334</v>
      </c>
      <c r="E18" s="2" t="s">
        <v>5</v>
      </c>
      <c r="F18" s="63">
        <f t="shared" si="2"/>
        <v>1.0800417338830664E-3</v>
      </c>
      <c r="G18" s="66">
        <v>1318.549076</v>
      </c>
      <c r="H18" s="66" t="s">
        <v>5</v>
      </c>
      <c r="I18" s="66">
        <v>10.22360529</v>
      </c>
      <c r="J18" s="2"/>
      <c r="K18" s="308">
        <f t="shared" si="3"/>
        <v>-21.533040508617816</v>
      </c>
      <c r="L18" s="2" t="s">
        <v>5</v>
      </c>
      <c r="M18" s="308">
        <f t="shared" si="4"/>
        <v>1.2727007705713931</v>
      </c>
      <c r="O18" s="181">
        <v>775.2</v>
      </c>
      <c r="P18" s="181">
        <v>1174.8</v>
      </c>
      <c r="Q18" s="182">
        <v>0.86144088396073015</v>
      </c>
      <c r="R18" s="182" t="s">
        <v>5</v>
      </c>
      <c r="S18" s="182">
        <v>1.7395041132024236E-3</v>
      </c>
      <c r="T18" s="183">
        <v>1198.112674</v>
      </c>
      <c r="U18" s="183" t="s">
        <v>5</v>
      </c>
      <c r="V18" s="183">
        <v>16.221004600000001</v>
      </c>
      <c r="W18" s="184">
        <v>-7.0169376834109398</v>
      </c>
      <c r="X18" s="184" t="s">
        <v>5</v>
      </c>
      <c r="Y18" s="184">
        <v>2.0192959790862695</v>
      </c>
      <c r="Z18" s="181"/>
      <c r="AA18" s="173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</row>
    <row r="19" spans="1:38" x14ac:dyDescent="0.2">
      <c r="A19" t="s">
        <v>198</v>
      </c>
      <c r="B19" s="2">
        <v>774</v>
      </c>
      <c r="C19" s="2">
        <f t="shared" si="0"/>
        <v>1176</v>
      </c>
      <c r="D19" s="63">
        <f t="shared" si="1"/>
        <v>0.84707469712929406</v>
      </c>
      <c r="E19" s="2" t="s">
        <v>5</v>
      </c>
      <c r="F19" s="63">
        <f t="shared" si="2"/>
        <v>1.4585914395946959E-3</v>
      </c>
      <c r="G19" s="66">
        <v>1333.208075</v>
      </c>
      <c r="H19" s="66" t="s">
        <v>5</v>
      </c>
      <c r="I19" s="66">
        <v>13.8321509</v>
      </c>
      <c r="J19" s="2"/>
      <c r="K19" s="308">
        <f t="shared" si="3"/>
        <v>-23.435100417816599</v>
      </c>
      <c r="L19" s="2" t="s">
        <v>5</v>
      </c>
      <c r="M19" s="308">
        <f t="shared" si="4"/>
        <v>1.7219159591684303</v>
      </c>
      <c r="O19" s="181">
        <v>776</v>
      </c>
      <c r="P19" s="181">
        <v>1174</v>
      </c>
      <c r="Q19" s="182">
        <v>0.86102704770021776</v>
      </c>
      <c r="R19" s="182" t="s">
        <v>5</v>
      </c>
      <c r="S19" s="182">
        <v>1.1149908769984504E-3</v>
      </c>
      <c r="T19" s="183">
        <v>1201.972655</v>
      </c>
      <c r="U19" s="183" t="s">
        <v>5</v>
      </c>
      <c r="V19" s="183">
        <v>10.40236975</v>
      </c>
      <c r="W19" s="184">
        <v>-7.5900072667066665</v>
      </c>
      <c r="X19" s="184" t="s">
        <v>5</v>
      </c>
      <c r="Y19" s="184">
        <v>1.294954531308353</v>
      </c>
      <c r="Z19" s="181"/>
      <c r="AA19" s="173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</row>
    <row r="20" spans="1:38" x14ac:dyDescent="0.2">
      <c r="A20" t="s">
        <v>199</v>
      </c>
      <c r="B20" s="2">
        <v>774.8</v>
      </c>
      <c r="C20" s="2">
        <f t="shared" si="0"/>
        <v>1175.2</v>
      </c>
      <c r="D20" s="63">
        <f t="shared" si="1"/>
        <v>0.8574278919932109</v>
      </c>
      <c r="E20" s="2" t="s">
        <v>5</v>
      </c>
      <c r="F20" s="63">
        <f t="shared" si="2"/>
        <v>1.6273647342187152E-3</v>
      </c>
      <c r="G20" s="66">
        <v>1235.6215560000001</v>
      </c>
      <c r="H20" s="66" t="s">
        <v>5</v>
      </c>
      <c r="I20" s="66">
        <v>15.24632104</v>
      </c>
      <c r="J20" s="2"/>
      <c r="K20" s="308">
        <f t="shared" si="3"/>
        <v>-11.594891279893993</v>
      </c>
      <c r="L20" s="2" t="s">
        <v>5</v>
      </c>
      <c r="M20" s="308">
        <f t="shared" si="4"/>
        <v>1.8979610407070833</v>
      </c>
      <c r="O20" s="181">
        <v>776</v>
      </c>
      <c r="P20" s="181">
        <v>1174</v>
      </c>
      <c r="Q20" s="182">
        <v>0.86070000000000002</v>
      </c>
      <c r="R20" s="182" t="s">
        <v>5</v>
      </c>
      <c r="S20" s="182">
        <v>1.9E-3</v>
      </c>
      <c r="T20" s="183">
        <v>1205.0244444354473</v>
      </c>
      <c r="U20" s="183" t="s">
        <v>5</v>
      </c>
      <c r="V20" s="183">
        <v>17.73289183222958</v>
      </c>
      <c r="W20" s="184">
        <v>-7.9669587302680922</v>
      </c>
      <c r="X20" s="184" t="s">
        <v>5</v>
      </c>
      <c r="Y20" s="184">
        <v>2.2075055187637971</v>
      </c>
      <c r="Z20" s="181">
        <v>-22.6</v>
      </c>
      <c r="AA20" s="173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</row>
    <row r="21" spans="1:38" x14ac:dyDescent="0.2">
      <c r="A21" t="s">
        <v>200</v>
      </c>
      <c r="B21" s="2">
        <v>775.2</v>
      </c>
      <c r="C21" s="2">
        <f t="shared" si="0"/>
        <v>1174.8</v>
      </c>
      <c r="D21" s="63">
        <f t="shared" si="1"/>
        <v>0.86144088396073015</v>
      </c>
      <c r="E21" s="2" t="s">
        <v>5</v>
      </c>
      <c r="F21" s="63">
        <f t="shared" si="2"/>
        <v>1.7395041132024236E-3</v>
      </c>
      <c r="G21" s="66">
        <v>1198.112674</v>
      </c>
      <c r="H21" s="66" t="s">
        <v>5</v>
      </c>
      <c r="I21" s="66">
        <v>16.221004600000001</v>
      </c>
      <c r="J21" s="2"/>
      <c r="K21" s="308">
        <f t="shared" si="3"/>
        <v>-7.0169376834109398</v>
      </c>
      <c r="L21" s="2" t="s">
        <v>5</v>
      </c>
      <c r="M21" s="308">
        <f t="shared" si="4"/>
        <v>2.0192959790862695</v>
      </c>
      <c r="O21" s="181">
        <v>777</v>
      </c>
      <c r="P21" s="181">
        <v>1173</v>
      </c>
      <c r="Q21" s="182">
        <v>0.85929758320931804</v>
      </c>
      <c r="R21" s="182" t="s">
        <v>5</v>
      </c>
      <c r="S21" s="182">
        <v>1.5274774420334636E-3</v>
      </c>
      <c r="T21" s="183">
        <v>1218.1240170000001</v>
      </c>
      <c r="U21" s="183" t="s">
        <v>5</v>
      </c>
      <c r="V21" s="183">
        <v>14.279367860000001</v>
      </c>
      <c r="W21" s="184">
        <v>-9.7031647769398877</v>
      </c>
      <c r="X21" s="184" t="s">
        <v>5</v>
      </c>
      <c r="Y21" s="184">
        <v>1.7775884302253206</v>
      </c>
      <c r="Z21" s="181"/>
      <c r="AA21" s="173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</row>
    <row r="22" spans="1:38" x14ac:dyDescent="0.2">
      <c r="A22" t="s">
        <v>201</v>
      </c>
      <c r="B22" s="2">
        <v>776</v>
      </c>
      <c r="C22" s="2">
        <f t="shared" si="0"/>
        <v>1174</v>
      </c>
      <c r="D22" s="63">
        <f t="shared" si="1"/>
        <v>0.86102704770021776</v>
      </c>
      <c r="E22" s="2" t="s">
        <v>5</v>
      </c>
      <c r="F22" s="63">
        <f t="shared" si="2"/>
        <v>1.1149908769984504E-3</v>
      </c>
      <c r="G22" s="66">
        <v>1201.972655</v>
      </c>
      <c r="H22" s="66" t="s">
        <v>5</v>
      </c>
      <c r="I22" s="66">
        <v>10.40236975</v>
      </c>
      <c r="J22" s="2"/>
      <c r="K22" s="308">
        <f t="shared" si="3"/>
        <v>-7.5900072667066665</v>
      </c>
      <c r="L22" s="2" t="s">
        <v>5</v>
      </c>
      <c r="M22" s="308">
        <f t="shared" si="4"/>
        <v>1.294954531308353</v>
      </c>
      <c r="O22" s="181">
        <v>777</v>
      </c>
      <c r="P22" s="181">
        <v>1173</v>
      </c>
      <c r="Q22" s="182">
        <v>0.86309999999999998</v>
      </c>
      <c r="R22" s="182" t="s">
        <v>5</v>
      </c>
      <c r="S22" s="182">
        <v>1.8E-3</v>
      </c>
      <c r="T22" s="183">
        <v>1182.6561738041667</v>
      </c>
      <c r="U22" s="183" t="s">
        <v>5</v>
      </c>
      <c r="V22" s="183">
        <v>16.752867570385821</v>
      </c>
      <c r="W22" s="184">
        <v>-5.3210724871561865</v>
      </c>
      <c r="X22" s="184" t="s">
        <v>5</v>
      </c>
      <c r="Y22" s="184">
        <v>2.0855057351407722</v>
      </c>
      <c r="Z22" s="181">
        <v>-21.2</v>
      </c>
      <c r="AA22" s="173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</row>
    <row r="23" spans="1:38" x14ac:dyDescent="0.2">
      <c r="A23" t="s">
        <v>202</v>
      </c>
      <c r="B23" s="2">
        <v>777</v>
      </c>
      <c r="C23" s="2">
        <f t="shared" si="0"/>
        <v>1173</v>
      </c>
      <c r="D23" s="63">
        <f t="shared" si="1"/>
        <v>0.85929758320931804</v>
      </c>
      <c r="E23" s="2" t="s">
        <v>5</v>
      </c>
      <c r="F23" s="63">
        <f t="shared" si="2"/>
        <v>1.5274774420334636E-3</v>
      </c>
      <c r="G23" s="66">
        <v>1218.1240170000001</v>
      </c>
      <c r="H23" s="66" t="s">
        <v>5</v>
      </c>
      <c r="I23" s="66">
        <v>14.279367860000001</v>
      </c>
      <c r="J23" s="2"/>
      <c r="K23" s="308">
        <f t="shared" si="3"/>
        <v>-9.7031647769398877</v>
      </c>
      <c r="L23" s="2" t="s">
        <v>5</v>
      </c>
      <c r="M23" s="308">
        <f t="shared" si="4"/>
        <v>1.7775884302253206</v>
      </c>
      <c r="O23" s="181">
        <v>778</v>
      </c>
      <c r="P23" s="181">
        <v>1172</v>
      </c>
      <c r="Q23" s="182">
        <v>0.85812710747345144</v>
      </c>
      <c r="R23" s="182" t="s">
        <v>5</v>
      </c>
      <c r="S23" s="182">
        <v>1.5060462204178715E-3</v>
      </c>
      <c r="T23" s="183">
        <v>1229.0734729999999</v>
      </c>
      <c r="U23" s="183" t="s">
        <v>5</v>
      </c>
      <c r="V23" s="183">
        <v>14.09822529</v>
      </c>
      <c r="W23" s="184">
        <v>-11.171697371993194</v>
      </c>
      <c r="X23" s="184" t="s">
        <v>5</v>
      </c>
      <c r="Y23" s="184">
        <v>1.7550386269139799</v>
      </c>
      <c r="Z23" s="181"/>
      <c r="AA23" s="173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</row>
    <row r="24" spans="1:38" x14ac:dyDescent="0.2">
      <c r="A24" t="s">
        <v>203</v>
      </c>
      <c r="B24" s="2">
        <v>778</v>
      </c>
      <c r="C24" s="2">
        <f t="shared" si="0"/>
        <v>1172</v>
      </c>
      <c r="D24" s="63">
        <f t="shared" si="1"/>
        <v>0.85812710747345144</v>
      </c>
      <c r="E24" s="2" t="s">
        <v>5</v>
      </c>
      <c r="F24" s="63">
        <f t="shared" si="2"/>
        <v>1.5060462204178715E-3</v>
      </c>
      <c r="G24" s="66">
        <v>1229.0734729999999</v>
      </c>
      <c r="H24" s="66" t="s">
        <v>5</v>
      </c>
      <c r="I24" s="66">
        <v>14.09822529</v>
      </c>
      <c r="J24" s="2"/>
      <c r="K24" s="308">
        <f t="shared" si="3"/>
        <v>-11.171697371993194</v>
      </c>
      <c r="L24" s="2" t="s">
        <v>5</v>
      </c>
      <c r="M24" s="308">
        <f t="shared" si="4"/>
        <v>1.7550386269139799</v>
      </c>
      <c r="O24" s="181">
        <v>778</v>
      </c>
      <c r="P24" s="181">
        <v>1172</v>
      </c>
      <c r="Q24" s="182">
        <v>0.85609999999999997</v>
      </c>
      <c r="R24" s="182" t="s">
        <v>5</v>
      </c>
      <c r="S24" s="182">
        <v>2E-3</v>
      </c>
      <c r="T24" s="183">
        <v>1248.0718447482889</v>
      </c>
      <c r="U24" s="183" t="s">
        <v>5</v>
      </c>
      <c r="V24" s="183">
        <v>18.766499240742903</v>
      </c>
      <c r="W24" s="184">
        <v>-13.507553243181425</v>
      </c>
      <c r="X24" s="184" t="s">
        <v>5</v>
      </c>
      <c r="Y24" s="184">
        <v>2.3361756804111669</v>
      </c>
      <c r="Z24" s="181">
        <v>-22.3</v>
      </c>
      <c r="AA24" s="173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</row>
    <row r="25" spans="1:38" x14ac:dyDescent="0.2">
      <c r="A25" t="s">
        <v>204</v>
      </c>
      <c r="B25" s="2">
        <v>779</v>
      </c>
      <c r="C25" s="2">
        <f t="shared" si="0"/>
        <v>1171</v>
      </c>
      <c r="D25" s="63">
        <f t="shared" si="1"/>
        <v>0.85921981949465298</v>
      </c>
      <c r="E25" s="2" t="s">
        <v>5</v>
      </c>
      <c r="F25" s="63">
        <f t="shared" si="2"/>
        <v>1.1381753828866182E-3</v>
      </c>
      <c r="G25" s="66">
        <v>1218.851011</v>
      </c>
      <c r="H25" s="66" t="s">
        <v>5</v>
      </c>
      <c r="I25" s="66">
        <v>10.641005529999999</v>
      </c>
      <c r="J25" s="2"/>
      <c r="K25" s="308">
        <f t="shared" si="3"/>
        <v>-10.032311137163852</v>
      </c>
      <c r="L25" s="2" t="s">
        <v>5</v>
      </c>
      <c r="M25" s="308">
        <f t="shared" si="4"/>
        <v>1.3246614627162954</v>
      </c>
      <c r="O25" s="181">
        <v>779</v>
      </c>
      <c r="P25" s="181">
        <v>1171</v>
      </c>
      <c r="Q25" s="182">
        <v>0.85921981949465298</v>
      </c>
      <c r="R25" s="182" t="s">
        <v>5</v>
      </c>
      <c r="S25" s="182">
        <v>1.1381753828866182E-3</v>
      </c>
      <c r="T25" s="183">
        <v>1218.851011</v>
      </c>
      <c r="U25" s="183" t="s">
        <v>5</v>
      </c>
      <c r="V25" s="183">
        <v>10.641005529999999</v>
      </c>
      <c r="W25" s="184">
        <v>-10.032311137163852</v>
      </c>
      <c r="X25" s="184" t="s">
        <v>5</v>
      </c>
      <c r="Y25" s="184">
        <v>1.3246614627162954</v>
      </c>
      <c r="Z25" s="181"/>
      <c r="AA25" s="173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</row>
    <row r="26" spans="1:38" x14ac:dyDescent="0.2">
      <c r="A26" t="s">
        <v>205</v>
      </c>
      <c r="B26" s="2">
        <v>780</v>
      </c>
      <c r="C26" s="2">
        <f t="shared" si="0"/>
        <v>1170</v>
      </c>
      <c r="D26" s="63">
        <f t="shared" si="1"/>
        <v>0.85865344762684237</v>
      </c>
      <c r="E26" s="2" t="s">
        <v>5</v>
      </c>
      <c r="F26" s="63">
        <f t="shared" si="2"/>
        <v>1.0879477073802725E-3</v>
      </c>
      <c r="G26" s="66">
        <v>1224.1478689999999</v>
      </c>
      <c r="H26" s="66" t="s">
        <v>5</v>
      </c>
      <c r="I26" s="66">
        <v>10.17812711</v>
      </c>
      <c r="J26" s="2"/>
      <c r="K26" s="308">
        <f t="shared" si="3"/>
        <v>-10.80453122341185</v>
      </c>
      <c r="L26" s="2" t="s">
        <v>5</v>
      </c>
      <c r="M26" s="308">
        <f t="shared" si="4"/>
        <v>1.2670393514253704</v>
      </c>
      <c r="O26" s="181">
        <v>779</v>
      </c>
      <c r="P26" s="181">
        <v>1171</v>
      </c>
      <c r="Q26" s="182">
        <v>0.85799999999999998</v>
      </c>
      <c r="R26" s="182" t="s">
        <v>5</v>
      </c>
      <c r="S26" s="182">
        <v>1.9E-3</v>
      </c>
      <c r="T26" s="183">
        <v>1230.263424876706</v>
      </c>
      <c r="U26" s="183" t="s">
        <v>5</v>
      </c>
      <c r="V26" s="183">
        <v>17.78869463869464</v>
      </c>
      <c r="W26" s="184">
        <v>-11.437751117193251</v>
      </c>
      <c r="X26" s="184" t="s">
        <v>5</v>
      </c>
      <c r="Y26" s="184">
        <v>2.2144522144522147</v>
      </c>
      <c r="Z26" s="181">
        <v>-23.2</v>
      </c>
      <c r="AA26" s="173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</row>
    <row r="27" spans="1:38" x14ac:dyDescent="0.2">
      <c r="A27" t="s">
        <v>206</v>
      </c>
      <c r="B27" s="2">
        <v>780.8</v>
      </c>
      <c r="C27" s="2">
        <f t="shared" si="0"/>
        <v>1169.2</v>
      </c>
      <c r="D27" s="63">
        <f t="shared" si="1"/>
        <v>0.85914196463581105</v>
      </c>
      <c r="E27" s="2" t="s">
        <v>5</v>
      </c>
      <c r="F27" s="63">
        <f t="shared" si="2"/>
        <v>1.057241126119314E-3</v>
      </c>
      <c r="G27" s="66">
        <v>1219.578923</v>
      </c>
      <c r="H27" s="66" t="s">
        <v>5</v>
      </c>
      <c r="I27" s="66">
        <v>9.8852323779999995</v>
      </c>
      <c r="J27" s="2"/>
      <c r="K27" s="308">
        <f t="shared" si="3"/>
        <v>-10.337519000974794</v>
      </c>
      <c r="L27" s="2" t="s">
        <v>5</v>
      </c>
      <c r="M27" s="308">
        <f t="shared" si="4"/>
        <v>1.2305779133574009</v>
      </c>
      <c r="O27" s="181">
        <v>780</v>
      </c>
      <c r="P27" s="181">
        <v>1170</v>
      </c>
      <c r="Q27" s="182">
        <v>0.85865344762684237</v>
      </c>
      <c r="R27" s="182" t="s">
        <v>5</v>
      </c>
      <c r="S27" s="182">
        <v>1.0879477073802725E-3</v>
      </c>
      <c r="T27" s="183">
        <v>1224.1478689999999</v>
      </c>
      <c r="U27" s="183" t="s">
        <v>5</v>
      </c>
      <c r="V27" s="183">
        <v>10.17812711</v>
      </c>
      <c r="W27" s="184">
        <v>-10.80453122341185</v>
      </c>
      <c r="X27" s="184" t="s">
        <v>5</v>
      </c>
      <c r="Y27" s="184">
        <v>1.2670393514253704</v>
      </c>
      <c r="Z27" s="181"/>
      <c r="AA27" s="173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</row>
    <row r="28" spans="1:38" x14ac:dyDescent="0.2">
      <c r="A28" t="s">
        <v>207</v>
      </c>
      <c r="B28" s="2">
        <v>781.2</v>
      </c>
      <c r="C28" s="2">
        <f t="shared" si="0"/>
        <v>1168.8</v>
      </c>
      <c r="D28" s="63">
        <f t="shared" si="1"/>
        <v>0.85869134102238498</v>
      </c>
      <c r="E28" s="2" t="s">
        <v>5</v>
      </c>
      <c r="F28" s="63">
        <f t="shared" si="2"/>
        <v>1.908045371106494E-3</v>
      </c>
      <c r="G28" s="66">
        <v>1223.793371</v>
      </c>
      <c r="H28" s="66" t="s">
        <v>5</v>
      </c>
      <c r="I28" s="66">
        <v>17.849636690000001</v>
      </c>
      <c r="J28" s="2"/>
      <c r="K28" s="308">
        <f t="shared" si="3"/>
        <v>-10.904459869887194</v>
      </c>
      <c r="L28" s="2" t="s">
        <v>5</v>
      </c>
      <c r="M28" s="308">
        <f t="shared" si="4"/>
        <v>2.2220386767085771</v>
      </c>
      <c r="O28" s="181">
        <v>780</v>
      </c>
      <c r="P28" s="181">
        <v>1170</v>
      </c>
      <c r="Q28" s="182">
        <v>0.85619999999999996</v>
      </c>
      <c r="R28" s="182" t="s">
        <v>5</v>
      </c>
      <c r="S28" s="182">
        <v>2E-3</v>
      </c>
      <c r="T28" s="183">
        <v>1247.1335745842835</v>
      </c>
      <c r="U28" s="183" t="s">
        <v>5</v>
      </c>
      <c r="V28" s="183">
        <v>18.764307404811962</v>
      </c>
      <c r="W28" s="184">
        <v>-13.630979171720735</v>
      </c>
      <c r="X28" s="184" t="s">
        <v>5</v>
      </c>
      <c r="Y28" s="184">
        <v>2.3359028264424206</v>
      </c>
      <c r="Z28" s="181">
        <v>-24.8</v>
      </c>
      <c r="AA28" s="173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</row>
    <row r="29" spans="1:38" x14ac:dyDescent="0.2">
      <c r="A29" t="s">
        <v>208</v>
      </c>
      <c r="B29" s="2">
        <v>782</v>
      </c>
      <c r="C29" s="2">
        <f t="shared" si="0"/>
        <v>1168</v>
      </c>
      <c r="D29" s="63">
        <f t="shared" si="1"/>
        <v>0.85897674141836522</v>
      </c>
      <c r="E29" s="2" t="s">
        <v>5</v>
      </c>
      <c r="F29" s="63">
        <f t="shared" si="2"/>
        <v>1.5061514227426649E-3</v>
      </c>
      <c r="G29" s="66">
        <v>1221.1239129999999</v>
      </c>
      <c r="H29" s="66" t="s">
        <v>5</v>
      </c>
      <c r="I29" s="66">
        <v>14.085264240000001</v>
      </c>
      <c r="J29" s="2"/>
      <c r="K29" s="308">
        <f t="shared" si="3"/>
        <v>-10.67145970598926</v>
      </c>
      <c r="L29" s="2" t="s">
        <v>5</v>
      </c>
      <c r="M29" s="308">
        <f>I29/8.033</f>
        <v>1.7534251512510894</v>
      </c>
      <c r="O29" s="198">
        <v>773</v>
      </c>
      <c r="P29" s="2">
        <v>1177</v>
      </c>
      <c r="Q29" s="63">
        <v>0.84602776959445902</v>
      </c>
      <c r="R29" s="2" t="s">
        <v>5</v>
      </c>
      <c r="S29" s="63">
        <v>1.5530379836566077E-3</v>
      </c>
      <c r="T29" s="66">
        <v>1343.130089789677</v>
      </c>
      <c r="U29" s="2" t="s">
        <v>5</v>
      </c>
      <c r="V29" s="66">
        <v>14.7458979806849</v>
      </c>
      <c r="W29" s="308">
        <v>-22.81801937604644</v>
      </c>
      <c r="X29" s="2" t="s">
        <v>5</v>
      </c>
      <c r="Y29" s="308">
        <v>1.8356651289287813</v>
      </c>
      <c r="Z29" s="308">
        <v>-24.522577190292271</v>
      </c>
    </row>
    <row r="30" spans="1:38" x14ac:dyDescent="0.2">
      <c r="A30" t="s">
        <v>209</v>
      </c>
      <c r="B30" s="2">
        <v>783</v>
      </c>
      <c r="C30" s="2">
        <f t="shared" si="0"/>
        <v>1167</v>
      </c>
      <c r="D30" s="63">
        <f t="shared" si="1"/>
        <v>0.86085742085982875</v>
      </c>
      <c r="E30" s="2" t="s">
        <v>5</v>
      </c>
      <c r="F30" s="63">
        <f t="shared" si="2"/>
        <v>1.495395816928302E-3</v>
      </c>
      <c r="G30" s="66">
        <v>1203.5553540000001</v>
      </c>
      <c r="H30" s="66" t="s">
        <v>5</v>
      </c>
      <c r="I30" s="66">
        <v>13.95412795</v>
      </c>
      <c r="J30" s="2"/>
      <c r="K30" s="308">
        <f t="shared" si="3"/>
        <v>-8.625309384291846</v>
      </c>
      <c r="L30" s="2" t="s">
        <v>5</v>
      </c>
      <c r="M30" s="308">
        <f t="shared" si="4"/>
        <v>1.7371004543757003</v>
      </c>
      <c r="O30" s="198">
        <v>774</v>
      </c>
      <c r="P30" s="2">
        <v>1176</v>
      </c>
      <c r="Q30" s="63">
        <v>0.85232725684768529</v>
      </c>
      <c r="R30" s="2" t="s">
        <v>5</v>
      </c>
      <c r="S30" s="63">
        <v>1.5471407859026351E-3</v>
      </c>
      <c r="T30" s="66">
        <v>1283.5388427919911</v>
      </c>
      <c r="U30" s="2" t="s">
        <v>5</v>
      </c>
      <c r="V30" s="66">
        <v>14.58133284641978</v>
      </c>
      <c r="W30" s="308">
        <v>-21.747420084013093</v>
      </c>
      <c r="X30" s="2" t="s">
        <v>5</v>
      </c>
      <c r="Y30" s="308">
        <v>1.8151789924585811</v>
      </c>
      <c r="Z30" s="308">
        <v>-17.378148366413939</v>
      </c>
    </row>
    <row r="31" spans="1:38" x14ac:dyDescent="0.2">
      <c r="A31" t="s">
        <v>210</v>
      </c>
      <c r="B31" s="2">
        <v>784</v>
      </c>
      <c r="C31" s="2">
        <f t="shared" si="0"/>
        <v>1166</v>
      </c>
      <c r="D31" s="63">
        <f t="shared" si="1"/>
        <v>0.86004414100885507</v>
      </c>
      <c r="E31" s="2" t="s">
        <v>5</v>
      </c>
      <c r="F31" s="63">
        <f t="shared" si="2"/>
        <v>1.5062695154766232E-3</v>
      </c>
      <c r="G31" s="66">
        <v>1211.147976</v>
      </c>
      <c r="H31" s="66" t="s">
        <v>5</v>
      </c>
      <c r="I31" s="66">
        <v>14.06888605</v>
      </c>
      <c r="J31" s="2"/>
      <c r="K31" s="308">
        <f t="shared" si="3"/>
        <v>-9.6816921064042383</v>
      </c>
      <c r="L31" s="2" t="s">
        <v>5</v>
      </c>
      <c r="M31" s="308">
        <f t="shared" si="4"/>
        <v>1.7513862878127724</v>
      </c>
      <c r="O31" s="198">
        <v>775</v>
      </c>
      <c r="P31" s="2">
        <v>1175</v>
      </c>
      <c r="Q31" s="63">
        <v>0.85760229938420496</v>
      </c>
      <c r="R31" s="2" t="s">
        <v>5</v>
      </c>
      <c r="S31" s="63">
        <v>1.567919422422615E-3</v>
      </c>
      <c r="T31" s="66">
        <v>1233.9763791818762</v>
      </c>
      <c r="U31" s="2" t="s">
        <v>5</v>
      </c>
      <c r="V31" s="66">
        <v>14.686272045343522</v>
      </c>
      <c r="W31" s="308">
        <v>-22.840535995259593</v>
      </c>
      <c r="X31" s="2" t="s">
        <v>5</v>
      </c>
      <c r="Y31" s="308">
        <v>1.8282425053334399</v>
      </c>
      <c r="Z31" s="308">
        <v>-11.416359588239056</v>
      </c>
    </row>
    <row r="32" spans="1:38" x14ac:dyDescent="0.2">
      <c r="A32" t="s">
        <v>211</v>
      </c>
      <c r="B32" s="2">
        <v>785</v>
      </c>
      <c r="C32" s="2">
        <f t="shared" si="0"/>
        <v>1165</v>
      </c>
      <c r="D32" s="63">
        <f t="shared" si="1"/>
        <v>0.8604702423543622</v>
      </c>
      <c r="E32" s="2" t="s">
        <v>5</v>
      </c>
      <c r="F32" s="63">
        <f t="shared" si="2"/>
        <v>1.4840489768977105E-3</v>
      </c>
      <c r="G32" s="66">
        <v>1207.1690819999999</v>
      </c>
      <c r="H32" s="66" t="s">
        <v>5</v>
      </c>
      <c r="I32" s="66">
        <v>13.85447729</v>
      </c>
      <c r="J32" s="2"/>
      <c r="K32" s="308">
        <f>(EXP(C32/8267)*EXP(-G32/8033)-1)*1000</f>
        <v>-9.3108914051137646</v>
      </c>
      <c r="L32" s="2" t="s">
        <v>5</v>
      </c>
      <c r="M32" s="308">
        <f t="shared" si="4"/>
        <v>1.7246952931656916</v>
      </c>
    </row>
    <row r="33" spans="1:26" x14ac:dyDescent="0.2">
      <c r="A33" t="s">
        <v>212</v>
      </c>
      <c r="B33" s="2">
        <v>786</v>
      </c>
      <c r="C33" s="2">
        <f t="shared" si="0"/>
        <v>1164</v>
      </c>
      <c r="D33" s="63">
        <f t="shared" si="1"/>
        <v>0.85795149226186718</v>
      </c>
      <c r="E33" s="2" t="s">
        <v>5</v>
      </c>
      <c r="F33" s="63">
        <f t="shared" si="2"/>
        <v>1.511355947508478E-3</v>
      </c>
      <c r="G33" s="66">
        <v>1230.71759</v>
      </c>
      <c r="H33" s="66" t="s">
        <v>5</v>
      </c>
      <c r="I33" s="66">
        <v>14.150826049999999</v>
      </c>
      <c r="J33" s="2"/>
      <c r="K33" s="308">
        <f t="shared" si="3"/>
        <v>-12.330293960986838</v>
      </c>
      <c r="L33" s="2" t="s">
        <v>5</v>
      </c>
      <c r="M33" s="308">
        <f t="shared" si="4"/>
        <v>1.7615867110668493</v>
      </c>
    </row>
    <row r="34" spans="1:26" x14ac:dyDescent="0.2">
      <c r="A34" t="s">
        <v>213</v>
      </c>
      <c r="B34" s="2">
        <v>787</v>
      </c>
      <c r="C34" s="2">
        <f t="shared" si="0"/>
        <v>1163</v>
      </c>
      <c r="D34" s="63">
        <f t="shared" si="1"/>
        <v>0.8562256699263493</v>
      </c>
      <c r="E34" s="2" t="s">
        <v>5</v>
      </c>
      <c r="F34" s="63">
        <f t="shared" si="2"/>
        <v>1.5575630761265292E-3</v>
      </c>
      <c r="G34" s="66">
        <v>1246.8927389999999</v>
      </c>
      <c r="H34" s="66" t="s">
        <v>5</v>
      </c>
      <c r="I34" s="66">
        <v>14.61285807</v>
      </c>
      <c r="J34" s="2"/>
      <c r="K34" s="308">
        <f t="shared" si="3"/>
        <v>-14.436276304832907</v>
      </c>
      <c r="L34" s="2" t="s">
        <v>5</v>
      </c>
      <c r="M34" s="308">
        <f t="shared" si="4"/>
        <v>1.8191034569899167</v>
      </c>
    </row>
    <row r="35" spans="1:26" x14ac:dyDescent="0.2">
      <c r="A35" s="151" t="s">
        <v>802</v>
      </c>
      <c r="B35" s="2">
        <v>770</v>
      </c>
      <c r="C35" s="2">
        <v>1180</v>
      </c>
      <c r="D35" s="2">
        <v>0.84640000000000004</v>
      </c>
      <c r="E35" s="2" t="s">
        <v>5</v>
      </c>
      <c r="F35" s="2">
        <v>1.8E-3</v>
      </c>
      <c r="G35" s="66">
        <v>1339.6089292147938</v>
      </c>
      <c r="H35" s="2" t="s">
        <v>5</v>
      </c>
      <c r="I35" s="66">
        <v>17.083412098298677</v>
      </c>
      <c r="J35" s="2">
        <v>-19.600000000000001</v>
      </c>
      <c r="K35" s="308">
        <v>-23.740686586337322</v>
      </c>
      <c r="L35" s="2" t="s">
        <v>5</v>
      </c>
      <c r="M35" s="308">
        <v>2.1266540642722118</v>
      </c>
      <c r="O35" s="329" t="s">
        <v>331</v>
      </c>
      <c r="P35" s="321"/>
      <c r="Q35" s="321"/>
      <c r="R35" s="321"/>
      <c r="S35" s="321"/>
      <c r="T35" s="321"/>
      <c r="U35" s="321"/>
      <c r="V35" s="321"/>
      <c r="W35" s="342"/>
      <c r="X35" s="342"/>
      <c r="Y35" s="342"/>
      <c r="Z35" s="321"/>
    </row>
    <row r="36" spans="1:26" x14ac:dyDescent="0.2">
      <c r="A36" s="151" t="s">
        <v>803</v>
      </c>
      <c r="B36" s="2">
        <v>771</v>
      </c>
      <c r="C36" s="2">
        <v>1179</v>
      </c>
      <c r="D36" s="2">
        <v>0.83450000000000002</v>
      </c>
      <c r="E36" s="2" t="s">
        <v>5</v>
      </c>
      <c r="F36" s="2">
        <v>1.8E-3</v>
      </c>
      <c r="G36" s="66">
        <v>1453.3507307260263</v>
      </c>
      <c r="H36" s="2" t="s">
        <v>5</v>
      </c>
      <c r="I36" s="66">
        <v>17.327022168963449</v>
      </c>
      <c r="J36" s="2">
        <v>-22.4</v>
      </c>
      <c r="K36" s="308">
        <v>-37.582873391272308</v>
      </c>
      <c r="L36" s="2" t="s">
        <v>5</v>
      </c>
      <c r="M36" s="308">
        <v>2.1569802276812462</v>
      </c>
      <c r="O36" s="185" t="s">
        <v>17</v>
      </c>
      <c r="P36" s="323" t="s">
        <v>15</v>
      </c>
      <c r="Q36" s="356" t="s">
        <v>1</v>
      </c>
      <c r="R36" s="359"/>
      <c r="S36" s="359"/>
      <c r="T36" s="360" t="s">
        <v>2</v>
      </c>
      <c r="U36" s="361"/>
      <c r="V36" s="361"/>
      <c r="W36" s="356" t="s">
        <v>16</v>
      </c>
      <c r="X36" s="359"/>
      <c r="Y36" s="359"/>
      <c r="Z36" s="323" t="s">
        <v>3</v>
      </c>
    </row>
    <row r="37" spans="1:26" x14ac:dyDescent="0.2">
      <c r="A37" t="s">
        <v>804</v>
      </c>
      <c r="B37" s="2">
        <v>772</v>
      </c>
      <c r="C37" s="2">
        <v>1178</v>
      </c>
      <c r="D37" s="2">
        <v>0.84960000000000002</v>
      </c>
      <c r="E37" s="2" t="s">
        <v>5</v>
      </c>
      <c r="F37" s="2">
        <v>1.9E-3</v>
      </c>
      <c r="G37" s="66">
        <v>1309.2956856960184</v>
      </c>
      <c r="H37" s="2" t="s">
        <v>5</v>
      </c>
      <c r="I37" s="66">
        <v>17.964571563088512</v>
      </c>
      <c r="J37" s="2">
        <v>-26.3</v>
      </c>
      <c r="K37" s="308">
        <v>-20.286771608414632</v>
      </c>
      <c r="L37" s="2" t="s">
        <v>5</v>
      </c>
      <c r="M37" s="308">
        <v>2.2363465160075329</v>
      </c>
      <c r="O37" s="185">
        <v>770</v>
      </c>
      <c r="P37" s="323">
        <f>1950-O37</f>
        <v>1180</v>
      </c>
      <c r="Q37" s="182">
        <f>(Q6/(S6^2)+Q7/(S7^2))/(1/(S6^2)+1/(S7^2))</f>
        <v>0.84541650358580556</v>
      </c>
      <c r="R37" s="323" t="s">
        <v>5</v>
      </c>
      <c r="S37" s="182">
        <f>SQRT(1/(1/(S6^2)+1/(S7^2)))</f>
        <v>1.1671017570342582E-3</v>
      </c>
      <c r="T37" s="183">
        <f>-8033*LN(Q37)</f>
        <v>1348.9485089723328</v>
      </c>
      <c r="U37" s="183" t="s">
        <v>5</v>
      </c>
      <c r="V37" s="183">
        <f>S37/Q37*8033</f>
        <v>11.089597109224929</v>
      </c>
      <c r="W37" s="184">
        <f t="shared" ref="W37:W47" si="5">(EXP(P37/8267)*EXP(-T37/8033)-1)*1000</f>
        <v>-24.875076395016848</v>
      </c>
      <c r="X37" s="184" t="s">
        <v>5</v>
      </c>
      <c r="Y37" s="184">
        <f t="shared" ref="Y37:Y47" si="6">V37/8.033</f>
        <v>1.3805050553000038</v>
      </c>
      <c r="Z37" s="323">
        <v>-19.600000000000001</v>
      </c>
    </row>
    <row r="38" spans="1:26" x14ac:dyDescent="0.2">
      <c r="A38" t="s">
        <v>805</v>
      </c>
      <c r="B38" s="2">
        <v>773</v>
      </c>
      <c r="C38" s="2">
        <v>1177</v>
      </c>
      <c r="D38" s="2">
        <v>0.85019999999999996</v>
      </c>
      <c r="E38" s="2" t="s">
        <v>5</v>
      </c>
      <c r="F38" s="2">
        <v>1.8E-3</v>
      </c>
      <c r="G38" s="66">
        <v>1303.6246653404746</v>
      </c>
      <c r="H38" s="2" t="s">
        <v>5</v>
      </c>
      <c r="I38" s="66">
        <v>17.007057163020466</v>
      </c>
      <c r="J38" s="2">
        <v>-22</v>
      </c>
      <c r="K38" s="308">
        <v>-19.713469174031385</v>
      </c>
      <c r="L38" s="2" t="s">
        <v>5</v>
      </c>
      <c r="M38" s="308">
        <v>2.1171489061397319</v>
      </c>
      <c r="O38" s="185">
        <v>771</v>
      </c>
      <c r="P38" s="323">
        <f t="shared" ref="P38:P47" si="7">1950-O38</f>
        <v>1179</v>
      </c>
      <c r="Q38" s="182">
        <f>(Q9/(S9^2)+Q8/(S8^2))/(1/(S9^2)+1/(S8^2))</f>
        <v>0.84164368353054919</v>
      </c>
      <c r="R38" s="323" t="s">
        <v>5</v>
      </c>
      <c r="S38" s="182">
        <f>SQRT(1/(1/(S9^2)+1/(S8^2)))</f>
        <v>1.128980247388448E-3</v>
      </c>
      <c r="T38" s="183">
        <f t="shared" ref="T38:T47" si="8">-8033*LN(Q38)</f>
        <v>1384.8774156693169</v>
      </c>
      <c r="U38" s="183" t="s">
        <v>5</v>
      </c>
      <c r="V38" s="183">
        <f t="shared" ref="V38:V47" si="9">S38/Q38*8033</f>
        <v>10.775460571661524</v>
      </c>
      <c r="W38" s="184">
        <f t="shared" si="5"/>
        <v>-29.344163532826318</v>
      </c>
      <c r="X38" s="184" t="s">
        <v>5</v>
      </c>
      <c r="Y38" s="184">
        <f t="shared" si="6"/>
        <v>1.3413992993478805</v>
      </c>
      <c r="Z38" s="323">
        <v>-22.4</v>
      </c>
    </row>
    <row r="39" spans="1:26" x14ac:dyDescent="0.2">
      <c r="A39" t="s">
        <v>806</v>
      </c>
      <c r="B39" s="2">
        <v>774</v>
      </c>
      <c r="C39" s="2">
        <v>1176</v>
      </c>
      <c r="D39" s="2">
        <v>0.84809999999999997</v>
      </c>
      <c r="E39" s="2" t="s">
        <v>5</v>
      </c>
      <c r="F39" s="2">
        <v>1.8E-3</v>
      </c>
      <c r="G39" s="66">
        <v>1323.4907768611399</v>
      </c>
      <c r="H39" s="2" t="s">
        <v>5</v>
      </c>
      <c r="I39" s="66">
        <v>17.049168730102583</v>
      </c>
      <c r="J39" s="2">
        <v>-19.8</v>
      </c>
      <c r="K39" s="308">
        <v>-22.253062046979299</v>
      </c>
      <c r="L39" s="2" t="s">
        <v>5</v>
      </c>
      <c r="M39" s="308">
        <v>2.1223912274495933</v>
      </c>
      <c r="O39" s="185">
        <v>772</v>
      </c>
      <c r="P39" s="323">
        <f t="shared" si="7"/>
        <v>1178</v>
      </c>
      <c r="Q39" s="182">
        <f>(Q10/(S10^2)+Q11/(S11^2))/(1/(S10^2)+1/(S11^2))</f>
        <v>0.84910224108405641</v>
      </c>
      <c r="R39" s="323" t="s">
        <v>5</v>
      </c>
      <c r="S39" s="182">
        <f>SQRT(1/(1/(S10^2)+1/(S11^2)))</f>
        <v>9.2804245557563637E-4</v>
      </c>
      <c r="T39" s="183">
        <f t="shared" si="8"/>
        <v>1314.0033941919626</v>
      </c>
      <c r="U39" s="183" t="s">
        <v>5</v>
      </c>
      <c r="V39" s="183">
        <f t="shared" si="9"/>
        <v>8.7798202441690254</v>
      </c>
      <c r="W39" s="184">
        <f t="shared" si="5"/>
        <v>-20.86076053791064</v>
      </c>
      <c r="X39" s="184" t="s">
        <v>5</v>
      </c>
      <c r="Y39" s="184">
        <f t="shared" si="6"/>
        <v>1.0929690332589352</v>
      </c>
      <c r="Z39" s="323">
        <v>-26.3</v>
      </c>
    </row>
    <row r="40" spans="1:26" x14ac:dyDescent="0.2">
      <c r="A40" t="s">
        <v>807</v>
      </c>
      <c r="B40" s="2">
        <v>775</v>
      </c>
      <c r="C40" s="2">
        <v>1175</v>
      </c>
      <c r="D40" s="2">
        <v>0.85680000000000001</v>
      </c>
      <c r="E40" s="2" t="s">
        <v>5</v>
      </c>
      <c r="F40" s="2">
        <v>1.8E-3</v>
      </c>
      <c r="G40" s="66">
        <v>1241.5062538637881</v>
      </c>
      <c r="H40" s="2" t="s">
        <v>5</v>
      </c>
      <c r="I40" s="66">
        <v>16.876050420168067</v>
      </c>
      <c r="J40" s="2">
        <v>-19.7</v>
      </c>
      <c r="K40" s="308">
        <v>-12.342591777201427</v>
      </c>
      <c r="L40" s="2" t="s">
        <v>5</v>
      </c>
      <c r="M40" s="308">
        <v>2.1008403361344539</v>
      </c>
      <c r="O40" s="185">
        <v>773</v>
      </c>
      <c r="P40" s="323">
        <f t="shared" si="7"/>
        <v>1177</v>
      </c>
      <c r="Q40" s="182">
        <f>(Q13/(S13^2)+Q12/(S12^2)+Q29/(S29^2))/(1/(S13^2)+1/(S12^2)+1/(S29^2))</f>
        <v>0.84824956514682237</v>
      </c>
      <c r="R40" s="323" t="s">
        <v>5</v>
      </c>
      <c r="S40" s="182">
        <f>SQRT(1/(1/(S13^2)+1/(S12^2)+1/(S29^2)))</f>
        <v>7.9542620317849856E-4</v>
      </c>
      <c r="T40" s="183">
        <f t="shared" si="8"/>
        <v>1322.0742565256821</v>
      </c>
      <c r="U40" s="183" t="s">
        <v>5</v>
      </c>
      <c r="V40" s="183">
        <f t="shared" si="9"/>
        <v>7.5327579908949334</v>
      </c>
      <c r="W40" s="184">
        <f t="shared" si="5"/>
        <v>-21.962334165590459</v>
      </c>
      <c r="X40" s="184" t="s">
        <v>5</v>
      </c>
      <c r="Y40" s="184">
        <f t="shared" si="6"/>
        <v>0.93772662652744099</v>
      </c>
      <c r="Z40" s="323">
        <v>-22</v>
      </c>
    </row>
    <row r="41" spans="1:26" x14ac:dyDescent="0.2">
      <c r="A41" t="s">
        <v>808</v>
      </c>
      <c r="B41" s="2">
        <v>776</v>
      </c>
      <c r="C41" s="2">
        <v>1174</v>
      </c>
      <c r="D41" s="2">
        <v>0.86070000000000002</v>
      </c>
      <c r="E41" s="2" t="s">
        <v>5</v>
      </c>
      <c r="F41" s="2">
        <v>1.9E-3</v>
      </c>
      <c r="G41" s="66">
        <v>1205.0244444354473</v>
      </c>
      <c r="H41" s="2" t="s">
        <v>5</v>
      </c>
      <c r="I41" s="66">
        <v>17.73289183222958</v>
      </c>
      <c r="J41" s="2">
        <v>-22.6</v>
      </c>
      <c r="K41" s="308">
        <v>-7.9669587302680922</v>
      </c>
      <c r="L41" s="2" t="s">
        <v>5</v>
      </c>
      <c r="M41" s="308">
        <v>2.2075055187637971</v>
      </c>
      <c r="O41" s="185">
        <v>774</v>
      </c>
      <c r="P41" s="323">
        <f t="shared" si="7"/>
        <v>1176</v>
      </c>
      <c r="Q41" s="182">
        <f>(Q14/(S14^2)+Q15/(S15^2)+Q30/(S30^2))/(1/(S14^2)+1/(S15^2)+1/(S30^2))</f>
        <v>0.84917325823209933</v>
      </c>
      <c r="R41" s="323" t="s">
        <v>5</v>
      </c>
      <c r="S41" s="182">
        <f>SQRT(1/(1/(S14^2)+1/(S15^2)+1/(S30^2)))</f>
        <v>9.1422321854987213E-4</v>
      </c>
      <c r="T41" s="183">
        <f>-8033*LN(Q41)</f>
        <v>1313.3315588498276</v>
      </c>
      <c r="U41" s="183" t="s">
        <v>5</v>
      </c>
      <c r="V41" s="183">
        <f t="shared" si="9"/>
        <v>8.648358910760523</v>
      </c>
      <c r="W41" s="184">
        <f t="shared" si="5"/>
        <v>-21.015737497907306</v>
      </c>
      <c r="X41" s="184" t="s">
        <v>5</v>
      </c>
      <c r="Y41" s="184">
        <f t="shared" si="6"/>
        <v>1.0766038728694789</v>
      </c>
      <c r="Z41" s="323">
        <v>-19.8</v>
      </c>
    </row>
    <row r="42" spans="1:26" x14ac:dyDescent="0.2">
      <c r="A42" t="s">
        <v>809</v>
      </c>
      <c r="B42" s="2">
        <v>777</v>
      </c>
      <c r="C42" s="2">
        <v>1173</v>
      </c>
      <c r="D42" s="2">
        <v>0.86309999999999998</v>
      </c>
      <c r="E42" s="2" t="s">
        <v>5</v>
      </c>
      <c r="F42" s="2">
        <v>1.8E-3</v>
      </c>
      <c r="G42" s="66">
        <v>1182.6561738041667</v>
      </c>
      <c r="H42" s="2" t="s">
        <v>5</v>
      </c>
      <c r="I42" s="66">
        <v>16.752867570385821</v>
      </c>
      <c r="J42" s="2">
        <v>-21.2</v>
      </c>
      <c r="K42" s="308">
        <v>-5.3210724871561865</v>
      </c>
      <c r="L42" s="2" t="s">
        <v>5</v>
      </c>
      <c r="M42" s="308">
        <v>2.0855057351407722</v>
      </c>
      <c r="O42" s="185">
        <v>775</v>
      </c>
      <c r="P42" s="323">
        <f t="shared" si="7"/>
        <v>1175</v>
      </c>
      <c r="Q42" s="182">
        <f>(Q16/(S16^2)+Q18/(S18^2)+Q17/(S17^2)+Q31/(S31^2))/(1/(S16^2)+1/(S17^2)+1/(S18^2)+1/(S31^2))</f>
        <v>0.85827325812051258</v>
      </c>
      <c r="R42" s="323" t="s">
        <v>5</v>
      </c>
      <c r="S42" s="182">
        <f>SQRT(1/(1/(S16^2)+1/(S18^2)+1/(S17^2)+1/(S31^2)))</f>
        <v>8.3815001630897616E-4</v>
      </c>
      <c r="T42" s="183">
        <f>-8033*LN(Q42)</f>
        <v>1227.705460997423</v>
      </c>
      <c r="U42" s="183" t="s">
        <v>5</v>
      </c>
      <c r="V42" s="183">
        <f>S42/Q42*8033</f>
        <v>7.8446567189497891</v>
      </c>
      <c r="W42" s="184">
        <f t="shared" si="5"/>
        <v>-10.64432579103347</v>
      </c>
      <c r="X42" s="184" t="s">
        <v>5</v>
      </c>
      <c r="Y42" s="184">
        <f t="shared" si="6"/>
        <v>0.97655380542136061</v>
      </c>
      <c r="Z42" s="323">
        <v>-19.7</v>
      </c>
    </row>
    <row r="43" spans="1:26" x14ac:dyDescent="0.2">
      <c r="A43" t="s">
        <v>810</v>
      </c>
      <c r="B43" s="2">
        <v>778</v>
      </c>
      <c r="C43" s="2">
        <v>1172</v>
      </c>
      <c r="D43" s="2">
        <v>0.85609999999999997</v>
      </c>
      <c r="E43" s="2" t="s">
        <v>5</v>
      </c>
      <c r="F43" s="2">
        <v>2E-3</v>
      </c>
      <c r="G43" s="66">
        <v>1248.0718447482889</v>
      </c>
      <c r="H43" s="2" t="s">
        <v>5</v>
      </c>
      <c r="I43" s="66">
        <v>18.766499240742903</v>
      </c>
      <c r="J43" s="2">
        <v>-22.3</v>
      </c>
      <c r="K43" s="308">
        <v>-13.507553243181425</v>
      </c>
      <c r="L43" s="2" t="s">
        <v>5</v>
      </c>
      <c r="M43" s="308">
        <v>2.3361756804111669</v>
      </c>
      <c r="O43" s="185">
        <v>776</v>
      </c>
      <c r="P43" s="323">
        <f t="shared" si="7"/>
        <v>1174</v>
      </c>
      <c r="Q43" s="182">
        <f>(Q19/(S19^2)+Q20/(S20^2))/(1/(S19^2)+1/(S20^2))</f>
        <v>0.86094327063899467</v>
      </c>
      <c r="R43" s="323" t="s">
        <v>5</v>
      </c>
      <c r="S43" s="182">
        <f>SQRT(1/(1/(S20^2)+1/(S19^2)))</f>
        <v>9.6163577596325791E-4</v>
      </c>
      <c r="T43" s="183">
        <f t="shared" si="8"/>
        <v>1202.7542958054996</v>
      </c>
      <c r="U43" s="183" t="s">
        <v>5</v>
      </c>
      <c r="V43" s="183">
        <f t="shared" si="9"/>
        <v>8.9725077734558116</v>
      </c>
      <c r="W43" s="184">
        <f t="shared" si="5"/>
        <v>-7.6865677556503531</v>
      </c>
      <c r="X43" s="184" t="s">
        <v>5</v>
      </c>
      <c r="Y43" s="184">
        <f t="shared" si="6"/>
        <v>1.1169560280662034</v>
      </c>
      <c r="Z43" s="323">
        <v>-22.6</v>
      </c>
    </row>
    <row r="44" spans="1:26" x14ac:dyDescent="0.2">
      <c r="A44" t="s">
        <v>811</v>
      </c>
      <c r="B44" s="2">
        <v>779</v>
      </c>
      <c r="C44" s="2">
        <v>1171</v>
      </c>
      <c r="D44" s="2">
        <v>0.85799999999999998</v>
      </c>
      <c r="E44" s="2" t="s">
        <v>5</v>
      </c>
      <c r="F44" s="2">
        <v>1.9E-3</v>
      </c>
      <c r="G44" s="66">
        <v>1230.263424876706</v>
      </c>
      <c r="H44" s="2" t="s">
        <v>5</v>
      </c>
      <c r="I44" s="66">
        <v>17.78869463869464</v>
      </c>
      <c r="J44" s="2">
        <v>-23.2</v>
      </c>
      <c r="K44" s="308">
        <v>-11.437751117193251</v>
      </c>
      <c r="L44" s="2" t="s">
        <v>5</v>
      </c>
      <c r="M44" s="308">
        <v>2.2144522144522147</v>
      </c>
      <c r="O44" s="185">
        <v>777</v>
      </c>
      <c r="P44" s="323">
        <f t="shared" si="7"/>
        <v>1173</v>
      </c>
      <c r="Q44" s="182">
        <f>(Q21/(S21^2)+Q22/(S22^2))/(1/(S21^2)+1/(S22^2))</f>
        <v>0.86088944620748642</v>
      </c>
      <c r="R44" s="323" t="s">
        <v>5</v>
      </c>
      <c r="S44" s="182">
        <f>SQRT(1/(1/(S21^2)+1/(S22^2)))</f>
        <v>1.1646501569869453E-3</v>
      </c>
      <c r="T44" s="183">
        <f t="shared" si="8"/>
        <v>1203.2565184130924</v>
      </c>
      <c r="U44" s="183" t="s">
        <v>5</v>
      </c>
      <c r="V44" s="183">
        <f t="shared" si="9"/>
        <v>10.867405509837429</v>
      </c>
      <c r="W44" s="184">
        <f t="shared" si="5"/>
        <v>-7.8686234957842105</v>
      </c>
      <c r="X44" s="184" t="s">
        <v>5</v>
      </c>
      <c r="Y44" s="184">
        <f t="shared" si="6"/>
        <v>1.3528452022703137</v>
      </c>
      <c r="Z44" s="323">
        <v>-21.2</v>
      </c>
    </row>
    <row r="45" spans="1:26" x14ac:dyDescent="0.2">
      <c r="A45" t="s">
        <v>812</v>
      </c>
      <c r="B45" s="2">
        <v>780</v>
      </c>
      <c r="C45" s="2">
        <v>1170</v>
      </c>
      <c r="D45" s="2">
        <v>0.85619999999999996</v>
      </c>
      <c r="E45" s="2" t="s">
        <v>5</v>
      </c>
      <c r="F45" s="2">
        <v>2E-3</v>
      </c>
      <c r="G45" s="66">
        <v>1247.1335745842835</v>
      </c>
      <c r="H45" s="2" t="s">
        <v>5</v>
      </c>
      <c r="I45" s="66">
        <v>18.764307404811962</v>
      </c>
      <c r="J45" s="2">
        <v>-24.8</v>
      </c>
      <c r="K45" s="308">
        <v>-13.630979171720735</v>
      </c>
      <c r="L45" s="2" t="s">
        <v>5</v>
      </c>
      <c r="M45" s="308">
        <v>2.3359028264424206</v>
      </c>
      <c r="O45" s="185">
        <v>778</v>
      </c>
      <c r="P45" s="323">
        <f t="shared" si="7"/>
        <v>1172</v>
      </c>
      <c r="Q45" s="182">
        <f>(Q24/(S24^2)+Q23/(S23^2))/(1/(S24^2)+1/(S23^2))</f>
        <v>0.85739358698692347</v>
      </c>
      <c r="R45" s="323" t="s">
        <v>5</v>
      </c>
      <c r="S45" s="182">
        <f>SQRT(1/(1/(S24^2)+1/(S23^2)))</f>
        <v>1.2030889339585662E-3</v>
      </c>
      <c r="T45" s="183">
        <f t="shared" si="8"/>
        <v>1235.9429563544059</v>
      </c>
      <c r="U45" s="183" t="s">
        <v>5</v>
      </c>
      <c r="V45" s="183">
        <f t="shared" si="9"/>
        <v>11.271851752999593</v>
      </c>
      <c r="W45" s="184">
        <f t="shared" si="5"/>
        <v>-12.016940240234364</v>
      </c>
      <c r="X45" s="184" t="s">
        <v>5</v>
      </c>
      <c r="Y45" s="184">
        <f t="shared" si="6"/>
        <v>1.4031932967757492</v>
      </c>
      <c r="Z45" s="323">
        <v>-22.3</v>
      </c>
    </row>
    <row r="46" spans="1:26" x14ac:dyDescent="0.2">
      <c r="A46" s="1" t="s">
        <v>774</v>
      </c>
      <c r="O46" s="185">
        <v>779</v>
      </c>
      <c r="P46" s="188">
        <f t="shared" si="7"/>
        <v>1171</v>
      </c>
      <c r="Q46" s="182">
        <f>(Q25/(S25^2)+Q26/(S26^2))/(1/(S25^2)+1/(S26^2))</f>
        <v>0.85889768614051309</v>
      </c>
      <c r="R46" s="181" t="s">
        <v>5</v>
      </c>
      <c r="S46" s="182">
        <f>SQRT(1/(1/(S25^2)+1/(S26^2)))</f>
        <v>9.7639076564078574E-4</v>
      </c>
      <c r="T46" s="183">
        <f t="shared" si="8"/>
        <v>1221.8632581316895</v>
      </c>
      <c r="U46" s="183" t="s">
        <v>5</v>
      </c>
      <c r="V46" s="183">
        <f t="shared" si="9"/>
        <v>9.131875829863727</v>
      </c>
      <c r="W46" s="184">
        <f t="shared" si="5"/>
        <v>-10.403463669807934</v>
      </c>
      <c r="X46" s="184" t="s">
        <v>5</v>
      </c>
      <c r="Y46" s="184">
        <f t="shared" si="6"/>
        <v>1.1367951985389926</v>
      </c>
      <c r="Z46" s="188">
        <v>-23.2</v>
      </c>
    </row>
    <row r="47" spans="1:26" x14ac:dyDescent="0.2">
      <c r="A47" s="156" t="s">
        <v>775</v>
      </c>
      <c r="B47">
        <v>773</v>
      </c>
      <c r="C47" s="202">
        <f>1950-B47</f>
        <v>1177</v>
      </c>
      <c r="D47" s="136">
        <v>0.84602776959445902</v>
      </c>
      <c r="E47" s="201" t="s">
        <v>5</v>
      </c>
      <c r="F47" s="136">
        <v>1.5530379836566077E-3</v>
      </c>
      <c r="G47" s="131">
        <v>1343.130089789677</v>
      </c>
      <c r="H47" s="201" t="s">
        <v>5</v>
      </c>
      <c r="I47" s="131">
        <v>14.7458979806849</v>
      </c>
      <c r="J47" s="137">
        <v>-22.81801937604644</v>
      </c>
      <c r="K47" s="271">
        <f>(EXP(C47/8267)*EXP(-G47/8033)-1)*1000</f>
        <v>-24.522577190292271</v>
      </c>
      <c r="L47" s="201" t="s">
        <v>5</v>
      </c>
      <c r="M47" s="14">
        <f>I47/8.033</f>
        <v>1.8356651289287813</v>
      </c>
      <c r="O47" s="185">
        <v>780</v>
      </c>
      <c r="P47" s="188">
        <f t="shared" si="7"/>
        <v>1170</v>
      </c>
      <c r="Q47" s="182">
        <f>(Q28/(S28^2)+Q27/(S27^2))/(1/(S28^2)+1/(S27^2))</f>
        <v>0.858093227352691</v>
      </c>
      <c r="R47" s="181" t="s">
        <v>5</v>
      </c>
      <c r="S47" s="182">
        <f>SQRT(1/(1/(S28^2)+1/(S27^2)))</f>
        <v>9.5569873399911306E-4</v>
      </c>
      <c r="T47" s="183">
        <f t="shared" si="8"/>
        <v>1229.3906339199361</v>
      </c>
      <c r="U47" s="183" t="s">
        <v>5</v>
      </c>
      <c r="V47" s="183">
        <f t="shared" si="9"/>
        <v>8.9467294292714943</v>
      </c>
      <c r="W47" s="184">
        <f t="shared" si="5"/>
        <v>-11.449922397510083</v>
      </c>
      <c r="X47" s="184" t="s">
        <v>5</v>
      </c>
      <c r="Y47" s="184">
        <f t="shared" si="6"/>
        <v>1.113746972397796</v>
      </c>
      <c r="Z47" s="188">
        <v>-24.8</v>
      </c>
    </row>
    <row r="48" spans="1:26" x14ac:dyDescent="0.2">
      <c r="A48" s="156" t="s">
        <v>776</v>
      </c>
      <c r="B48">
        <v>774</v>
      </c>
      <c r="C48" s="202">
        <f>1950-B48</f>
        <v>1176</v>
      </c>
      <c r="D48" s="136">
        <v>0.85232725684768529</v>
      </c>
      <c r="E48" s="201" t="s">
        <v>5</v>
      </c>
      <c r="F48" s="136">
        <v>1.5471407859026351E-3</v>
      </c>
      <c r="G48" s="131">
        <v>1283.5388427919911</v>
      </c>
      <c r="H48" s="201" t="s">
        <v>5</v>
      </c>
      <c r="I48" s="131">
        <v>14.58133284641978</v>
      </c>
      <c r="J48" s="137">
        <v>-21.747420084013093</v>
      </c>
      <c r="K48" s="271">
        <f>(EXP(C48/8267)*EXP(-G48/8033)-1)*1000</f>
        <v>-17.378148366413939</v>
      </c>
      <c r="L48" s="201" t="s">
        <v>5</v>
      </c>
      <c r="M48" s="14">
        <f>I48/8.033</f>
        <v>1.8151789924585811</v>
      </c>
    </row>
    <row r="49" spans="1:32" x14ac:dyDescent="0.2">
      <c r="A49" s="156" t="s">
        <v>777</v>
      </c>
      <c r="B49">
        <v>775</v>
      </c>
      <c r="C49" s="202">
        <f>1950-B49</f>
        <v>1175</v>
      </c>
      <c r="D49" s="136">
        <v>0.85760229938420496</v>
      </c>
      <c r="E49" s="201" t="s">
        <v>5</v>
      </c>
      <c r="F49" s="136">
        <v>1.567919422422615E-3</v>
      </c>
      <c r="G49" s="131">
        <v>1233.9763791818762</v>
      </c>
      <c r="H49" s="201" t="s">
        <v>5</v>
      </c>
      <c r="I49" s="131">
        <v>14.686272045343522</v>
      </c>
      <c r="J49" s="137">
        <v>-22.840535995259593</v>
      </c>
      <c r="K49" s="271">
        <f>(EXP(C49/8267)*EXP(-G49/8033)-1)*1000</f>
        <v>-11.416359588239056</v>
      </c>
      <c r="L49" s="201" t="s">
        <v>5</v>
      </c>
      <c r="M49" s="14">
        <f>I49/8.033</f>
        <v>1.8282425053334399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2">
      <c r="B50" s="198"/>
      <c r="C50" s="198"/>
      <c r="D50" s="199"/>
      <c r="E50" s="199"/>
      <c r="F50" s="199"/>
      <c r="G50" s="200"/>
      <c r="H50" s="200"/>
      <c r="I50" s="200"/>
      <c r="J50" s="201"/>
      <c r="K50" s="201"/>
      <c r="L50" s="201"/>
      <c r="M50" s="201"/>
    </row>
    <row r="51" spans="1:32" x14ac:dyDescent="0.2">
      <c r="B51" s="198"/>
      <c r="C51" s="198"/>
      <c r="D51" s="199"/>
      <c r="E51" s="199"/>
      <c r="F51" s="199"/>
      <c r="G51" s="200"/>
      <c r="H51" s="200"/>
      <c r="I51" s="200"/>
      <c r="J51" s="201"/>
      <c r="K51" s="201"/>
      <c r="L51" s="201"/>
      <c r="M51" s="201"/>
    </row>
    <row r="52" spans="1:32" x14ac:dyDescent="0.2">
      <c r="B52" s="198"/>
      <c r="C52" s="198"/>
      <c r="D52" s="199"/>
      <c r="E52" s="199"/>
      <c r="F52" s="199"/>
      <c r="G52" s="200"/>
      <c r="H52" s="200"/>
      <c r="I52" s="200"/>
      <c r="J52" s="201"/>
      <c r="K52" s="201"/>
      <c r="L52" s="201"/>
      <c r="M52" s="201"/>
    </row>
    <row r="53" spans="1:32" x14ac:dyDescent="0.2">
      <c r="B53" s="198"/>
      <c r="C53" s="198"/>
      <c r="D53" s="199"/>
      <c r="E53" s="199"/>
      <c r="F53" s="199"/>
      <c r="G53" s="200"/>
      <c r="H53" s="200"/>
      <c r="I53" s="200"/>
      <c r="J53" s="201"/>
      <c r="K53" s="201"/>
      <c r="L53" s="201"/>
      <c r="M53" s="201"/>
    </row>
    <row r="54" spans="1:32" x14ac:dyDescent="0.2">
      <c r="B54" s="198"/>
      <c r="C54" s="198"/>
      <c r="D54" s="199"/>
      <c r="E54" s="199"/>
      <c r="F54" s="199"/>
      <c r="G54" s="200"/>
      <c r="H54" s="200"/>
      <c r="I54" s="200"/>
      <c r="J54" s="201"/>
      <c r="K54" s="201"/>
      <c r="L54" s="201"/>
      <c r="M54" s="201"/>
    </row>
    <row r="55" spans="1:32" x14ac:dyDescent="0.2">
      <c r="B55" s="198"/>
      <c r="C55" s="198"/>
      <c r="D55" s="199"/>
      <c r="E55" s="199"/>
      <c r="F55" s="199"/>
      <c r="G55" s="200"/>
      <c r="H55" s="200"/>
      <c r="I55" s="200"/>
      <c r="J55" s="201"/>
      <c r="K55" s="201"/>
      <c r="L55" s="201"/>
      <c r="M55" s="201"/>
    </row>
    <row r="56" spans="1:32" x14ac:dyDescent="0.2">
      <c r="B56" s="198"/>
      <c r="C56" s="198"/>
      <c r="D56" s="199"/>
      <c r="E56" s="199"/>
      <c r="F56" s="199"/>
      <c r="G56" s="200"/>
      <c r="H56" s="200"/>
      <c r="I56" s="200"/>
      <c r="J56" s="201"/>
      <c r="K56" s="201"/>
      <c r="L56" s="201"/>
      <c r="M56" s="201"/>
    </row>
    <row r="57" spans="1:32" x14ac:dyDescent="0.2">
      <c r="B57" s="198"/>
      <c r="C57" s="198"/>
      <c r="D57" s="199"/>
      <c r="E57" s="199"/>
      <c r="F57" s="199"/>
      <c r="G57" s="200"/>
      <c r="H57" s="200"/>
      <c r="I57" s="200"/>
      <c r="J57" s="201"/>
      <c r="K57" s="201"/>
      <c r="L57" s="201"/>
      <c r="M57" s="201"/>
    </row>
    <row r="58" spans="1:32" x14ac:dyDescent="0.2">
      <c r="B58" s="198"/>
      <c r="C58" s="198"/>
      <c r="D58" s="199"/>
      <c r="E58" s="199"/>
      <c r="F58" s="199"/>
      <c r="G58" s="200"/>
      <c r="H58" s="200"/>
      <c r="I58" s="200"/>
      <c r="J58" s="201"/>
      <c r="K58" s="201"/>
      <c r="L58" s="201"/>
      <c r="M58" s="201"/>
    </row>
    <row r="59" spans="1:32" x14ac:dyDescent="0.2">
      <c r="B59" s="198"/>
      <c r="C59" s="198"/>
      <c r="D59" s="199"/>
      <c r="E59" s="199"/>
      <c r="F59" s="199"/>
      <c r="G59" s="200"/>
      <c r="H59" s="200"/>
      <c r="I59" s="200"/>
      <c r="J59" s="201"/>
      <c r="K59" s="201"/>
      <c r="L59" s="201"/>
      <c r="M59" s="201"/>
    </row>
    <row r="60" spans="1:32" x14ac:dyDescent="0.2">
      <c r="B60" s="198"/>
      <c r="C60" s="198"/>
      <c r="D60" s="199"/>
      <c r="E60" s="199"/>
      <c r="F60" s="199"/>
      <c r="G60" s="200"/>
      <c r="H60" s="200"/>
      <c r="I60" s="200"/>
      <c r="J60" s="201"/>
      <c r="K60" s="201"/>
      <c r="L60" s="201"/>
      <c r="M60" s="201"/>
    </row>
    <row r="69" spans="16:18" x14ac:dyDescent="0.2">
      <c r="P69" s="9"/>
      <c r="Q69" s="9"/>
      <c r="R69" s="9"/>
    </row>
    <row r="70" spans="16:18" x14ac:dyDescent="0.2">
      <c r="P70" s="9"/>
      <c r="Q70" s="9"/>
      <c r="R70" s="9"/>
    </row>
  </sheetData>
  <sortState ref="S22:AD44">
    <sortCondition ref="S22:S44"/>
  </sortState>
  <mergeCells count="9">
    <mergeCell ref="W5:Y5"/>
    <mergeCell ref="Q36:S36"/>
    <mergeCell ref="T36:V36"/>
    <mergeCell ref="W36:Y36"/>
    <mergeCell ref="D4:F4"/>
    <mergeCell ref="G4:I4"/>
    <mergeCell ref="K4:M4"/>
    <mergeCell ref="Q5:S5"/>
    <mergeCell ref="T5:V5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101" workbookViewId="0">
      <selection activeCell="M5" sqref="M5:V15"/>
    </sheetView>
  </sheetViews>
  <sheetFormatPr baseColWidth="10" defaultColWidth="12.6640625" defaultRowHeight="16" x14ac:dyDescent="0.2"/>
  <cols>
    <col min="1" max="1" width="9.6640625" bestFit="1" customWidth="1"/>
    <col min="2" max="3" width="7.6640625" bestFit="1" customWidth="1"/>
    <col min="4" max="5" width="7" bestFit="1" customWidth="1"/>
    <col min="6" max="6" width="7.6640625" bestFit="1" customWidth="1"/>
    <col min="7" max="7" width="6.1640625" bestFit="1" customWidth="1"/>
    <col min="8" max="8" width="5.6640625" bestFit="1" customWidth="1"/>
    <col min="9" max="9" width="11.5" customWidth="1"/>
    <col min="10" max="10" width="6.1640625" bestFit="1" customWidth="1"/>
    <col min="11" max="12" width="9.1640625" bestFit="1" customWidth="1"/>
    <col min="13" max="13" width="6.5" bestFit="1" customWidth="1"/>
    <col min="14" max="14" width="3.6640625" bestFit="1" customWidth="1"/>
    <col min="15" max="15" width="6.1640625" bestFit="1" customWidth="1"/>
    <col min="16" max="16" width="5" bestFit="1" customWidth="1"/>
    <col min="17" max="17" width="1.6640625" bestFit="1" customWidth="1"/>
    <col min="18" max="18" width="2.6640625" bestFit="1" customWidth="1"/>
    <col min="19" max="19" width="6.5" bestFit="1" customWidth="1"/>
    <col min="20" max="20" width="5" bestFit="1" customWidth="1"/>
    <col min="21" max="21" width="1.6640625" bestFit="1" customWidth="1"/>
    <col min="22" max="22" width="3.5" bestFit="1" customWidth="1"/>
    <col min="23" max="24" width="12.6640625" bestFit="1" customWidth="1"/>
    <col min="26" max="26" width="12.6640625" bestFit="1" customWidth="1"/>
    <col min="29" max="30" width="12.6640625" bestFit="1" customWidth="1"/>
  </cols>
  <sheetData>
    <row r="1" spans="1:22" s="225" customFormat="1" ht="14" x14ac:dyDescent="0.2"/>
    <row r="2" spans="1:22" s="225" customFormat="1" ht="14" x14ac:dyDescent="0.2"/>
    <row r="4" spans="1:22" ht="53" x14ac:dyDescent="0.2">
      <c r="A4" s="60" t="s">
        <v>166</v>
      </c>
      <c r="B4" s="60" t="s">
        <v>168</v>
      </c>
      <c r="C4" s="60" t="s">
        <v>169</v>
      </c>
      <c r="D4" s="60" t="s">
        <v>153</v>
      </c>
      <c r="E4" s="60" t="s">
        <v>178</v>
      </c>
      <c r="F4" s="60" t="s">
        <v>179</v>
      </c>
      <c r="G4" s="60" t="s">
        <v>180</v>
      </c>
      <c r="H4" s="60" t="s">
        <v>181</v>
      </c>
      <c r="I4" s="155"/>
      <c r="J4" s="155"/>
      <c r="K4" s="317" t="s">
        <v>17</v>
      </c>
      <c r="L4" s="318" t="s">
        <v>15</v>
      </c>
      <c r="M4" s="345" t="s">
        <v>1</v>
      </c>
      <c r="N4" s="345"/>
      <c r="O4" s="345"/>
      <c r="P4" s="345" t="s">
        <v>2</v>
      </c>
      <c r="Q4" s="345"/>
      <c r="R4" s="345"/>
      <c r="S4" s="317" t="s">
        <v>3</v>
      </c>
      <c r="T4" s="346" t="s">
        <v>16</v>
      </c>
      <c r="U4" s="345"/>
      <c r="V4" s="345"/>
    </row>
    <row r="5" spans="1:22" s="154" customFormat="1" x14ac:dyDescent="0.2">
      <c r="A5" s="258" t="s">
        <v>733</v>
      </c>
      <c r="B5" s="156" t="s">
        <v>216</v>
      </c>
      <c r="C5" s="156" t="s">
        <v>385</v>
      </c>
      <c r="D5" s="34">
        <v>0.84810318515630467</v>
      </c>
      <c r="E5" s="34">
        <v>1.3719362946494212E-3</v>
      </c>
      <c r="F5" s="32">
        <v>1323.4484141836047</v>
      </c>
      <c r="G5" s="32">
        <v>12.994483345960624</v>
      </c>
      <c r="H5" s="36">
        <v>-22.688817216372172</v>
      </c>
      <c r="I5" s="32"/>
      <c r="J5" s="33"/>
      <c r="K5" s="150">
        <v>770</v>
      </c>
      <c r="L5">
        <f>1950-K5</f>
        <v>1180</v>
      </c>
      <c r="M5" s="69">
        <f>D5</f>
        <v>0.84810318515630467</v>
      </c>
      <c r="N5" s="2" t="s">
        <v>5</v>
      </c>
      <c r="O5" s="13">
        <f>E5</f>
        <v>1.3719362946494212E-3</v>
      </c>
      <c r="P5" s="12">
        <f>-8033*LN(M5)</f>
        <v>1323.460607880419</v>
      </c>
      <c r="Q5" s="66" t="s">
        <v>5</v>
      </c>
      <c r="R5" s="12">
        <f>O5/M5*8033</f>
        <v>12.994603071662423</v>
      </c>
      <c r="S5" s="5">
        <f>H5</f>
        <v>-22.688817216372172</v>
      </c>
      <c r="T5" s="9">
        <f>(EXP(L5/8267)*EXP(-P5/8033)-1)*1000</f>
        <v>-21.776189455772197</v>
      </c>
      <c r="U5" s="2" t="s">
        <v>5</v>
      </c>
      <c r="V5" s="14">
        <f>R5/8.033</f>
        <v>1.6176525671184394</v>
      </c>
    </row>
    <row r="6" spans="1:22" s="154" customFormat="1" x14ac:dyDescent="0.2">
      <c r="A6" s="258" t="s">
        <v>734</v>
      </c>
      <c r="B6" s="156" t="s">
        <v>217</v>
      </c>
      <c r="C6" s="156" t="s">
        <v>385</v>
      </c>
      <c r="D6" s="34">
        <v>0.848370141888943</v>
      </c>
      <c r="E6" s="34">
        <v>1.3776872026175968E-3</v>
      </c>
      <c r="F6" s="32">
        <v>1320.920294632539</v>
      </c>
      <c r="G6" s="32">
        <v>13.044847746056858</v>
      </c>
      <c r="H6" s="36">
        <v>-22.910718539922993</v>
      </c>
      <c r="I6" s="32"/>
      <c r="J6" s="33"/>
      <c r="K6" s="150">
        <v>771</v>
      </c>
      <c r="L6">
        <f t="shared" ref="L6:L15" si="0">1950-K6</f>
        <v>1179</v>
      </c>
      <c r="M6" s="69">
        <f t="shared" ref="M6:M15" si="1">D6</f>
        <v>0.848370141888943</v>
      </c>
      <c r="N6" s="2" t="s">
        <v>5</v>
      </c>
      <c r="O6" s="13">
        <f t="shared" ref="O6:O15" si="2">E6</f>
        <v>1.3776872026175968E-3</v>
      </c>
      <c r="P6" s="12">
        <f t="shared" ref="P6:P15" si="3">-8033*LN(M6)</f>
        <v>1320.9324650363237</v>
      </c>
      <c r="Q6" s="66" t="s">
        <v>5</v>
      </c>
      <c r="R6" s="12">
        <f t="shared" ref="R6:R15" si="4">O6/M6*8033</f>
        <v>13.044967935795047</v>
      </c>
      <c r="S6" s="5">
        <f t="shared" ref="S6:S15" si="5">H6</f>
        <v>-22.910718539922993</v>
      </c>
      <c r="T6" s="9">
        <f t="shared" ref="T6:T15" si="6">(EXP(L6/8267)*EXP(-P6/8033)-1)*1000</f>
        <v>-21.586633604080198</v>
      </c>
      <c r="U6" s="2" t="s">
        <v>5</v>
      </c>
      <c r="V6" s="14">
        <f t="shared" ref="V6:V15" si="7">R6/8.033</f>
        <v>1.6239223124355842</v>
      </c>
    </row>
    <row r="7" spans="1:22" s="154" customFormat="1" x14ac:dyDescent="0.2">
      <c r="A7" s="258" t="s">
        <v>735</v>
      </c>
      <c r="B7" s="156" t="s">
        <v>218</v>
      </c>
      <c r="C7" s="156" t="s">
        <v>385</v>
      </c>
      <c r="D7" s="34">
        <v>0.84657906136854022</v>
      </c>
      <c r="E7" s="34">
        <v>1.3683874885479534E-3</v>
      </c>
      <c r="F7" s="32">
        <v>1337.8973492682821</v>
      </c>
      <c r="G7" s="32">
        <v>12.984204216723127</v>
      </c>
      <c r="H7" s="36">
        <v>-22.455297466075884</v>
      </c>
      <c r="I7" s="32"/>
      <c r="J7" s="33"/>
      <c r="K7" s="150">
        <v>772</v>
      </c>
      <c r="L7">
        <f t="shared" si="0"/>
        <v>1178</v>
      </c>
      <c r="M7" s="69">
        <f t="shared" si="1"/>
        <v>0.84657906136854022</v>
      </c>
      <c r="N7" s="2" t="s">
        <v>5</v>
      </c>
      <c r="O7" s="13">
        <f t="shared" si="2"/>
        <v>1.3683874885479534E-3</v>
      </c>
      <c r="P7" s="12">
        <f t="shared" si="3"/>
        <v>1337.9096760915047</v>
      </c>
      <c r="Q7" s="66" t="s">
        <v>5</v>
      </c>
      <c r="R7" s="12">
        <f t="shared" si="4"/>
        <v>12.984323847717354</v>
      </c>
      <c r="S7" s="5">
        <f t="shared" si="5"/>
        <v>-22.455297466075884</v>
      </c>
      <c r="T7" s="9">
        <f t="shared" si="6"/>
        <v>-23.77035628285007</v>
      </c>
      <c r="U7" s="2" t="s">
        <v>5</v>
      </c>
      <c r="V7" s="14">
        <f t="shared" si="7"/>
        <v>1.6163729425765412</v>
      </c>
    </row>
    <row r="8" spans="1:22" s="154" customFormat="1" x14ac:dyDescent="0.2">
      <c r="A8" s="258" t="s">
        <v>736</v>
      </c>
      <c r="B8" s="156" t="s">
        <v>219</v>
      </c>
      <c r="C8" s="156" t="s">
        <v>385</v>
      </c>
      <c r="D8" s="34">
        <v>0.84838556333486359</v>
      </c>
      <c r="E8" s="34">
        <v>1.3711561898624432E-3</v>
      </c>
      <c r="F8" s="32">
        <v>1320.7742755759002</v>
      </c>
      <c r="G8" s="32">
        <v>12.982771828244353</v>
      </c>
      <c r="H8" s="36">
        <v>-22.171782785533001</v>
      </c>
      <c r="I8" s="32"/>
      <c r="J8" s="33"/>
      <c r="K8" s="150">
        <v>773</v>
      </c>
      <c r="L8">
        <f t="shared" si="0"/>
        <v>1177</v>
      </c>
      <c r="M8" s="69">
        <f t="shared" si="1"/>
        <v>0.84838556333486359</v>
      </c>
      <c r="N8" s="2" t="s">
        <v>5</v>
      </c>
      <c r="O8" s="13">
        <f t="shared" si="2"/>
        <v>1.3711561898624432E-3</v>
      </c>
      <c r="P8" s="12">
        <f t="shared" si="3"/>
        <v>1320.7864446343269</v>
      </c>
      <c r="Q8" s="66" t="s">
        <v>5</v>
      </c>
      <c r="R8" s="12">
        <f t="shared" si="4"/>
        <v>12.982891446041153</v>
      </c>
      <c r="S8" s="5">
        <f t="shared" si="5"/>
        <v>-22.171782785533001</v>
      </c>
      <c r="T8" s="9">
        <f t="shared" si="6"/>
        <v>-21.805527306082652</v>
      </c>
      <c r="U8" s="2" t="s">
        <v>5</v>
      </c>
      <c r="V8" s="14">
        <f t="shared" si="7"/>
        <v>1.6161946279149948</v>
      </c>
    </row>
    <row r="9" spans="1:22" s="154" customFormat="1" x14ac:dyDescent="0.2">
      <c r="A9" s="258" t="s">
        <v>737</v>
      </c>
      <c r="B9" s="156" t="s">
        <v>298</v>
      </c>
      <c r="C9" s="156" t="s">
        <v>385</v>
      </c>
      <c r="D9" s="34">
        <v>0.85514205386894127</v>
      </c>
      <c r="E9" s="34">
        <v>1.3858128844997934E-3</v>
      </c>
      <c r="F9" s="32">
        <v>1257.0539431995403</v>
      </c>
      <c r="G9" s="32">
        <v>13.017874964794727</v>
      </c>
      <c r="H9" s="36">
        <v>-23.233966650484827</v>
      </c>
      <c r="I9" s="32"/>
      <c r="J9" s="33"/>
      <c r="K9" s="150">
        <v>774</v>
      </c>
      <c r="L9">
        <f t="shared" si="0"/>
        <v>1176</v>
      </c>
      <c r="M9" s="69">
        <f t="shared" si="1"/>
        <v>0.85514205386894127</v>
      </c>
      <c r="N9" s="2" t="s">
        <v>5</v>
      </c>
      <c r="O9" s="13">
        <f t="shared" si="2"/>
        <v>1.3858128844997934E-3</v>
      </c>
      <c r="P9" s="12">
        <f t="shared" si="3"/>
        <v>1257.0655251656362</v>
      </c>
      <c r="Q9" s="66" t="s">
        <v>5</v>
      </c>
      <c r="R9" s="12">
        <f t="shared" si="4"/>
        <v>13.017994906017057</v>
      </c>
      <c r="S9" s="5">
        <f t="shared" si="5"/>
        <v>-23.233966650484827</v>
      </c>
      <c r="T9" s="9">
        <f t="shared" si="6"/>
        <v>-14.134506915205236</v>
      </c>
      <c r="U9" s="2" t="s">
        <v>5</v>
      </c>
      <c r="V9" s="14">
        <f t="shared" si="7"/>
        <v>1.6205645345471253</v>
      </c>
    </row>
    <row r="10" spans="1:22" s="154" customFormat="1" x14ac:dyDescent="0.2">
      <c r="A10" s="258" t="s">
        <v>738</v>
      </c>
      <c r="B10" s="156" t="s">
        <v>299</v>
      </c>
      <c r="C10" s="156" t="s">
        <v>385</v>
      </c>
      <c r="D10" s="34">
        <v>0.85924513388288126</v>
      </c>
      <c r="E10" s="34">
        <v>1.366889294158027E-3</v>
      </c>
      <c r="F10" s="32">
        <v>1218.6031180399541</v>
      </c>
      <c r="G10" s="32">
        <v>12.778798623091914</v>
      </c>
      <c r="H10" s="36">
        <v>-21.925098461308078</v>
      </c>
      <c r="I10" s="32"/>
      <c r="J10" s="33"/>
      <c r="K10" s="150">
        <v>775</v>
      </c>
      <c r="L10">
        <f t="shared" si="0"/>
        <v>1175</v>
      </c>
      <c r="M10" s="69">
        <f t="shared" si="1"/>
        <v>0.85924513388288126</v>
      </c>
      <c r="N10" s="2" t="s">
        <v>5</v>
      </c>
      <c r="O10" s="13">
        <f t="shared" si="2"/>
        <v>1.366889294158027E-3</v>
      </c>
      <c r="P10" s="12">
        <f t="shared" si="3"/>
        <v>1218.6143457363262</v>
      </c>
      <c r="Q10" s="66" t="s">
        <v>5</v>
      </c>
      <c r="R10" s="12">
        <f t="shared" si="4"/>
        <v>12.778916361565431</v>
      </c>
      <c r="S10" s="5">
        <f t="shared" si="5"/>
        <v>-21.925098461308078</v>
      </c>
      <c r="T10" s="9">
        <f t="shared" si="6"/>
        <v>-9.5240173216408763</v>
      </c>
      <c r="U10" s="2" t="s">
        <v>5</v>
      </c>
      <c r="V10" s="14">
        <f t="shared" si="7"/>
        <v>1.5908024849452798</v>
      </c>
    </row>
    <row r="11" spans="1:22" s="154" customFormat="1" x14ac:dyDescent="0.2">
      <c r="A11" s="258" t="s">
        <v>739</v>
      </c>
      <c r="B11" s="156" t="s">
        <v>220</v>
      </c>
      <c r="C11" s="156" t="s">
        <v>385</v>
      </c>
      <c r="D11" s="34">
        <v>0.86081363834461821</v>
      </c>
      <c r="E11" s="34">
        <v>1.4394910457504954E-3</v>
      </c>
      <c r="F11" s="32">
        <v>1203.9528235862831</v>
      </c>
      <c r="G11" s="32">
        <v>13.433017921439099</v>
      </c>
      <c r="H11" s="36">
        <v>-24.106762320334816</v>
      </c>
      <c r="I11" s="32"/>
      <c r="J11" s="33"/>
      <c r="K11" s="150">
        <v>776</v>
      </c>
      <c r="L11">
        <f t="shared" si="0"/>
        <v>1174</v>
      </c>
      <c r="M11" s="69">
        <f t="shared" si="1"/>
        <v>0.86081363834461821</v>
      </c>
      <c r="N11" s="2" t="s">
        <v>5</v>
      </c>
      <c r="O11" s="13">
        <f t="shared" si="2"/>
        <v>1.4394910457504954E-3</v>
      </c>
      <c r="P11" s="12">
        <f t="shared" si="3"/>
        <v>1203.9639163010065</v>
      </c>
      <c r="Q11" s="66" t="s">
        <v>5</v>
      </c>
      <c r="R11" s="12">
        <f t="shared" si="4"/>
        <v>13.433141687613951</v>
      </c>
      <c r="S11" s="5">
        <f t="shared" si="5"/>
        <v>-24.106762320334816</v>
      </c>
      <c r="T11" s="9">
        <f t="shared" si="6"/>
        <v>-7.8359804653482801</v>
      </c>
      <c r="U11" s="2" t="s">
        <v>5</v>
      </c>
      <c r="V11" s="14">
        <f t="shared" si="7"/>
        <v>1.6722447015578179</v>
      </c>
    </row>
    <row r="12" spans="1:22" s="154" customFormat="1" x14ac:dyDescent="0.2">
      <c r="A12" s="258" t="s">
        <v>740</v>
      </c>
      <c r="B12" s="156" t="s">
        <v>221</v>
      </c>
      <c r="C12" s="156" t="s">
        <v>385</v>
      </c>
      <c r="D12" s="34">
        <v>0.85879878944915411</v>
      </c>
      <c r="E12" s="34">
        <v>1.3832294166725163E-3</v>
      </c>
      <c r="F12" s="32">
        <v>1222.7769948928799</v>
      </c>
      <c r="G12" s="32">
        <v>12.938280380765017</v>
      </c>
      <c r="H12" s="36">
        <v>-22.000462129770138</v>
      </c>
      <c r="I12" s="32"/>
      <c r="J12" s="33"/>
      <c r="K12" s="150">
        <v>777</v>
      </c>
      <c r="L12">
        <f t="shared" si="0"/>
        <v>1173</v>
      </c>
      <c r="M12" s="69">
        <f t="shared" si="1"/>
        <v>0.85879878944915411</v>
      </c>
      <c r="N12" s="2" t="s">
        <v>5</v>
      </c>
      <c r="O12" s="13">
        <f t="shared" si="2"/>
        <v>1.3832294166725163E-3</v>
      </c>
      <c r="P12" s="12">
        <f t="shared" si="3"/>
        <v>1222.788261045597</v>
      </c>
      <c r="Q12" s="66" t="s">
        <v>5</v>
      </c>
      <c r="R12" s="12">
        <f t="shared" si="4"/>
        <v>12.938399588636342</v>
      </c>
      <c r="S12" s="5">
        <f t="shared" si="5"/>
        <v>-22.000462129770138</v>
      </c>
      <c r="T12" s="9">
        <f t="shared" si="6"/>
        <v>-10.277999260093651</v>
      </c>
      <c r="U12" s="2" t="s">
        <v>5</v>
      </c>
      <c r="V12" s="14">
        <f t="shared" si="7"/>
        <v>1.6106559926100266</v>
      </c>
    </row>
    <row r="13" spans="1:22" s="154" customFormat="1" x14ac:dyDescent="0.2">
      <c r="A13" s="258" t="s">
        <v>741</v>
      </c>
      <c r="B13" s="156" t="s">
        <v>222</v>
      </c>
      <c r="C13" s="156" t="s">
        <v>385</v>
      </c>
      <c r="D13" s="34">
        <v>0.86031725471489795</v>
      </c>
      <c r="E13" s="34">
        <v>1.3789734421850101E-3</v>
      </c>
      <c r="F13" s="32">
        <v>1208.586303916956</v>
      </c>
      <c r="G13" s="32">
        <v>12.875705490947839</v>
      </c>
      <c r="H13" s="36">
        <v>-21.879502619198355</v>
      </c>
      <c r="I13" s="32"/>
      <c r="J13" s="33"/>
      <c r="K13" s="150">
        <v>778</v>
      </c>
      <c r="L13">
        <f t="shared" si="0"/>
        <v>1172</v>
      </c>
      <c r="M13" s="69">
        <f t="shared" si="1"/>
        <v>0.86031725471489795</v>
      </c>
      <c r="N13" s="2" t="s">
        <v>5</v>
      </c>
      <c r="O13" s="13">
        <f t="shared" si="2"/>
        <v>1.3789734421850101E-3</v>
      </c>
      <c r="P13" s="12">
        <f t="shared" si="3"/>
        <v>1208.5974393226177</v>
      </c>
      <c r="Q13" s="66" t="s">
        <v>5</v>
      </c>
      <c r="R13" s="12">
        <f t="shared" si="4"/>
        <v>12.875824122280459</v>
      </c>
      <c r="S13" s="5">
        <f t="shared" si="5"/>
        <v>-21.879502619198355</v>
      </c>
      <c r="T13" s="9">
        <f t="shared" si="6"/>
        <v>-8.6479691732170849</v>
      </c>
      <c r="U13" s="2" t="s">
        <v>5</v>
      </c>
      <c r="V13" s="14">
        <f t="shared" si="7"/>
        <v>1.6028661922420591</v>
      </c>
    </row>
    <row r="14" spans="1:22" s="154" customFormat="1" x14ac:dyDescent="0.2">
      <c r="A14" s="258" t="s">
        <v>742</v>
      </c>
      <c r="B14" s="156" t="s">
        <v>223</v>
      </c>
      <c r="C14" s="156" t="s">
        <v>385</v>
      </c>
      <c r="D14" s="34">
        <v>0.85763409721884665</v>
      </c>
      <c r="E14" s="34">
        <v>1.3668072842242963E-3</v>
      </c>
      <c r="F14" s="32">
        <v>1233.6785430902557</v>
      </c>
      <c r="G14" s="32">
        <v>12.802035028268437</v>
      </c>
      <c r="H14" s="36">
        <v>-21.202327311016123</v>
      </c>
      <c r="I14" s="32"/>
      <c r="J14" s="33"/>
      <c r="K14" s="150">
        <v>779</v>
      </c>
      <c r="L14">
        <f t="shared" si="0"/>
        <v>1171</v>
      </c>
      <c r="M14" s="69">
        <f t="shared" si="1"/>
        <v>0.85763409721884665</v>
      </c>
      <c r="N14" s="2" t="s">
        <v>5</v>
      </c>
      <c r="O14" s="13">
        <f t="shared" si="2"/>
        <v>1.3668072842242963E-3</v>
      </c>
      <c r="P14" s="12">
        <f t="shared" si="3"/>
        <v>1233.6899096852508</v>
      </c>
      <c r="Q14" s="66" t="s">
        <v>5</v>
      </c>
      <c r="R14" s="12">
        <f t="shared" si="4"/>
        <v>12.802152980832412</v>
      </c>
      <c r="S14" s="5">
        <f t="shared" si="5"/>
        <v>-21.202327311016123</v>
      </c>
      <c r="T14" s="9">
        <f t="shared" si="6"/>
        <v>-11.859333490397695</v>
      </c>
      <c r="U14" s="2" t="s">
        <v>5</v>
      </c>
      <c r="V14" s="14">
        <f t="shared" si="7"/>
        <v>1.5936951301920095</v>
      </c>
    </row>
    <row r="15" spans="1:22" s="154" customFormat="1" x14ac:dyDescent="0.2">
      <c r="A15" s="258" t="s">
        <v>743</v>
      </c>
      <c r="B15" s="156" t="s">
        <v>224</v>
      </c>
      <c r="C15" s="156" t="s">
        <v>385</v>
      </c>
      <c r="D15" s="34">
        <v>0.85685704006544827</v>
      </c>
      <c r="E15" s="34">
        <v>1.3654368326020433E-3</v>
      </c>
      <c r="F15" s="32">
        <v>1240.9600540801446</v>
      </c>
      <c r="G15" s="32">
        <v>12.800796987959123</v>
      </c>
      <c r="H15" s="36">
        <v>-21.666249183556975</v>
      </c>
      <c r="I15" s="32"/>
      <c r="J15" s="33"/>
      <c r="K15" s="150">
        <v>780</v>
      </c>
      <c r="L15">
        <f t="shared" si="0"/>
        <v>1170</v>
      </c>
      <c r="M15" s="69">
        <f t="shared" si="1"/>
        <v>0.85685704006544827</v>
      </c>
      <c r="N15" s="2" t="s">
        <v>5</v>
      </c>
      <c r="O15" s="13">
        <f t="shared" si="2"/>
        <v>1.3654368326020433E-3</v>
      </c>
      <c r="P15" s="12">
        <f t="shared" si="3"/>
        <v>1240.971487763918</v>
      </c>
      <c r="Q15" s="66" t="s">
        <v>5</v>
      </c>
      <c r="R15" s="12">
        <f t="shared" si="4"/>
        <v>12.800914929116315</v>
      </c>
      <c r="S15" s="5">
        <f t="shared" si="5"/>
        <v>-21.666249183556975</v>
      </c>
      <c r="T15" s="9">
        <f t="shared" si="6"/>
        <v>-12.874048587743548</v>
      </c>
      <c r="U15" s="2" t="s">
        <v>5</v>
      </c>
      <c r="V15" s="14">
        <f t="shared" si="7"/>
        <v>1.5935410094754532</v>
      </c>
    </row>
    <row r="16" spans="1:22" x14ac:dyDescent="0.2">
      <c r="K16" s="150"/>
      <c r="M16" s="69"/>
      <c r="N16" s="2"/>
      <c r="O16" s="13"/>
      <c r="P16" s="12"/>
      <c r="Q16" s="66"/>
      <c r="R16" s="12"/>
      <c r="S16" s="5"/>
      <c r="T16" s="9"/>
      <c r="U16" s="2"/>
      <c r="V16" s="14"/>
    </row>
    <row r="17" spans="11:22" x14ac:dyDescent="0.2">
      <c r="K17" s="150"/>
      <c r="M17" s="69"/>
      <c r="N17" s="2"/>
      <c r="O17" s="13"/>
      <c r="P17" s="12"/>
      <c r="Q17" s="66"/>
      <c r="R17" s="12"/>
      <c r="S17" s="5"/>
      <c r="T17" s="9"/>
      <c r="U17" s="2"/>
      <c r="V17" s="14"/>
    </row>
    <row r="18" spans="11:22" x14ac:dyDescent="0.2">
      <c r="K18" s="150"/>
      <c r="M18" s="69"/>
      <c r="N18" s="2"/>
      <c r="O18" s="13"/>
      <c r="P18" s="12"/>
      <c r="Q18" s="66"/>
      <c r="R18" s="12"/>
      <c r="S18" s="5"/>
      <c r="T18" s="9"/>
      <c r="U18" s="2"/>
      <c r="V18" s="14"/>
    </row>
    <row r="19" spans="11:22" x14ac:dyDescent="0.2">
      <c r="K19" s="150"/>
      <c r="M19" s="34"/>
      <c r="N19" s="2"/>
      <c r="O19" s="13"/>
      <c r="P19" s="12"/>
      <c r="Q19" s="66"/>
      <c r="R19" s="12"/>
      <c r="S19" s="5"/>
      <c r="T19" s="9"/>
      <c r="U19" s="2"/>
      <c r="V19" s="14"/>
    </row>
    <row r="20" spans="11:22" x14ac:dyDescent="0.2">
      <c r="K20" s="150"/>
      <c r="M20" s="34"/>
      <c r="N20" s="2"/>
      <c r="O20" s="13"/>
      <c r="P20" s="12"/>
      <c r="Q20" s="66"/>
      <c r="R20" s="12"/>
      <c r="S20" s="5"/>
      <c r="T20" s="9"/>
      <c r="U20" s="2"/>
      <c r="V20" s="14"/>
    </row>
    <row r="21" spans="11:22" x14ac:dyDescent="0.2">
      <c r="K21" s="150"/>
      <c r="M21" s="34"/>
      <c r="N21" s="2"/>
      <c r="O21" s="13"/>
      <c r="P21" s="12"/>
      <c r="Q21" s="66"/>
      <c r="R21" s="12"/>
      <c r="S21" s="5"/>
      <c r="T21" s="9"/>
      <c r="U21" s="2"/>
      <c r="V21" s="14"/>
    </row>
    <row r="22" spans="11:22" x14ac:dyDescent="0.2">
      <c r="K22" s="150"/>
      <c r="M22" s="34"/>
      <c r="N22" s="2"/>
      <c r="O22" s="13"/>
      <c r="P22" s="12"/>
      <c r="Q22" s="66"/>
      <c r="R22" s="12"/>
      <c r="S22" s="5"/>
      <c r="T22" s="9"/>
      <c r="U22" s="2"/>
      <c r="V22" s="14"/>
    </row>
    <row r="23" spans="11:22" x14ac:dyDescent="0.2">
      <c r="K23" s="150"/>
      <c r="M23" s="34"/>
      <c r="N23" s="2"/>
      <c r="O23" s="13"/>
      <c r="P23" s="12"/>
      <c r="Q23" s="66"/>
      <c r="R23" s="12"/>
      <c r="S23" s="5"/>
      <c r="T23" s="9"/>
      <c r="U23" s="2"/>
      <c r="V23" s="14"/>
    </row>
    <row r="24" spans="11:22" x14ac:dyDescent="0.2">
      <c r="K24" s="150"/>
      <c r="M24" s="34"/>
      <c r="N24" s="2"/>
      <c r="O24" s="13"/>
      <c r="P24" s="12"/>
      <c r="Q24" s="66"/>
      <c r="R24" s="12"/>
      <c r="S24" s="5"/>
      <c r="T24" s="9"/>
      <c r="U24" s="2"/>
      <c r="V24" s="14"/>
    </row>
    <row r="25" spans="11:22" x14ac:dyDescent="0.2">
      <c r="K25" s="150"/>
      <c r="M25" s="34"/>
      <c r="N25" s="2"/>
      <c r="O25" s="13"/>
      <c r="P25" s="12"/>
      <c r="Q25" s="66"/>
      <c r="R25" s="12"/>
      <c r="S25" s="5"/>
      <c r="T25" s="9"/>
      <c r="U25" s="2"/>
      <c r="V25" s="14"/>
    </row>
    <row r="26" spans="11:22" x14ac:dyDescent="0.2">
      <c r="K26" s="150"/>
      <c r="M26" s="34"/>
      <c r="N26" s="2"/>
      <c r="O26" s="13"/>
      <c r="P26" s="12"/>
      <c r="Q26" s="66"/>
      <c r="R26" s="12"/>
      <c r="S26" s="5"/>
      <c r="T26" s="9"/>
      <c r="U26" s="2"/>
      <c r="V26" s="14"/>
    </row>
    <row r="27" spans="11:22" x14ac:dyDescent="0.2">
      <c r="K27" s="150"/>
      <c r="M27" s="34"/>
      <c r="N27" s="2"/>
      <c r="O27" s="13"/>
      <c r="P27" s="12"/>
      <c r="Q27" s="66"/>
      <c r="R27" s="12"/>
      <c r="S27" s="5"/>
      <c r="T27" s="9"/>
      <c r="U27" s="2"/>
      <c r="V27" s="14"/>
    </row>
    <row r="28" spans="11:22" x14ac:dyDescent="0.2">
      <c r="K28" s="150"/>
      <c r="M28" s="34"/>
      <c r="N28" s="2"/>
      <c r="O28" s="13"/>
      <c r="P28" s="12"/>
      <c r="Q28" s="66"/>
      <c r="R28" s="12"/>
      <c r="S28" s="5"/>
      <c r="T28" s="9"/>
      <c r="U28" s="2"/>
      <c r="V28" s="14"/>
    </row>
    <row r="29" spans="11:22" x14ac:dyDescent="0.2">
      <c r="K29" s="150"/>
      <c r="M29" s="34"/>
      <c r="N29" s="2"/>
      <c r="O29" s="13"/>
      <c r="P29" s="12"/>
      <c r="Q29" s="66"/>
      <c r="R29" s="12"/>
      <c r="S29" s="5"/>
      <c r="T29" s="9"/>
      <c r="U29" s="2"/>
      <c r="V29" s="14"/>
    </row>
  </sheetData>
  <mergeCells count="3">
    <mergeCell ref="M4:O4"/>
    <mergeCell ref="P4:R4"/>
    <mergeCell ref="T4:V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M5" sqref="M5:V15"/>
    </sheetView>
  </sheetViews>
  <sheetFormatPr baseColWidth="10" defaultColWidth="12.6640625" defaultRowHeight="16" x14ac:dyDescent="0.2"/>
  <cols>
    <col min="1" max="1" width="9.6640625" bestFit="1" customWidth="1"/>
    <col min="2" max="3" width="7.6640625" bestFit="1" customWidth="1"/>
    <col min="4" max="5" width="7" bestFit="1" customWidth="1"/>
    <col min="6" max="6" width="7.6640625" bestFit="1" customWidth="1"/>
    <col min="7" max="7" width="6.1640625" bestFit="1" customWidth="1"/>
    <col min="8" max="8" width="5.6640625" bestFit="1" customWidth="1"/>
    <col min="9" max="9" width="11.5" customWidth="1"/>
    <col min="10" max="10" width="6.1640625" bestFit="1" customWidth="1"/>
    <col min="11" max="12" width="9.1640625" bestFit="1" customWidth="1"/>
    <col min="13" max="13" width="6.5" bestFit="1" customWidth="1"/>
    <col min="14" max="14" width="3.6640625" bestFit="1" customWidth="1"/>
    <col min="15" max="15" width="6.1640625" bestFit="1" customWidth="1"/>
    <col min="16" max="16" width="5" bestFit="1" customWidth="1"/>
    <col min="17" max="17" width="1.6640625" bestFit="1" customWidth="1"/>
    <col min="18" max="18" width="2.6640625" bestFit="1" customWidth="1"/>
    <col min="19" max="19" width="6.5" bestFit="1" customWidth="1"/>
    <col min="20" max="20" width="5" bestFit="1" customWidth="1"/>
    <col min="21" max="21" width="1.6640625" bestFit="1" customWidth="1"/>
    <col min="22" max="22" width="3.5" bestFit="1" customWidth="1"/>
    <col min="23" max="24" width="12.6640625" bestFit="1" customWidth="1"/>
    <col min="26" max="26" width="12.6640625" bestFit="1" customWidth="1"/>
    <col min="29" max="30" width="12.6640625" bestFit="1" customWidth="1"/>
  </cols>
  <sheetData>
    <row r="1" spans="1:22" s="225" customFormat="1" ht="14" x14ac:dyDescent="0.2"/>
    <row r="2" spans="1:22" s="225" customFormat="1" ht="14" x14ac:dyDescent="0.2"/>
    <row r="4" spans="1:22" ht="53" x14ac:dyDescent="0.2">
      <c r="A4" s="60" t="s">
        <v>166</v>
      </c>
      <c r="B4" s="60" t="s">
        <v>168</v>
      </c>
      <c r="C4" s="60" t="s">
        <v>169</v>
      </c>
      <c r="D4" s="60" t="s">
        <v>153</v>
      </c>
      <c r="E4" s="60" t="s">
        <v>178</v>
      </c>
      <c r="F4" s="60" t="s">
        <v>179</v>
      </c>
      <c r="G4" s="60" t="s">
        <v>180</v>
      </c>
      <c r="H4" s="60" t="s">
        <v>181</v>
      </c>
      <c r="I4" s="155"/>
      <c r="J4" s="155"/>
      <c r="K4" s="317" t="s">
        <v>17</v>
      </c>
      <c r="L4" s="318" t="s">
        <v>15</v>
      </c>
      <c r="M4" s="345" t="s">
        <v>1</v>
      </c>
      <c r="N4" s="345"/>
      <c r="O4" s="345"/>
      <c r="P4" s="345" t="s">
        <v>2</v>
      </c>
      <c r="Q4" s="345"/>
      <c r="R4" s="345"/>
      <c r="S4" s="317" t="s">
        <v>3</v>
      </c>
      <c r="T4" s="346" t="s">
        <v>16</v>
      </c>
      <c r="U4" s="345"/>
      <c r="V4" s="345"/>
    </row>
    <row r="5" spans="1:22" s="154" customFormat="1" x14ac:dyDescent="0.2">
      <c r="A5" s="258" t="s">
        <v>744</v>
      </c>
      <c r="B5" s="156" t="s">
        <v>216</v>
      </c>
      <c r="C5" s="156" t="s">
        <v>385</v>
      </c>
      <c r="D5" s="34">
        <v>0.84744420767350359</v>
      </c>
      <c r="E5" s="34">
        <v>1.3539834506415907E-3</v>
      </c>
      <c r="F5" s="32">
        <v>1329.6924361861911</v>
      </c>
      <c r="G5" s="32">
        <v>12.834412872842643</v>
      </c>
      <c r="H5" s="36">
        <v>-20.816458423390081</v>
      </c>
      <c r="I5" s="32"/>
      <c r="J5" s="33"/>
      <c r="K5" s="150">
        <v>770</v>
      </c>
      <c r="L5">
        <f>1950-K5</f>
        <v>1180</v>
      </c>
      <c r="M5" s="69">
        <f>D5</f>
        <v>0.84744420767350359</v>
      </c>
      <c r="N5" s="2" t="s">
        <v>5</v>
      </c>
      <c r="O5" s="13">
        <f>E5</f>
        <v>1.3539834506415907E-3</v>
      </c>
      <c r="P5" s="12">
        <f>-8033*LN(M5)</f>
        <v>1329.7046874127968</v>
      </c>
      <c r="Q5" s="66" t="s">
        <v>5</v>
      </c>
      <c r="R5" s="12">
        <f>O5/M5*8033</f>
        <v>12.834531123722455</v>
      </c>
      <c r="S5" s="5">
        <f>H5</f>
        <v>-20.816458423390081</v>
      </c>
      <c r="T5" s="9">
        <f>(EXP(L5/8267)*EXP(-P5/8033)-1)*1000</f>
        <v>-22.536270865170181</v>
      </c>
      <c r="U5" s="2" t="s">
        <v>5</v>
      </c>
      <c r="V5" s="14">
        <f>R5/8.033</f>
        <v>1.5977257716572209</v>
      </c>
    </row>
    <row r="6" spans="1:22" s="154" customFormat="1" x14ac:dyDescent="0.2">
      <c r="A6" s="258" t="s">
        <v>745</v>
      </c>
      <c r="B6" s="156" t="s">
        <v>217</v>
      </c>
      <c r="C6" s="156" t="s">
        <v>385</v>
      </c>
      <c r="D6" s="34">
        <v>0.84914063994908062</v>
      </c>
      <c r="E6" s="34">
        <v>1.3817886899307567E-3</v>
      </c>
      <c r="F6" s="32">
        <v>1313.6280236410892</v>
      </c>
      <c r="G6" s="32">
        <v>13.071811376187174</v>
      </c>
      <c r="H6" s="36">
        <v>-22.259503533793467</v>
      </c>
      <c r="I6" s="32"/>
      <c r="J6" s="33"/>
      <c r="K6" s="150">
        <v>771</v>
      </c>
      <c r="L6">
        <f t="shared" ref="L6:L15" si="0">1950-K6</f>
        <v>1179</v>
      </c>
      <c r="M6" s="69">
        <f t="shared" ref="M6:M15" si="1">D6</f>
        <v>0.84914063994908062</v>
      </c>
      <c r="N6" s="2" t="s">
        <v>5</v>
      </c>
      <c r="O6" s="13">
        <f t="shared" ref="O6:O15" si="2">E6</f>
        <v>1.3817886899307567E-3</v>
      </c>
      <c r="P6" s="12">
        <f t="shared" ref="P6:P15" si="3">-8033*LN(M6)</f>
        <v>1313.6401268569575</v>
      </c>
      <c r="Q6" s="66" t="s">
        <v>5</v>
      </c>
      <c r="R6" s="12">
        <f t="shared" ref="R6:R15" si="4">O6/M6*8033</f>
        <v>13.071931814356905</v>
      </c>
      <c r="S6" s="5">
        <f t="shared" ref="S6:S15" si="5">H6</f>
        <v>-22.259503533793467</v>
      </c>
      <c r="T6" s="9">
        <f t="shared" ref="T6:T15" si="6">(EXP(L6/8267)*EXP(-P6/8033)-1)*1000</f>
        <v>-20.698029015589704</v>
      </c>
      <c r="U6" s="2" t="s">
        <v>5</v>
      </c>
      <c r="V6" s="14">
        <f t="shared" ref="V6:V15" si="7">R6/8.033</f>
        <v>1.627278951121238</v>
      </c>
    </row>
    <row r="7" spans="1:22" s="154" customFormat="1" x14ac:dyDescent="0.2">
      <c r="A7" s="258" t="s">
        <v>746</v>
      </c>
      <c r="B7" s="156" t="s">
        <v>218</v>
      </c>
      <c r="C7" s="156" t="s">
        <v>385</v>
      </c>
      <c r="D7" s="34">
        <v>0.84801107772226825</v>
      </c>
      <c r="E7" s="34">
        <v>1.3645767506848927E-3</v>
      </c>
      <c r="F7" s="32">
        <v>1324.3208697928521</v>
      </c>
      <c r="G7" s="32">
        <v>12.926180248304824</v>
      </c>
      <c r="H7" s="36">
        <v>-21.528167335739255</v>
      </c>
      <c r="I7" s="32"/>
      <c r="J7" s="33"/>
      <c r="K7" s="150">
        <v>772</v>
      </c>
      <c r="L7">
        <f t="shared" si="0"/>
        <v>1178</v>
      </c>
      <c r="M7" s="69">
        <f t="shared" si="1"/>
        <v>0.84801107772226825</v>
      </c>
      <c r="N7" s="2" t="s">
        <v>5</v>
      </c>
      <c r="O7" s="13">
        <f t="shared" si="2"/>
        <v>1.3645767506848927E-3</v>
      </c>
      <c r="P7" s="12">
        <f t="shared" si="3"/>
        <v>1324.3330715281054</v>
      </c>
      <c r="Q7" s="66" t="s">
        <v>5</v>
      </c>
      <c r="R7" s="12">
        <f t="shared" si="4"/>
        <v>12.926299344690621</v>
      </c>
      <c r="S7" s="5">
        <f t="shared" si="5"/>
        <v>-21.528167335739255</v>
      </c>
      <c r="T7" s="9">
        <f t="shared" si="6"/>
        <v>-22.119031700669755</v>
      </c>
      <c r="U7" s="2" t="s">
        <v>5</v>
      </c>
      <c r="V7" s="14">
        <f t="shared" si="7"/>
        <v>1.6091496756741719</v>
      </c>
    </row>
    <row r="8" spans="1:22" s="154" customFormat="1" x14ac:dyDescent="0.2">
      <c r="A8" s="258" t="s">
        <v>747</v>
      </c>
      <c r="B8" s="156" t="s">
        <v>219</v>
      </c>
      <c r="C8" s="156" t="s">
        <v>385</v>
      </c>
      <c r="D8" s="34">
        <v>0.84677675435737076</v>
      </c>
      <c r="E8" s="34">
        <v>1.3681348315534186E-3</v>
      </c>
      <c r="F8" s="32">
        <v>1336.0217208385225</v>
      </c>
      <c r="G8" s="32">
        <v>12.978776031486598</v>
      </c>
      <c r="H8" s="36">
        <v>-21.445090295444501</v>
      </c>
      <c r="I8" s="32"/>
      <c r="J8" s="33"/>
      <c r="K8" s="150">
        <v>773</v>
      </c>
      <c r="L8">
        <f t="shared" si="0"/>
        <v>1177</v>
      </c>
      <c r="M8" s="69">
        <f t="shared" si="1"/>
        <v>0.84677675435737076</v>
      </c>
      <c r="N8" s="2" t="s">
        <v>5</v>
      </c>
      <c r="O8" s="13">
        <f t="shared" si="2"/>
        <v>1.3681348315534186E-3</v>
      </c>
      <c r="P8" s="12">
        <f t="shared" si="3"/>
        <v>1336.034030380494</v>
      </c>
      <c r="Q8" s="66" t="s">
        <v>5</v>
      </c>
      <c r="R8" s="12">
        <f t="shared" si="4"/>
        <v>12.978895612467809</v>
      </c>
      <c r="S8" s="5">
        <f t="shared" si="5"/>
        <v>-21.445090295444501</v>
      </c>
      <c r="T8" s="9">
        <f t="shared" si="6"/>
        <v>-23.660495279863024</v>
      </c>
      <c r="U8" s="2" t="s">
        <v>5</v>
      </c>
      <c r="V8" s="14">
        <f t="shared" si="7"/>
        <v>1.6156972006059767</v>
      </c>
    </row>
    <row r="9" spans="1:22" s="154" customFormat="1" x14ac:dyDescent="0.2">
      <c r="A9" s="258" t="s">
        <v>748</v>
      </c>
      <c r="B9" s="156" t="s">
        <v>298</v>
      </c>
      <c r="C9" s="156" t="s">
        <v>385</v>
      </c>
      <c r="D9" s="34">
        <v>0.85417445084155508</v>
      </c>
      <c r="E9" s="34">
        <v>1.3868816984518436E-3</v>
      </c>
      <c r="F9" s="32">
        <v>1266.1484371842059</v>
      </c>
      <c r="G9" s="32">
        <v>13.042672988871614</v>
      </c>
      <c r="H9" s="36">
        <v>-22.54175019600002</v>
      </c>
      <c r="I9" s="32"/>
      <c r="J9" s="33"/>
      <c r="K9" s="150">
        <v>774</v>
      </c>
      <c r="L9">
        <f t="shared" si="0"/>
        <v>1176</v>
      </c>
      <c r="M9" s="69">
        <f t="shared" si="1"/>
        <v>0.85417445084155508</v>
      </c>
      <c r="N9" s="2" t="s">
        <v>5</v>
      </c>
      <c r="O9" s="13">
        <f t="shared" si="2"/>
        <v>1.3868816984518436E-3</v>
      </c>
      <c r="P9" s="12">
        <f t="shared" si="3"/>
        <v>1266.1601029431429</v>
      </c>
      <c r="Q9" s="66" t="s">
        <v>5</v>
      </c>
      <c r="R9" s="12">
        <f t="shared" si="4"/>
        <v>13.042793158572504</v>
      </c>
      <c r="S9" s="5">
        <f t="shared" si="5"/>
        <v>-22.54175019600002</v>
      </c>
      <c r="T9" s="9">
        <f t="shared" si="6"/>
        <v>-15.250025011162016</v>
      </c>
      <c r="U9" s="2" t="s">
        <v>5</v>
      </c>
      <c r="V9" s="14">
        <f t="shared" si="7"/>
        <v>1.623651582045625</v>
      </c>
    </row>
    <row r="10" spans="1:22" s="154" customFormat="1" x14ac:dyDescent="0.2">
      <c r="A10" s="258" t="s">
        <v>749</v>
      </c>
      <c r="B10" s="156" t="s">
        <v>299</v>
      </c>
      <c r="C10" s="156" t="s">
        <v>385</v>
      </c>
      <c r="D10" s="34">
        <v>0.86049150086528425</v>
      </c>
      <c r="E10" s="34">
        <v>1.3855012053647921E-3</v>
      </c>
      <c r="F10" s="32">
        <v>1206.9595032280449</v>
      </c>
      <c r="G10" s="32">
        <v>12.934036684602399</v>
      </c>
      <c r="H10" s="36">
        <v>-22.032663124741614</v>
      </c>
      <c r="I10" s="32"/>
      <c r="J10" s="33"/>
      <c r="K10" s="150">
        <v>775</v>
      </c>
      <c r="L10">
        <f t="shared" si="0"/>
        <v>1175</v>
      </c>
      <c r="M10" s="69">
        <f t="shared" si="1"/>
        <v>0.86049150086528425</v>
      </c>
      <c r="N10" s="2" t="s">
        <v>5</v>
      </c>
      <c r="O10" s="13">
        <f t="shared" si="2"/>
        <v>1.3855012053647921E-3</v>
      </c>
      <c r="P10" s="12">
        <f t="shared" si="3"/>
        <v>1206.9706236450495</v>
      </c>
      <c r="Q10" s="66" t="s">
        <v>5</v>
      </c>
      <c r="R10" s="12">
        <f t="shared" si="4"/>
        <v>12.934155853374094</v>
      </c>
      <c r="S10" s="5">
        <f t="shared" si="5"/>
        <v>-22.032663124741614</v>
      </c>
      <c r="T10" s="9">
        <f t="shared" si="6"/>
        <v>-8.0872951186359288</v>
      </c>
      <c r="U10" s="2" t="s">
        <v>5</v>
      </c>
      <c r="V10" s="14">
        <f t="shared" si="7"/>
        <v>1.6101277048890943</v>
      </c>
    </row>
    <row r="11" spans="1:22" s="154" customFormat="1" x14ac:dyDescent="0.2">
      <c r="A11" s="258" t="s">
        <v>750</v>
      </c>
      <c r="B11" s="156" t="s">
        <v>220</v>
      </c>
      <c r="C11" s="156" t="s">
        <v>385</v>
      </c>
      <c r="D11" s="34">
        <v>0.86195789718231131</v>
      </c>
      <c r="E11" s="34">
        <v>1.4101325273619876E-3</v>
      </c>
      <c r="F11" s="32">
        <v>1193.2819392392648</v>
      </c>
      <c r="G11" s="32">
        <v>13.141581813449493</v>
      </c>
      <c r="H11" s="36">
        <v>-23.170969758169345</v>
      </c>
      <c r="I11" s="32"/>
      <c r="J11" s="33"/>
      <c r="K11" s="150">
        <v>776</v>
      </c>
      <c r="L11">
        <f t="shared" si="0"/>
        <v>1174</v>
      </c>
      <c r="M11" s="69">
        <f t="shared" si="1"/>
        <v>0.86195789718231131</v>
      </c>
      <c r="N11" s="2" t="s">
        <v>5</v>
      </c>
      <c r="O11" s="13">
        <f t="shared" si="2"/>
        <v>1.4101325273619876E-3</v>
      </c>
      <c r="P11" s="12">
        <f t="shared" si="3"/>
        <v>1193.2929336369498</v>
      </c>
      <c r="Q11" s="66" t="s">
        <v>5</v>
      </c>
      <c r="R11" s="12">
        <f t="shared" si="4"/>
        <v>13.141702894454676</v>
      </c>
      <c r="S11" s="5">
        <f t="shared" si="5"/>
        <v>-23.170969758169345</v>
      </c>
      <c r="T11" s="9">
        <f t="shared" si="6"/>
        <v>-6.5171207293700517</v>
      </c>
      <c r="U11" s="2" t="s">
        <v>5</v>
      </c>
      <c r="V11" s="14">
        <f t="shared" si="7"/>
        <v>1.6359645082104664</v>
      </c>
    </row>
    <row r="12" spans="1:22" s="154" customFormat="1" x14ac:dyDescent="0.2">
      <c r="A12" s="258" t="s">
        <v>751</v>
      </c>
      <c r="B12" s="156" t="s">
        <v>221</v>
      </c>
      <c r="C12" s="156" t="s">
        <v>385</v>
      </c>
      <c r="D12" s="34">
        <v>0.86011891821159314</v>
      </c>
      <c r="E12" s="34">
        <v>1.3730113737403658E-3</v>
      </c>
      <c r="F12" s="32">
        <v>1210.4384184956843</v>
      </c>
      <c r="G12" s="32">
        <v>12.822992858791309</v>
      </c>
      <c r="H12" s="36">
        <v>-21.418863780491183</v>
      </c>
      <c r="I12" s="32"/>
      <c r="J12" s="33"/>
      <c r="K12" s="150">
        <v>777</v>
      </c>
      <c r="L12">
        <f t="shared" si="0"/>
        <v>1173</v>
      </c>
      <c r="M12" s="69">
        <f t="shared" si="1"/>
        <v>0.86011891821159314</v>
      </c>
      <c r="N12" s="2" t="s">
        <v>5</v>
      </c>
      <c r="O12" s="13">
        <f t="shared" si="2"/>
        <v>1.3730113737403658E-3</v>
      </c>
      <c r="P12" s="12">
        <f t="shared" si="3"/>
        <v>1210.4495709659502</v>
      </c>
      <c r="Q12" s="66" t="s">
        <v>5</v>
      </c>
      <c r="R12" s="12">
        <f t="shared" si="4"/>
        <v>12.823111004451917</v>
      </c>
      <c r="S12" s="5">
        <f t="shared" si="5"/>
        <v>-21.418863780491183</v>
      </c>
      <c r="T12" s="9">
        <f t="shared" si="6"/>
        <v>-8.7566178887557022</v>
      </c>
      <c r="U12" s="2" t="s">
        <v>5</v>
      </c>
      <c r="V12" s="14">
        <f t="shared" si="7"/>
        <v>1.5963041210571292</v>
      </c>
    </row>
    <row r="13" spans="1:22" s="154" customFormat="1" x14ac:dyDescent="0.2">
      <c r="A13" s="258" t="s">
        <v>752</v>
      </c>
      <c r="B13" s="156" t="s">
        <v>222</v>
      </c>
      <c r="C13" s="156" t="s">
        <v>385</v>
      </c>
      <c r="D13" s="34">
        <v>0.8583848961938062</v>
      </c>
      <c r="E13" s="34">
        <v>1.3881613104276354E-3</v>
      </c>
      <c r="F13" s="32">
        <v>1226.6493516818766</v>
      </c>
      <c r="G13" s="32">
        <v>12.990672500780599</v>
      </c>
      <c r="H13" s="36">
        <v>-22.051844434997857</v>
      </c>
      <c r="I13" s="32"/>
      <c r="J13" s="33"/>
      <c r="K13" s="150">
        <v>778</v>
      </c>
      <c r="L13">
        <f t="shared" si="0"/>
        <v>1172</v>
      </c>
      <c r="M13" s="69">
        <f t="shared" si="1"/>
        <v>0.8583848961938062</v>
      </c>
      <c r="N13" s="2" t="s">
        <v>5</v>
      </c>
      <c r="O13" s="13">
        <f t="shared" si="2"/>
        <v>1.3881613104276354E-3</v>
      </c>
      <c r="P13" s="12">
        <f t="shared" si="3"/>
        <v>1226.6606535128599</v>
      </c>
      <c r="Q13" s="66" t="s">
        <v>5</v>
      </c>
      <c r="R13" s="12">
        <f t="shared" si="4"/>
        <v>12.990792191370874</v>
      </c>
      <c r="S13" s="5">
        <f t="shared" si="5"/>
        <v>-22.051844434997857</v>
      </c>
      <c r="T13" s="9">
        <f t="shared" si="6"/>
        <v>-10.874644895075726</v>
      </c>
      <c r="U13" s="2" t="s">
        <v>5</v>
      </c>
      <c r="V13" s="14">
        <f t="shared" si="7"/>
        <v>1.6171781639948803</v>
      </c>
    </row>
    <row r="14" spans="1:22" s="154" customFormat="1" x14ac:dyDescent="0.2">
      <c r="A14" s="258" t="s">
        <v>753</v>
      </c>
      <c r="B14" s="156" t="s">
        <v>223</v>
      </c>
      <c r="C14" s="156" t="s">
        <v>385</v>
      </c>
      <c r="D14" s="34">
        <v>0.85945897892829803</v>
      </c>
      <c r="E14" s="34">
        <v>1.3917578994279613E-3</v>
      </c>
      <c r="F14" s="32">
        <v>1216.6041684606828</v>
      </c>
      <c r="G14" s="32">
        <v>13.008053290990011</v>
      </c>
      <c r="H14" s="36">
        <v>-22.224776555497705</v>
      </c>
      <c r="I14" s="32"/>
      <c r="J14" s="33"/>
      <c r="K14" s="150">
        <v>779</v>
      </c>
      <c r="L14">
        <f t="shared" si="0"/>
        <v>1171</v>
      </c>
      <c r="M14" s="69">
        <f t="shared" si="1"/>
        <v>0.85945897892829803</v>
      </c>
      <c r="N14" s="2" t="s">
        <v>5</v>
      </c>
      <c r="O14" s="13">
        <f t="shared" si="2"/>
        <v>1.3917578994279613E-3</v>
      </c>
      <c r="P14" s="12">
        <f t="shared" si="3"/>
        <v>1216.6153777395746</v>
      </c>
      <c r="Q14" s="66" t="s">
        <v>5</v>
      </c>
      <c r="R14" s="12">
        <f t="shared" si="4"/>
        <v>13.008173141719572</v>
      </c>
      <c r="S14" s="5">
        <f t="shared" si="5"/>
        <v>-22.224776555497705</v>
      </c>
      <c r="T14" s="9">
        <f t="shared" si="6"/>
        <v>-9.7567587041035289</v>
      </c>
      <c r="U14" s="2" t="s">
        <v>5</v>
      </c>
      <c r="V14" s="14">
        <f t="shared" si="7"/>
        <v>1.6193418575525425</v>
      </c>
    </row>
    <row r="15" spans="1:22" s="154" customFormat="1" x14ac:dyDescent="0.2">
      <c r="A15" s="258" t="s">
        <v>754</v>
      </c>
      <c r="B15" s="156" t="s">
        <v>224</v>
      </c>
      <c r="C15" s="156" t="s">
        <v>385</v>
      </c>
      <c r="D15" s="34">
        <v>0.85753457873331151</v>
      </c>
      <c r="E15" s="34">
        <v>1.3734050208302393E-3</v>
      </c>
      <c r="F15" s="32">
        <v>1234.6107250276327</v>
      </c>
      <c r="G15" s="32">
        <v>12.86532480144797</v>
      </c>
      <c r="H15" s="36">
        <v>-21.476815038516396</v>
      </c>
      <c r="I15" s="32"/>
      <c r="J15" s="33"/>
      <c r="K15" s="150">
        <v>780</v>
      </c>
      <c r="L15">
        <f t="shared" si="0"/>
        <v>1170</v>
      </c>
      <c r="M15" s="69">
        <f t="shared" si="1"/>
        <v>0.85753457873331151</v>
      </c>
      <c r="N15" s="2" t="s">
        <v>5</v>
      </c>
      <c r="O15" s="13">
        <f t="shared" si="2"/>
        <v>1.3734050208302393E-3</v>
      </c>
      <c r="P15" s="12">
        <f t="shared" si="3"/>
        <v>1234.62210021136</v>
      </c>
      <c r="Q15" s="66" t="s">
        <v>5</v>
      </c>
      <c r="R15" s="12">
        <f t="shared" si="4"/>
        <v>12.865443337137286</v>
      </c>
      <c r="S15" s="5">
        <f t="shared" si="5"/>
        <v>-21.476815038516396</v>
      </c>
      <c r="T15" s="9">
        <f t="shared" si="6"/>
        <v>-12.093502976445292</v>
      </c>
      <c r="U15" s="2" t="s">
        <v>5</v>
      </c>
      <c r="V15" s="14">
        <f t="shared" si="7"/>
        <v>1.6015739247027621</v>
      </c>
    </row>
    <row r="16" spans="1:22" x14ac:dyDescent="0.2">
      <c r="K16" s="150"/>
      <c r="M16" s="69"/>
      <c r="N16" s="2"/>
      <c r="O16" s="13"/>
      <c r="P16" s="12"/>
      <c r="Q16" s="66"/>
      <c r="R16" s="12"/>
      <c r="S16" s="5"/>
      <c r="T16" s="9"/>
      <c r="U16" s="2"/>
      <c r="V16" s="14"/>
    </row>
    <row r="17" spans="11:22" x14ac:dyDescent="0.2">
      <c r="K17" s="150"/>
      <c r="M17" s="69"/>
      <c r="N17" s="2"/>
      <c r="O17" s="13"/>
      <c r="P17" s="12"/>
      <c r="Q17" s="66"/>
      <c r="R17" s="12"/>
      <c r="S17" s="5"/>
      <c r="T17" s="9"/>
      <c r="U17" s="2"/>
      <c r="V17" s="14"/>
    </row>
    <row r="18" spans="11:22" x14ac:dyDescent="0.2">
      <c r="K18" s="150"/>
      <c r="M18" s="69"/>
      <c r="N18" s="2"/>
      <c r="O18" s="13"/>
      <c r="P18" s="12"/>
      <c r="Q18" s="66"/>
      <c r="R18" s="12"/>
      <c r="S18" s="5"/>
      <c r="T18" s="9"/>
      <c r="U18" s="2"/>
      <c r="V18" s="14"/>
    </row>
    <row r="19" spans="11:22" x14ac:dyDescent="0.2">
      <c r="K19" s="150"/>
      <c r="M19" s="34"/>
      <c r="N19" s="2"/>
      <c r="O19" s="13"/>
      <c r="P19" s="12"/>
      <c r="Q19" s="66"/>
      <c r="R19" s="12"/>
      <c r="S19" s="5"/>
      <c r="T19" s="9"/>
      <c r="U19" s="2"/>
      <c r="V19" s="14"/>
    </row>
    <row r="20" spans="11:22" x14ac:dyDescent="0.2">
      <c r="K20" s="150"/>
      <c r="M20" s="34"/>
      <c r="N20" s="2"/>
      <c r="O20" s="13"/>
      <c r="P20" s="12"/>
      <c r="Q20" s="66"/>
      <c r="R20" s="12"/>
      <c r="S20" s="5"/>
      <c r="T20" s="9"/>
      <c r="U20" s="2"/>
      <c r="V20" s="14"/>
    </row>
    <row r="21" spans="11:22" x14ac:dyDescent="0.2">
      <c r="K21" s="150"/>
      <c r="M21" s="34"/>
      <c r="N21" s="2"/>
      <c r="O21" s="13"/>
      <c r="P21" s="12"/>
      <c r="Q21" s="66"/>
      <c r="R21" s="12"/>
      <c r="S21" s="5"/>
      <c r="T21" s="9"/>
      <c r="U21" s="2"/>
      <c r="V21" s="14"/>
    </row>
    <row r="22" spans="11:22" x14ac:dyDescent="0.2">
      <c r="K22" s="150"/>
      <c r="M22" s="34"/>
      <c r="N22" s="2"/>
      <c r="O22" s="13"/>
      <c r="P22" s="12"/>
      <c r="Q22" s="66"/>
      <c r="R22" s="12"/>
      <c r="S22" s="5"/>
      <c r="T22" s="9"/>
      <c r="U22" s="2"/>
      <c r="V22" s="14"/>
    </row>
    <row r="23" spans="11:22" x14ac:dyDescent="0.2">
      <c r="K23" s="150"/>
      <c r="M23" s="34"/>
      <c r="N23" s="2"/>
      <c r="O23" s="13"/>
      <c r="P23" s="12"/>
      <c r="Q23" s="66"/>
      <c r="R23" s="12"/>
      <c r="S23" s="5"/>
      <c r="T23" s="9"/>
      <c r="U23" s="2"/>
      <c r="V23" s="14"/>
    </row>
    <row r="24" spans="11:22" x14ac:dyDescent="0.2">
      <c r="K24" s="150"/>
      <c r="M24" s="34"/>
      <c r="N24" s="2"/>
      <c r="O24" s="13"/>
      <c r="P24" s="12"/>
      <c r="Q24" s="66"/>
      <c r="R24" s="12"/>
      <c r="S24" s="5"/>
      <c r="T24" s="9"/>
      <c r="U24" s="2"/>
      <c r="V24" s="14"/>
    </row>
    <row r="25" spans="11:22" x14ac:dyDescent="0.2">
      <c r="K25" s="150"/>
      <c r="M25" s="34"/>
      <c r="N25" s="2"/>
      <c r="O25" s="13"/>
      <c r="P25" s="12"/>
      <c r="Q25" s="66"/>
      <c r="R25" s="12"/>
      <c r="S25" s="5"/>
      <c r="T25" s="9"/>
      <c r="U25" s="2"/>
      <c r="V25" s="14"/>
    </row>
    <row r="26" spans="11:22" x14ac:dyDescent="0.2">
      <c r="K26" s="150"/>
      <c r="M26" s="34"/>
      <c r="N26" s="2"/>
      <c r="O26" s="13"/>
      <c r="P26" s="12"/>
      <c r="Q26" s="66"/>
      <c r="R26" s="12"/>
      <c r="S26" s="5"/>
      <c r="T26" s="9"/>
      <c r="U26" s="2"/>
      <c r="V26" s="14"/>
    </row>
    <row r="27" spans="11:22" x14ac:dyDescent="0.2">
      <c r="K27" s="150"/>
      <c r="M27" s="34"/>
      <c r="N27" s="2"/>
      <c r="O27" s="13"/>
      <c r="P27" s="12"/>
      <c r="Q27" s="66"/>
      <c r="R27" s="12"/>
      <c r="S27" s="5"/>
      <c r="T27" s="9"/>
      <c r="U27" s="2"/>
      <c r="V27" s="14"/>
    </row>
    <row r="28" spans="11:22" x14ac:dyDescent="0.2">
      <c r="K28" s="150"/>
      <c r="M28" s="34"/>
      <c r="N28" s="2"/>
      <c r="O28" s="13"/>
      <c r="P28" s="12"/>
      <c r="Q28" s="66"/>
      <c r="R28" s="12"/>
      <c r="S28" s="5"/>
      <c r="T28" s="9"/>
      <c r="U28" s="2"/>
      <c r="V28" s="14"/>
    </row>
    <row r="29" spans="11:22" x14ac:dyDescent="0.2">
      <c r="K29" s="150"/>
      <c r="M29" s="34"/>
      <c r="N29" s="2"/>
      <c r="O29" s="13"/>
      <c r="P29" s="12"/>
      <c r="Q29" s="66"/>
      <c r="R29" s="12"/>
      <c r="S29" s="5"/>
      <c r="T29" s="9"/>
      <c r="U29" s="2"/>
      <c r="V29" s="14"/>
    </row>
  </sheetData>
  <mergeCells count="3">
    <mergeCell ref="M4:O4"/>
    <mergeCell ref="P4:R4"/>
    <mergeCell ref="T4:V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I5" sqref="I5:I15"/>
    </sheetView>
  </sheetViews>
  <sheetFormatPr baseColWidth="10" defaultColWidth="8.6640625" defaultRowHeight="16" x14ac:dyDescent="0.2"/>
  <cols>
    <col min="1" max="1" width="9.6640625" bestFit="1" customWidth="1"/>
    <col min="2" max="2" width="7.6640625" bestFit="1" customWidth="1"/>
    <col min="3" max="4" width="7" bestFit="1" customWidth="1"/>
    <col min="5" max="5" width="7.6640625" bestFit="1" customWidth="1"/>
    <col min="6" max="6" width="6.1640625" bestFit="1" customWidth="1"/>
    <col min="7" max="7" width="5.6640625" bestFit="1" customWidth="1"/>
  </cols>
  <sheetData>
    <row r="1" spans="1:20" s="225" customFormat="1" ht="14" x14ac:dyDescent="0.2"/>
    <row r="2" spans="1:20" s="231" customFormat="1" ht="15" x14ac:dyDescent="0.2">
      <c r="A2" s="230"/>
      <c r="B2" s="230"/>
      <c r="C2" s="230"/>
      <c r="D2" s="230"/>
      <c r="J2" s="240"/>
      <c r="R2" s="232"/>
      <c r="S2" s="232"/>
    </row>
    <row r="3" spans="1:20" s="224" customFormat="1" x14ac:dyDescent="0.2"/>
    <row r="4" spans="1:20" s="60" customFormat="1" ht="42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33" t="s">
        <v>17</v>
      </c>
      <c r="J4" s="234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33" t="s">
        <v>3</v>
      </c>
      <c r="R4" s="346" t="s">
        <v>16</v>
      </c>
      <c r="S4" s="345"/>
      <c r="T4" s="345"/>
    </row>
    <row r="5" spans="1:20" s="154" customFormat="1" x14ac:dyDescent="0.2">
      <c r="A5" s="156" t="s">
        <v>502</v>
      </c>
      <c r="B5" s="156" t="s">
        <v>216</v>
      </c>
      <c r="C5" s="34">
        <v>0.84462797233417652</v>
      </c>
      <c r="D5" s="34">
        <v>1.9159077041408373E-3</v>
      </c>
      <c r="E5" s="32">
        <v>1356.4319939924367</v>
      </c>
      <c r="F5" s="32">
        <v>18.221448130198993</v>
      </c>
      <c r="G5" s="36">
        <v>-20.033915373921406</v>
      </c>
      <c r="I5" s="220">
        <v>770</v>
      </c>
      <c r="J5" s="9">
        <f>1950-I5</f>
        <v>1180</v>
      </c>
      <c r="K5" s="69">
        <f>C5</f>
        <v>0.84462797233417652</v>
      </c>
      <c r="L5" s="2" t="s">
        <v>5</v>
      </c>
      <c r="M5" s="13">
        <f>D5</f>
        <v>1.9159077041408373E-3</v>
      </c>
      <c r="N5" s="12">
        <f>-8033*LN(K5)</f>
        <v>1356.4444915860768</v>
      </c>
      <c r="O5" s="66" t="s">
        <v>5</v>
      </c>
      <c r="P5" s="12">
        <f>M5/K5*8033</f>
        <v>18.221616014954936</v>
      </c>
      <c r="Q5" s="5">
        <f>G5</f>
        <v>-20.033915373921406</v>
      </c>
      <c r="R5" s="9">
        <f>(EXP(J5/8267)*EXP(-N5/8033)-1)*1000</f>
        <v>-25.784588420442844</v>
      </c>
      <c r="S5" s="2" t="s">
        <v>5</v>
      </c>
      <c r="T5" s="14">
        <f t="shared" ref="T5:T15" si="0">P5/8.033</f>
        <v>2.268345078420881</v>
      </c>
    </row>
    <row r="6" spans="1:20" s="154" customFormat="1" x14ac:dyDescent="0.2">
      <c r="A6" s="156" t="s">
        <v>503</v>
      </c>
      <c r="B6" s="156" t="s">
        <v>217</v>
      </c>
      <c r="C6" s="34">
        <v>0.84892466901981767</v>
      </c>
      <c r="D6" s="34">
        <v>1.8979913302073898E-3</v>
      </c>
      <c r="E6" s="32">
        <v>1315.6713826220664</v>
      </c>
      <c r="F6" s="32">
        <v>17.959689991133608</v>
      </c>
      <c r="G6" s="36">
        <v>-20.430242479189676</v>
      </c>
      <c r="I6" s="220">
        <v>771</v>
      </c>
      <c r="J6" s="9">
        <f t="shared" ref="J6:J15" si="1">1950-I6</f>
        <v>1179</v>
      </c>
      <c r="K6" s="69">
        <f t="shared" ref="K6:K15" si="2">C6</f>
        <v>0.84892466901981767</v>
      </c>
      <c r="L6" s="2" t="s">
        <v>5</v>
      </c>
      <c r="M6" s="13">
        <f t="shared" ref="M6:M15" si="3">D6</f>
        <v>1.8979913302073898E-3</v>
      </c>
      <c r="N6" s="12">
        <f t="shared" ref="N6:N15" si="4">-8033*LN(K6)</f>
        <v>1315.6835046645845</v>
      </c>
      <c r="O6" s="66" t="s">
        <v>5</v>
      </c>
      <c r="P6" s="12">
        <f t="shared" ref="P6:P15" si="5">M6/K6*8033</f>
        <v>17.959855464160203</v>
      </c>
      <c r="Q6" s="5">
        <f t="shared" ref="Q6:Q15" si="6">G6</f>
        <v>-20.430242479189676</v>
      </c>
      <c r="R6" s="9">
        <f t="shared" ref="R6:R15" si="7">(EXP(J6/8267)*EXP(-N6/8033)-1)*1000</f>
        <v>-20.947105254262354</v>
      </c>
      <c r="S6" s="2" t="s">
        <v>5</v>
      </c>
      <c r="T6" s="14">
        <f t="shared" si="0"/>
        <v>2.2357594253902904</v>
      </c>
    </row>
    <row r="7" spans="1:20" s="154" customFormat="1" x14ac:dyDescent="0.2">
      <c r="A7" s="156" t="s">
        <v>504</v>
      </c>
      <c r="B7" s="156" t="s">
        <v>218</v>
      </c>
      <c r="C7" s="34">
        <v>0.84765080863805164</v>
      </c>
      <c r="D7" s="34">
        <v>1.9210298935740926E-3</v>
      </c>
      <c r="E7" s="32">
        <v>1327.7343037517116</v>
      </c>
      <c r="F7" s="32">
        <v>18.205009419634113</v>
      </c>
      <c r="G7" s="36">
        <v>-19.411374928168023</v>
      </c>
      <c r="I7" s="220">
        <v>772</v>
      </c>
      <c r="J7" s="9">
        <f t="shared" si="1"/>
        <v>1178</v>
      </c>
      <c r="K7" s="69">
        <f t="shared" si="2"/>
        <v>0.84765080863805164</v>
      </c>
      <c r="L7" s="2" t="s">
        <v>5</v>
      </c>
      <c r="M7" s="13">
        <f t="shared" si="3"/>
        <v>1.9210298935740926E-3</v>
      </c>
      <c r="N7" s="12">
        <f t="shared" si="4"/>
        <v>1327.7465369369093</v>
      </c>
      <c r="O7" s="66" t="s">
        <v>5</v>
      </c>
      <c r="P7" s="12">
        <f t="shared" si="5"/>
        <v>18.205177152930695</v>
      </c>
      <c r="Q7" s="5">
        <f t="shared" si="6"/>
        <v>-19.411374928168023</v>
      </c>
      <c r="R7" s="9">
        <f t="shared" si="7"/>
        <v>-22.534474718075014</v>
      </c>
      <c r="S7" s="2" t="s">
        <v>5</v>
      </c>
      <c r="T7" s="14">
        <f t="shared" si="0"/>
        <v>2.2662986621350298</v>
      </c>
    </row>
    <row r="8" spans="1:20" s="154" customFormat="1" x14ac:dyDescent="0.2">
      <c r="A8" s="156" t="s">
        <v>505</v>
      </c>
      <c r="B8" s="156" t="s">
        <v>219</v>
      </c>
      <c r="C8" s="34">
        <v>0.85181339405811118</v>
      </c>
      <c r="D8" s="34">
        <v>1.9363150171101916E-3</v>
      </c>
      <c r="E8" s="32">
        <v>1288.3833042858816</v>
      </c>
      <c r="F8" s="32">
        <v>18.260190941348359</v>
      </c>
      <c r="G8" s="36">
        <v>-20.315343207771619</v>
      </c>
      <c r="I8" s="220">
        <v>773</v>
      </c>
      <c r="J8" s="9">
        <f t="shared" si="1"/>
        <v>1177</v>
      </c>
      <c r="K8" s="69">
        <f t="shared" si="2"/>
        <v>0.85181339405811118</v>
      </c>
      <c r="L8" s="2" t="s">
        <v>5</v>
      </c>
      <c r="M8" s="13">
        <f t="shared" si="3"/>
        <v>1.9363150171101916E-3</v>
      </c>
      <c r="N8" s="12">
        <f t="shared" si="4"/>
        <v>1288.3951749075281</v>
      </c>
      <c r="O8" s="66" t="s">
        <v>5</v>
      </c>
      <c r="P8" s="12">
        <f t="shared" si="5"/>
        <v>18.260359183064264</v>
      </c>
      <c r="Q8" s="5">
        <f t="shared" si="6"/>
        <v>-20.315343207771619</v>
      </c>
      <c r="R8" s="9">
        <f t="shared" si="7"/>
        <v>-17.853214570313302</v>
      </c>
      <c r="S8" s="2" t="s">
        <v>5</v>
      </c>
      <c r="T8" s="14">
        <f t="shared" si="0"/>
        <v>2.2731680795548694</v>
      </c>
    </row>
    <row r="9" spans="1:20" s="154" customFormat="1" x14ac:dyDescent="0.2">
      <c r="A9" s="156" t="s">
        <v>506</v>
      </c>
      <c r="B9" s="156" t="s">
        <v>298</v>
      </c>
      <c r="C9" s="34">
        <v>0.85638316600622588</v>
      </c>
      <c r="D9" s="34">
        <v>1.9646651805973843E-3</v>
      </c>
      <c r="E9" s="32">
        <v>1245.403792125692</v>
      </c>
      <c r="F9" s="32">
        <v>18.428678439044315</v>
      </c>
      <c r="G9" s="36">
        <v>-20.697540354917223</v>
      </c>
      <c r="I9" s="220">
        <v>774</v>
      </c>
      <c r="J9" s="9">
        <f t="shared" si="1"/>
        <v>1176</v>
      </c>
      <c r="K9" s="69">
        <f t="shared" si="2"/>
        <v>0.85638316600622588</v>
      </c>
      <c r="L9" s="2" t="s">
        <v>5</v>
      </c>
      <c r="M9" s="13">
        <f t="shared" si="3"/>
        <v>1.9646651805973843E-3</v>
      </c>
      <c r="N9" s="12">
        <f t="shared" si="4"/>
        <v>1245.415266752198</v>
      </c>
      <c r="O9" s="66" t="s">
        <v>5</v>
      </c>
      <c r="P9" s="12">
        <f t="shared" si="5"/>
        <v>18.428848233133127</v>
      </c>
      <c r="Q9" s="5">
        <f t="shared" si="6"/>
        <v>-20.697540354917223</v>
      </c>
      <c r="R9" s="9">
        <f t="shared" si="7"/>
        <v>-12.703669051879807</v>
      </c>
      <c r="S9" s="2" t="s">
        <v>5</v>
      </c>
      <c r="T9" s="14">
        <f t="shared" si="0"/>
        <v>2.2941426905431506</v>
      </c>
    </row>
    <row r="10" spans="1:20" s="154" customFormat="1" x14ac:dyDescent="0.2">
      <c r="A10" s="156" t="s">
        <v>507</v>
      </c>
      <c r="B10" s="156" t="s">
        <v>299</v>
      </c>
      <c r="C10" s="34">
        <v>0.86246031387602107</v>
      </c>
      <c r="D10" s="34">
        <v>1.9554603096323536E-3</v>
      </c>
      <c r="E10" s="32">
        <v>1188.6010837437436</v>
      </c>
      <c r="F10" s="32">
        <v>18.213090720840167</v>
      </c>
      <c r="G10" s="36">
        <v>-19.211781978879074</v>
      </c>
      <c r="I10" s="220">
        <v>775</v>
      </c>
      <c r="J10" s="9">
        <f t="shared" si="1"/>
        <v>1175</v>
      </c>
      <c r="K10" s="69">
        <f t="shared" si="2"/>
        <v>0.86246031387602107</v>
      </c>
      <c r="L10" s="2" t="s">
        <v>5</v>
      </c>
      <c r="M10" s="13">
        <f t="shared" si="3"/>
        <v>1.9554603096323536E-3</v>
      </c>
      <c r="N10" s="12">
        <f t="shared" si="4"/>
        <v>1188.6120350139959</v>
      </c>
      <c r="O10" s="66" t="s">
        <v>5</v>
      </c>
      <c r="P10" s="12">
        <f t="shared" si="5"/>
        <v>18.213258528594459</v>
      </c>
      <c r="Q10" s="5">
        <f t="shared" si="6"/>
        <v>-19.211781978879074</v>
      </c>
      <c r="R10" s="9">
        <f t="shared" si="7"/>
        <v>-5.817789101526194</v>
      </c>
      <c r="S10" s="2" t="s">
        <v>5</v>
      </c>
      <c r="T10" s="14">
        <f t="shared" si="0"/>
        <v>2.2673046842517688</v>
      </c>
    </row>
    <row r="11" spans="1:20" s="154" customFormat="1" x14ac:dyDescent="0.2">
      <c r="A11" s="156" t="s">
        <v>508</v>
      </c>
      <c r="B11" s="156" t="s">
        <v>220</v>
      </c>
      <c r="C11" s="34">
        <v>0.86101211047950421</v>
      </c>
      <c r="D11" s="34">
        <v>1.970825105655116E-3</v>
      </c>
      <c r="E11" s="32">
        <v>1202.1009381926892</v>
      </c>
      <c r="F11" s="32">
        <v>18.387072628052987</v>
      </c>
      <c r="G11" s="36">
        <v>-20.845367597265184</v>
      </c>
      <c r="I11" s="220">
        <v>776</v>
      </c>
      <c r="J11" s="9">
        <f t="shared" si="1"/>
        <v>1174</v>
      </c>
      <c r="K11" s="69">
        <f t="shared" si="2"/>
        <v>0.86101211047950421</v>
      </c>
      <c r="L11" s="2" t="s">
        <v>5</v>
      </c>
      <c r="M11" s="13">
        <f t="shared" si="3"/>
        <v>1.970825105655116E-3</v>
      </c>
      <c r="N11" s="12">
        <f t="shared" si="4"/>
        <v>1202.1120138449198</v>
      </c>
      <c r="O11" s="66" t="s">
        <v>5</v>
      </c>
      <c r="P11" s="12">
        <f t="shared" si="5"/>
        <v>18.387242038803365</v>
      </c>
      <c r="Q11" s="5">
        <f t="shared" si="6"/>
        <v>-20.845367597265184</v>
      </c>
      <c r="R11" s="9">
        <f t="shared" si="7"/>
        <v>-7.6072237375938156</v>
      </c>
      <c r="S11" s="2" t="s">
        <v>5</v>
      </c>
      <c r="T11" s="14">
        <f t="shared" si="0"/>
        <v>2.2889632813149965</v>
      </c>
    </row>
    <row r="12" spans="1:20" s="154" customFormat="1" x14ac:dyDescent="0.2">
      <c r="A12" s="156" t="s">
        <v>509</v>
      </c>
      <c r="B12" s="156" t="s">
        <v>221</v>
      </c>
      <c r="C12" s="34">
        <v>0.86210373450409539</v>
      </c>
      <c r="D12" s="34">
        <v>2.0188345099256036E-3</v>
      </c>
      <c r="E12" s="32">
        <v>1191.9229386171953</v>
      </c>
      <c r="F12" s="32">
        <v>18.811133221202379</v>
      </c>
      <c r="G12" s="36">
        <v>-20.846350712370842</v>
      </c>
      <c r="I12" s="220">
        <v>777</v>
      </c>
      <c r="J12" s="9">
        <f t="shared" si="1"/>
        <v>1173</v>
      </c>
      <c r="K12" s="69">
        <f t="shared" si="2"/>
        <v>0.86210373450409539</v>
      </c>
      <c r="L12" s="2" t="s">
        <v>5</v>
      </c>
      <c r="M12" s="13">
        <f t="shared" si="3"/>
        <v>2.0188345099256036E-3</v>
      </c>
      <c r="N12" s="12">
        <f t="shared" si="4"/>
        <v>1191.9339204936207</v>
      </c>
      <c r="O12" s="66" t="s">
        <v>5</v>
      </c>
      <c r="P12" s="12">
        <f t="shared" si="5"/>
        <v>18.811306539068628</v>
      </c>
      <c r="Q12" s="5">
        <f t="shared" si="6"/>
        <v>-20.846350712370842</v>
      </c>
      <c r="R12" s="9">
        <f t="shared" si="7"/>
        <v>-6.4692178874393713</v>
      </c>
      <c r="S12" s="2" t="s">
        <v>5</v>
      </c>
      <c r="T12" s="14">
        <f t="shared" si="0"/>
        <v>2.3417535838501964</v>
      </c>
    </row>
    <row r="13" spans="1:20" s="154" customFormat="1" x14ac:dyDescent="0.2">
      <c r="A13" s="156" t="s">
        <v>510</v>
      </c>
      <c r="B13" s="156" t="s">
        <v>222</v>
      </c>
      <c r="C13" s="34">
        <v>0.8599704696130005</v>
      </c>
      <c r="D13" s="34">
        <v>1.9686861368540041E-3</v>
      </c>
      <c r="E13" s="32">
        <v>1211.8249471457862</v>
      </c>
      <c r="F13" s="32">
        <v>18.389364041844985</v>
      </c>
      <c r="G13" s="36">
        <v>-20.254050318607387</v>
      </c>
      <c r="I13" s="220">
        <v>778</v>
      </c>
      <c r="J13" s="9">
        <f t="shared" si="1"/>
        <v>1172</v>
      </c>
      <c r="K13" s="69">
        <f t="shared" si="2"/>
        <v>0.8599704696130005</v>
      </c>
      <c r="L13" s="2" t="s">
        <v>5</v>
      </c>
      <c r="M13" s="13">
        <f t="shared" si="3"/>
        <v>1.9686861368540041E-3</v>
      </c>
      <c r="N13" s="12">
        <f t="shared" si="4"/>
        <v>1211.8361123909438</v>
      </c>
      <c r="O13" s="66" t="s">
        <v>5</v>
      </c>
      <c r="P13" s="12">
        <f t="shared" si="5"/>
        <v>18.389533473707484</v>
      </c>
      <c r="Q13" s="5">
        <f t="shared" si="6"/>
        <v>-20.254050318607387</v>
      </c>
      <c r="R13" s="9">
        <f t="shared" si="7"/>
        <v>-9.0475730555551479</v>
      </c>
      <c r="S13" s="2" t="s">
        <v>5</v>
      </c>
      <c r="T13" s="14">
        <f t="shared" si="0"/>
        <v>2.2892485340106417</v>
      </c>
    </row>
    <row r="14" spans="1:20" s="154" customFormat="1" x14ac:dyDescent="0.2">
      <c r="A14" s="156" t="s">
        <v>511</v>
      </c>
      <c r="B14" s="156" t="s">
        <v>223</v>
      </c>
      <c r="C14" s="34">
        <v>0.85998532235803204</v>
      </c>
      <c r="D14" s="34">
        <v>1.97270173148058E-3</v>
      </c>
      <c r="E14" s="32">
        <v>1211.6862098571687</v>
      </c>
      <c r="F14" s="32">
        <v>18.426555190421784</v>
      </c>
      <c r="G14" s="36">
        <v>-20.296460366300394</v>
      </c>
      <c r="I14" s="220">
        <v>779</v>
      </c>
      <c r="J14" s="9">
        <f t="shared" si="1"/>
        <v>1171</v>
      </c>
      <c r="K14" s="69">
        <f t="shared" si="2"/>
        <v>0.85998532235803204</v>
      </c>
      <c r="L14" s="2" t="s">
        <v>5</v>
      </c>
      <c r="M14" s="13">
        <f t="shared" si="3"/>
        <v>1.97270173148058E-3</v>
      </c>
      <c r="N14" s="12">
        <f t="shared" si="4"/>
        <v>1211.6973738240592</v>
      </c>
      <c r="O14" s="66" t="s">
        <v>5</v>
      </c>
      <c r="P14" s="12">
        <f t="shared" si="5"/>
        <v>18.426724964947876</v>
      </c>
      <c r="Q14" s="5">
        <f t="shared" si="6"/>
        <v>-20.296460366300394</v>
      </c>
      <c r="R14" s="9">
        <f t="shared" si="7"/>
        <v>-9.1503213561052732</v>
      </c>
      <c r="S14" s="2" t="s">
        <v>5</v>
      </c>
      <c r="T14" s="14">
        <f t="shared" si="0"/>
        <v>2.2938783723326126</v>
      </c>
    </row>
    <row r="15" spans="1:20" s="154" customFormat="1" x14ac:dyDescent="0.2">
      <c r="A15" s="156" t="s">
        <v>512</v>
      </c>
      <c r="B15" s="156" t="s">
        <v>224</v>
      </c>
      <c r="C15" s="34">
        <v>0.85723760708986418</v>
      </c>
      <c r="D15" s="34">
        <v>1.9857916511854695E-3</v>
      </c>
      <c r="E15" s="32">
        <v>1237.3930785973014</v>
      </c>
      <c r="F15" s="32">
        <v>18.608279932694288</v>
      </c>
      <c r="G15" s="36">
        <v>-20.920110420813653</v>
      </c>
      <c r="I15" s="220">
        <v>780</v>
      </c>
      <c r="J15" s="9">
        <f t="shared" si="1"/>
        <v>1170</v>
      </c>
      <c r="K15" s="69">
        <f t="shared" si="2"/>
        <v>0.85723760708986418</v>
      </c>
      <c r="L15" s="2" t="s">
        <v>5</v>
      </c>
      <c r="M15" s="13">
        <f t="shared" si="3"/>
        <v>1.9857916511854695E-3</v>
      </c>
      <c r="N15" s="12">
        <f t="shared" si="4"/>
        <v>1237.4044794164638</v>
      </c>
      <c r="O15" s="66" t="s">
        <v>5</v>
      </c>
      <c r="P15" s="12">
        <f t="shared" si="5"/>
        <v>18.608451381555692</v>
      </c>
      <c r="Q15" s="5">
        <f t="shared" si="6"/>
        <v>-20.920110420813653</v>
      </c>
      <c r="R15" s="9">
        <f t="shared" si="7"/>
        <v>-12.43562354308969</v>
      </c>
      <c r="S15" s="2" t="s">
        <v>5</v>
      </c>
      <c r="T15" s="14">
        <f t="shared" si="0"/>
        <v>2.3165008566607361</v>
      </c>
    </row>
    <row r="16" spans="1:20" x14ac:dyDescent="0.2">
      <c r="J16" s="9"/>
      <c r="K16" s="69"/>
      <c r="L16" s="2"/>
      <c r="M16" s="13"/>
      <c r="N16" s="12"/>
      <c r="O16" s="66"/>
      <c r="P16" s="12"/>
      <c r="Q16" s="5"/>
      <c r="R16" s="9"/>
      <c r="S16" s="2"/>
      <c r="T16" s="14"/>
    </row>
    <row r="17" spans="1:20" x14ac:dyDescent="0.2">
      <c r="A17" s="60"/>
      <c r="B17" s="60"/>
      <c r="C17" s="60"/>
      <c r="D17" s="60"/>
      <c r="E17" s="60"/>
      <c r="F17" s="60"/>
      <c r="G17" s="60"/>
      <c r="J17" s="9"/>
      <c r="K17" s="69"/>
      <c r="L17" s="2"/>
      <c r="M17" s="13"/>
      <c r="N17" s="12"/>
      <c r="O17" s="66"/>
      <c r="P17" s="12"/>
      <c r="Q17" s="5"/>
      <c r="R17" s="9"/>
      <c r="S17" s="2"/>
      <c r="T17" s="14"/>
    </row>
    <row r="18" spans="1:20" x14ac:dyDescent="0.2">
      <c r="A18" s="156"/>
      <c r="B18" s="156"/>
      <c r="C18" s="34"/>
      <c r="D18" s="34"/>
      <c r="E18" s="32"/>
      <c r="F18" s="32"/>
      <c r="G18" s="36"/>
      <c r="I18" s="220"/>
      <c r="J18" s="9"/>
      <c r="K18" s="69"/>
      <c r="L18" s="2"/>
      <c r="M18" s="13"/>
      <c r="N18" s="12"/>
      <c r="O18" s="66"/>
      <c r="P18" s="12"/>
      <c r="Q18" s="5"/>
      <c r="R18" s="9"/>
      <c r="S18" s="2"/>
      <c r="T18" s="14"/>
    </row>
    <row r="19" spans="1:20" x14ac:dyDescent="0.2">
      <c r="A19" s="156"/>
      <c r="B19" s="156"/>
      <c r="C19" s="34"/>
      <c r="D19" s="34"/>
      <c r="E19" s="32"/>
      <c r="F19" s="32"/>
      <c r="G19" s="36"/>
      <c r="I19" s="220"/>
      <c r="J19" s="9"/>
      <c r="K19" s="69"/>
      <c r="L19" s="2"/>
      <c r="M19" s="13"/>
      <c r="N19" s="12"/>
      <c r="O19" s="66"/>
      <c r="P19" s="12"/>
      <c r="Q19" s="5"/>
      <c r="R19" s="9"/>
      <c r="S19" s="2"/>
      <c r="T19" s="14"/>
    </row>
    <row r="20" spans="1:20" x14ac:dyDescent="0.2">
      <c r="A20" s="156"/>
      <c r="B20" s="156"/>
      <c r="C20" s="34"/>
      <c r="D20" s="34"/>
      <c r="E20" s="32"/>
      <c r="F20" s="32"/>
      <c r="G20" s="36"/>
      <c r="I20" s="220"/>
      <c r="J20" s="9"/>
      <c r="K20" s="69"/>
      <c r="L20" s="2"/>
      <c r="M20" s="13"/>
      <c r="N20" s="12"/>
      <c r="O20" s="66"/>
      <c r="P20" s="12"/>
      <c r="Q20" s="5"/>
      <c r="R20" s="9"/>
      <c r="S20" s="2"/>
      <c r="T20" s="14"/>
    </row>
    <row r="21" spans="1:20" x14ac:dyDescent="0.2">
      <c r="A21" s="156"/>
      <c r="B21" s="156"/>
      <c r="C21" s="34"/>
      <c r="D21" s="34"/>
      <c r="E21" s="32"/>
      <c r="F21" s="32"/>
      <c r="G21" s="36"/>
      <c r="I21" s="220"/>
      <c r="J21" s="9"/>
      <c r="K21" s="69"/>
      <c r="L21" s="2"/>
      <c r="M21" s="13"/>
      <c r="N21" s="12"/>
      <c r="O21" s="66"/>
      <c r="P21" s="12"/>
      <c r="Q21" s="5"/>
      <c r="R21" s="9"/>
      <c r="S21" s="2"/>
      <c r="T21" s="14"/>
    </row>
    <row r="22" spans="1:20" x14ac:dyDescent="0.2">
      <c r="A22" s="156"/>
      <c r="B22" s="156"/>
      <c r="C22" s="34"/>
      <c r="D22" s="34"/>
      <c r="E22" s="32"/>
      <c r="F22" s="32"/>
      <c r="G22" s="36"/>
      <c r="I22" s="220"/>
      <c r="J22" s="9"/>
      <c r="K22" s="69"/>
      <c r="L22" s="2"/>
      <c r="M22" s="13"/>
      <c r="N22" s="12"/>
      <c r="O22" s="66"/>
      <c r="P22" s="12"/>
      <c r="Q22" s="5"/>
      <c r="R22" s="9"/>
      <c r="S22" s="2"/>
      <c r="T22" s="14"/>
    </row>
    <row r="23" spans="1:20" x14ac:dyDescent="0.2">
      <c r="A23" s="156"/>
      <c r="B23" s="156"/>
      <c r="C23" s="34"/>
      <c r="D23" s="34"/>
      <c r="E23" s="32"/>
      <c r="F23" s="32"/>
      <c r="G23" s="36"/>
      <c r="I23" s="220"/>
      <c r="J23" s="9"/>
      <c r="K23" s="69"/>
      <c r="L23" s="2"/>
      <c r="M23" s="13"/>
      <c r="N23" s="12"/>
      <c r="O23" s="66"/>
      <c r="P23" s="12"/>
      <c r="Q23" s="5"/>
      <c r="R23" s="9"/>
      <c r="S23" s="2"/>
      <c r="T23" s="14"/>
    </row>
    <row r="24" spans="1:20" x14ac:dyDescent="0.2">
      <c r="A24" s="156"/>
      <c r="B24" s="156"/>
      <c r="C24" s="34"/>
      <c r="D24" s="34"/>
      <c r="E24" s="32"/>
      <c r="F24" s="32"/>
      <c r="G24" s="36"/>
      <c r="I24" s="220"/>
      <c r="J24" s="9"/>
      <c r="K24" s="69"/>
      <c r="L24" s="2"/>
      <c r="M24" s="13"/>
      <c r="N24" s="12"/>
      <c r="O24" s="66"/>
      <c r="P24" s="12"/>
      <c r="Q24" s="5"/>
      <c r="R24" s="9"/>
      <c r="S24" s="2"/>
      <c r="T24" s="14"/>
    </row>
    <row r="25" spans="1:20" x14ac:dyDescent="0.2">
      <c r="A25" s="156"/>
      <c r="B25" s="156"/>
      <c r="C25" s="34"/>
      <c r="D25" s="34"/>
      <c r="E25" s="32"/>
      <c r="F25" s="32"/>
      <c r="G25" s="36"/>
      <c r="I25" s="220"/>
      <c r="J25" s="9"/>
      <c r="K25" s="69"/>
      <c r="L25" s="2"/>
      <c r="M25" s="13"/>
      <c r="N25" s="12"/>
      <c r="O25" s="66"/>
      <c r="P25" s="12"/>
      <c r="Q25" s="5"/>
      <c r="R25" s="9"/>
      <c r="S25" s="2"/>
      <c r="T25" s="14"/>
    </row>
    <row r="26" spans="1:20" x14ac:dyDescent="0.2">
      <c r="A26" s="156"/>
      <c r="B26" s="156"/>
      <c r="C26" s="34"/>
      <c r="D26" s="34"/>
      <c r="E26" s="32"/>
      <c r="F26" s="32"/>
      <c r="G26" s="36"/>
      <c r="I26" s="220"/>
      <c r="J26" s="9"/>
      <c r="K26" s="69"/>
      <c r="L26" s="2"/>
      <c r="M26" s="13"/>
      <c r="N26" s="12"/>
      <c r="O26" s="66"/>
      <c r="P26" s="12"/>
      <c r="Q26" s="5"/>
      <c r="R26" s="9"/>
      <c r="S26" s="2"/>
      <c r="T26" s="14"/>
    </row>
    <row r="27" spans="1:20" x14ac:dyDescent="0.2">
      <c r="A27" s="156"/>
      <c r="B27" s="156"/>
      <c r="C27" s="34"/>
      <c r="D27" s="34"/>
      <c r="E27" s="32"/>
      <c r="F27" s="32"/>
      <c r="G27" s="36"/>
      <c r="I27" s="220"/>
      <c r="J27" s="9"/>
      <c r="K27" s="69"/>
      <c r="L27" s="2"/>
      <c r="M27" s="13"/>
      <c r="N27" s="12"/>
      <c r="O27" s="66"/>
      <c r="P27" s="12"/>
      <c r="Q27" s="5"/>
      <c r="R27" s="9"/>
      <c r="S27" s="2"/>
      <c r="T27" s="14"/>
    </row>
    <row r="28" spans="1:20" x14ac:dyDescent="0.2">
      <c r="A28" s="156"/>
      <c r="B28" s="156"/>
      <c r="C28" s="34"/>
      <c r="D28" s="34"/>
      <c r="E28" s="32"/>
      <c r="F28" s="32"/>
      <c r="G28" s="36"/>
      <c r="I28" s="220"/>
      <c r="J28" s="9"/>
      <c r="K28" s="69"/>
      <c r="L28" s="2"/>
      <c r="M28" s="13"/>
      <c r="N28" s="12"/>
      <c r="O28" s="66"/>
      <c r="P28" s="12"/>
      <c r="Q28" s="5"/>
      <c r="R28" s="9"/>
      <c r="S28" s="2"/>
      <c r="T28" s="14"/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workbookViewId="0">
      <selection activeCell="G4" sqref="G4:G14"/>
    </sheetView>
  </sheetViews>
  <sheetFormatPr baseColWidth="10" defaultColWidth="8.6640625" defaultRowHeight="16" x14ac:dyDescent="0.2"/>
  <cols>
    <col min="1" max="1" width="12" customWidth="1"/>
  </cols>
  <sheetData>
    <row r="3" spans="1:13" x14ac:dyDescent="0.2">
      <c r="A3" s="315"/>
      <c r="B3" s="315" t="s">
        <v>17</v>
      </c>
      <c r="C3" s="316" t="s">
        <v>15</v>
      </c>
      <c r="D3" s="345" t="s">
        <v>1</v>
      </c>
      <c r="E3" s="345"/>
      <c r="F3" s="345"/>
      <c r="G3" s="345" t="s">
        <v>2</v>
      </c>
      <c r="H3" s="345"/>
      <c r="I3" s="345"/>
      <c r="J3" s="315" t="s">
        <v>3</v>
      </c>
      <c r="K3" s="346" t="s">
        <v>16</v>
      </c>
      <c r="L3" s="345"/>
      <c r="M3" s="345"/>
    </row>
    <row r="4" spans="1:13" x14ac:dyDescent="0.2">
      <c r="A4" s="156" t="s">
        <v>667</v>
      </c>
      <c r="B4" s="62">
        <v>990</v>
      </c>
      <c r="C4" s="30">
        <f>1950-B4</f>
        <v>960</v>
      </c>
      <c r="D4" s="56">
        <v>0.87170324479669692</v>
      </c>
      <c r="E4" s="2" t="s">
        <v>5</v>
      </c>
      <c r="F4" s="8">
        <v>1.9109703783968641E-3</v>
      </c>
      <c r="G4" s="12">
        <f>-8033*LN(D4)</f>
        <v>1102.9809342937599</v>
      </c>
      <c r="H4" s="2" t="s">
        <v>5</v>
      </c>
      <c r="I4" s="4">
        <f>F4/D4*8033</f>
        <v>17.61015017586886</v>
      </c>
      <c r="J4" s="15">
        <v>-18.993882892690884</v>
      </c>
      <c r="K4" s="9">
        <f>(EXP(C4/8267)*EXP(-G4/8033)-1)*1000</f>
        <v>-20.959118375316834</v>
      </c>
      <c r="L4" s="2" t="s">
        <v>5</v>
      </c>
      <c r="M4" s="9">
        <f>I4/8.033</f>
        <v>2.1922258403919908</v>
      </c>
    </row>
    <row r="5" spans="1:13" x14ac:dyDescent="0.2">
      <c r="A5" s="156" t="s">
        <v>668</v>
      </c>
      <c r="B5" s="62">
        <v>991</v>
      </c>
      <c r="C5" s="30">
        <f t="shared" ref="C5:C14" si="0">1950-B5</f>
        <v>959</v>
      </c>
      <c r="D5" s="56">
        <v>0.8725496717158957</v>
      </c>
      <c r="E5" s="2" t="s">
        <v>5</v>
      </c>
      <c r="F5" s="8">
        <v>1.8959408889720687E-3</v>
      </c>
      <c r="G5" s="12">
        <f t="shared" ref="G5:G14" si="1">-8033*LN(D5)</f>
        <v>1095.1846475153159</v>
      </c>
      <c r="H5" s="2" t="s">
        <v>5</v>
      </c>
      <c r="I5" s="4">
        <f t="shared" ref="I5:I14" si="2">F5/D5*8033</f>
        <v>17.454700465547344</v>
      </c>
      <c r="J5" s="15">
        <v>-18.768761812403277</v>
      </c>
      <c r="K5" s="9">
        <f t="shared" ref="K5:K14" si="3">(EXP(C5/8267)*EXP(-G5/8033)-1)*1000</f>
        <v>-20.1270016465932</v>
      </c>
      <c r="L5" s="2" t="s">
        <v>5</v>
      </c>
      <c r="M5" s="9">
        <f t="shared" ref="M5:M14" si="4">I5/8.033</f>
        <v>2.1728744510827021</v>
      </c>
    </row>
    <row r="6" spans="1:13" x14ac:dyDescent="0.2">
      <c r="A6" s="156" t="s">
        <v>669</v>
      </c>
      <c r="B6" s="62">
        <v>992</v>
      </c>
      <c r="C6" s="139">
        <f t="shared" si="0"/>
        <v>958</v>
      </c>
      <c r="D6" s="56">
        <v>0.87028605843496676</v>
      </c>
      <c r="E6" s="2" t="s">
        <v>5</v>
      </c>
      <c r="F6" s="8">
        <v>1.921798968454256E-3</v>
      </c>
      <c r="G6" s="12">
        <f t="shared" si="1"/>
        <v>1116.0513481410051</v>
      </c>
      <c r="H6" s="2" t="s">
        <v>5</v>
      </c>
      <c r="I6" s="4">
        <f t="shared" si="2"/>
        <v>17.738777915568146</v>
      </c>
      <c r="J6" s="15">
        <v>-18.81965111547612</v>
      </c>
      <c r="K6" s="9">
        <f t="shared" si="3"/>
        <v>-22.787252229628962</v>
      </c>
      <c r="L6" s="2" t="s">
        <v>5</v>
      </c>
      <c r="M6" s="9">
        <f t="shared" si="4"/>
        <v>2.2082382566373893</v>
      </c>
    </row>
    <row r="7" spans="1:13" x14ac:dyDescent="0.2">
      <c r="A7" s="156" t="s">
        <v>670</v>
      </c>
      <c r="B7" s="62">
        <v>993</v>
      </c>
      <c r="C7" s="139">
        <f t="shared" si="0"/>
        <v>957</v>
      </c>
      <c r="D7" s="140">
        <v>0.87650067772812745</v>
      </c>
      <c r="E7" s="141" t="s">
        <v>5</v>
      </c>
      <c r="F7" s="142">
        <v>1.9657615415527292E-3</v>
      </c>
      <c r="G7" s="143">
        <f t="shared" si="1"/>
        <v>1058.8923986481038</v>
      </c>
      <c r="H7" s="141" t="s">
        <v>5</v>
      </c>
      <c r="I7" s="144">
        <f t="shared" si="2"/>
        <v>18.015915862407475</v>
      </c>
      <c r="J7" s="145">
        <v>-22.148578323586186</v>
      </c>
      <c r="K7" s="146">
        <f t="shared" si="3"/>
        <v>-15.928124282195588</v>
      </c>
      <c r="L7" s="141" t="s">
        <v>5</v>
      </c>
      <c r="M7" s="146">
        <f t="shared" si="4"/>
        <v>2.2427381877763573</v>
      </c>
    </row>
    <row r="8" spans="1:13" x14ac:dyDescent="0.2">
      <c r="A8" s="156" t="s">
        <v>671</v>
      </c>
      <c r="B8" s="62">
        <v>994</v>
      </c>
      <c r="C8" s="139">
        <f t="shared" si="0"/>
        <v>956</v>
      </c>
      <c r="D8" s="140">
        <v>0.8822708806491768</v>
      </c>
      <c r="E8" s="141" t="s">
        <v>5</v>
      </c>
      <c r="F8" s="142">
        <v>1.9546270658279121E-3</v>
      </c>
      <c r="G8" s="143">
        <f t="shared" si="1"/>
        <v>1006.1826466030199</v>
      </c>
      <c r="H8" s="141" t="s">
        <v>5</v>
      </c>
      <c r="I8" s="144">
        <f t="shared" si="2"/>
        <v>17.796710244185331</v>
      </c>
      <c r="J8" s="145">
        <v>-19.66189377518257</v>
      </c>
      <c r="K8" s="146">
        <f t="shared" si="3"/>
        <v>-9.5695682951625329</v>
      </c>
      <c r="L8" s="141" t="s">
        <v>5</v>
      </c>
      <c r="M8" s="146">
        <f t="shared" si="4"/>
        <v>2.2154500490707498</v>
      </c>
    </row>
    <row r="9" spans="1:13" x14ac:dyDescent="0.2">
      <c r="A9" s="156" t="s">
        <v>672</v>
      </c>
      <c r="B9" s="62">
        <v>995</v>
      </c>
      <c r="C9" s="139">
        <f t="shared" si="0"/>
        <v>955</v>
      </c>
      <c r="D9" s="140">
        <v>0.88425293261283733</v>
      </c>
      <c r="E9" s="141" t="s">
        <v>5</v>
      </c>
      <c r="F9" s="142">
        <v>1.8895759199646577E-3</v>
      </c>
      <c r="G9" s="143">
        <f>-8033*LN(D9)</f>
        <v>988.15647567242297</v>
      </c>
      <c r="H9" s="141" t="s">
        <v>5</v>
      </c>
      <c r="I9" s="144">
        <f>F9/D9*8033</f>
        <v>17.165861491942685</v>
      </c>
      <c r="J9" s="145">
        <v>-22.000297225895913</v>
      </c>
      <c r="K9" s="146">
        <f>(EXP(C9/8267)*EXP(-G9/8033)-1)*1000</f>
        <v>-7.4645993563094981</v>
      </c>
      <c r="L9" s="141" t="s">
        <v>5</v>
      </c>
      <c r="M9" s="146">
        <f>I9/8.033</f>
        <v>2.1369179001546978</v>
      </c>
    </row>
    <row r="10" spans="1:13" x14ac:dyDescent="0.2">
      <c r="A10" s="156" t="s">
        <v>673</v>
      </c>
      <c r="B10" s="62">
        <v>996</v>
      </c>
      <c r="C10" s="139">
        <f t="shared" si="0"/>
        <v>954</v>
      </c>
      <c r="D10" s="140">
        <v>0.88038072136351275</v>
      </c>
      <c r="E10" s="141" t="s">
        <v>5</v>
      </c>
      <c r="F10" s="142">
        <v>1.8822308093865872E-3</v>
      </c>
      <c r="G10" s="143">
        <f>-8033*LN(D10)</f>
        <v>1023.4108445569993</v>
      </c>
      <c r="H10" s="141" t="s">
        <v>5</v>
      </c>
      <c r="I10" s="144">
        <f t="shared" si="2"/>
        <v>17.174342559870031</v>
      </c>
      <c r="J10" s="145">
        <v>-21.661354949951583</v>
      </c>
      <c r="K10" s="146">
        <f>(EXP(C10/8267)*EXP(-G10/8033)-1)*1000</f>
        <v>-11.930514762403366</v>
      </c>
      <c r="L10" s="141" t="s">
        <v>5</v>
      </c>
      <c r="M10" s="146">
        <f t="shared" si="4"/>
        <v>2.1379736785596952</v>
      </c>
    </row>
    <row r="11" spans="1:13" x14ac:dyDescent="0.2">
      <c r="A11" s="156" t="s">
        <v>674</v>
      </c>
      <c r="B11" s="62">
        <v>997</v>
      </c>
      <c r="C11" s="139">
        <f t="shared" si="0"/>
        <v>953</v>
      </c>
      <c r="D11" s="140">
        <v>0.88125524513915077</v>
      </c>
      <c r="E11" s="141" t="s">
        <v>5</v>
      </c>
      <c r="F11" s="142">
        <v>1.8896932966366662E-3</v>
      </c>
      <c r="G11" s="143">
        <f t="shared" si="1"/>
        <v>1015.4352466464607</v>
      </c>
      <c r="H11" s="141" t="s">
        <v>5</v>
      </c>
      <c r="I11" s="144">
        <f t="shared" si="2"/>
        <v>17.225323010117712</v>
      </c>
      <c r="J11" s="145">
        <v>-18.871894398272083</v>
      </c>
      <c r="K11" s="146">
        <f t="shared" si="3"/>
        <v>-11.068649852574497</v>
      </c>
      <c r="L11" s="141" t="s">
        <v>5</v>
      </c>
      <c r="M11" s="146">
        <f t="shared" si="4"/>
        <v>2.1443200560335756</v>
      </c>
    </row>
    <row r="12" spans="1:13" x14ac:dyDescent="0.2">
      <c r="A12" s="156" t="s">
        <v>675</v>
      </c>
      <c r="B12" s="62">
        <v>998</v>
      </c>
      <c r="C12" s="139">
        <f t="shared" si="0"/>
        <v>952</v>
      </c>
      <c r="D12" s="140">
        <v>0.88376820606942286</v>
      </c>
      <c r="E12" s="141" t="s">
        <v>5</v>
      </c>
      <c r="F12" s="142">
        <v>1.8503192347319674E-3</v>
      </c>
      <c r="G12" s="143">
        <f t="shared" si="1"/>
        <v>992.56118366557575</v>
      </c>
      <c r="H12" s="141" t="s">
        <v>5</v>
      </c>
      <c r="I12" s="144">
        <f t="shared" si="2"/>
        <v>16.818453425370574</v>
      </c>
      <c r="J12" s="145">
        <v>-22.128802307898265</v>
      </c>
      <c r="K12" s="146">
        <f t="shared" si="3"/>
        <v>-8.3686008119822084</v>
      </c>
      <c r="L12" s="141" t="s">
        <v>5</v>
      </c>
      <c r="M12" s="146">
        <f t="shared" si="4"/>
        <v>2.0936702882323632</v>
      </c>
    </row>
    <row r="13" spans="1:13" x14ac:dyDescent="0.2">
      <c r="A13" s="156" t="s">
        <v>676</v>
      </c>
      <c r="B13" s="62">
        <v>999</v>
      </c>
      <c r="C13" s="139">
        <f t="shared" si="0"/>
        <v>951</v>
      </c>
      <c r="D13" s="140">
        <v>0.87917380923988531</v>
      </c>
      <c r="E13" s="141" t="s">
        <v>5</v>
      </c>
      <c r="F13" s="142">
        <v>1.8616004906964511E-3</v>
      </c>
      <c r="G13" s="143">
        <f t="shared" si="1"/>
        <v>1034.4308231265131</v>
      </c>
      <c r="H13" s="141" t="s">
        <v>5</v>
      </c>
      <c r="I13" s="144">
        <f t="shared" si="2"/>
        <v>17.009420190410019</v>
      </c>
      <c r="J13" s="145">
        <v>-20.900898239958998</v>
      </c>
      <c r="K13" s="146">
        <f t="shared" si="3"/>
        <v>-13.643059827378679</v>
      </c>
      <c r="L13" s="141" t="s">
        <v>5</v>
      </c>
      <c r="M13" s="146">
        <f t="shared" si="4"/>
        <v>2.1174430711328296</v>
      </c>
    </row>
    <row r="14" spans="1:13" x14ac:dyDescent="0.2">
      <c r="A14" s="156" t="s">
        <v>677</v>
      </c>
      <c r="B14" s="62">
        <v>1000</v>
      </c>
      <c r="C14" s="30">
        <f t="shared" si="0"/>
        <v>950</v>
      </c>
      <c r="D14" s="56">
        <v>0.88028403651896892</v>
      </c>
      <c r="E14" s="2" t="s">
        <v>5</v>
      </c>
      <c r="F14" s="8">
        <v>1.9245289162556141E-3</v>
      </c>
      <c r="G14" s="12">
        <f t="shared" si="1"/>
        <v>1024.2930901446664</v>
      </c>
      <c r="H14" s="2" t="s">
        <v>5</v>
      </c>
      <c r="I14" s="4">
        <f t="shared" si="2"/>
        <v>17.562218719103413</v>
      </c>
      <c r="J14" s="15">
        <v>-21.173366539710582</v>
      </c>
      <c r="K14" s="9">
        <f t="shared" si="3"/>
        <v>-12.51693689139033</v>
      </c>
      <c r="L14" s="2" t="s">
        <v>5</v>
      </c>
      <c r="M14" s="9">
        <f t="shared" si="4"/>
        <v>2.1862590214245503</v>
      </c>
    </row>
  </sheetData>
  <mergeCells count="3">
    <mergeCell ref="D3:F3"/>
    <mergeCell ref="G3:I3"/>
    <mergeCell ref="K3:M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workbookViewId="0">
      <selection activeCell="D4" sqref="D4:M14"/>
    </sheetView>
  </sheetViews>
  <sheetFormatPr baseColWidth="10" defaultColWidth="8.6640625" defaultRowHeight="16" x14ac:dyDescent="0.2"/>
  <cols>
    <col min="1" max="1" width="12" customWidth="1"/>
  </cols>
  <sheetData>
    <row r="3" spans="1:13" x14ac:dyDescent="0.2">
      <c r="A3" s="315"/>
      <c r="B3" s="315" t="s">
        <v>17</v>
      </c>
      <c r="C3" s="316" t="s">
        <v>15</v>
      </c>
      <c r="D3" s="345" t="s">
        <v>1</v>
      </c>
      <c r="E3" s="345"/>
      <c r="F3" s="345"/>
      <c r="G3" s="345" t="s">
        <v>2</v>
      </c>
      <c r="H3" s="345"/>
      <c r="I3" s="345"/>
      <c r="J3" s="315" t="s">
        <v>3</v>
      </c>
      <c r="K3" s="346" t="s">
        <v>16</v>
      </c>
      <c r="L3" s="345"/>
      <c r="M3" s="345"/>
    </row>
    <row r="4" spans="1:13" x14ac:dyDescent="0.2">
      <c r="A4" s="258" t="s">
        <v>634</v>
      </c>
      <c r="B4" s="62">
        <v>990</v>
      </c>
      <c r="C4" s="30">
        <f>1950-B4</f>
        <v>960</v>
      </c>
      <c r="D4" s="56">
        <v>0.87336965705535574</v>
      </c>
      <c r="E4" s="2" t="s">
        <v>5</v>
      </c>
      <c r="F4" s="8">
        <v>2.1077428718942861E-3</v>
      </c>
      <c r="G4" s="12">
        <f>-8033*LN(D4)</f>
        <v>1087.6391182257908</v>
      </c>
      <c r="H4" s="2" t="s">
        <v>5</v>
      </c>
      <c r="I4" s="4">
        <f>F4/D4*8033</f>
        <v>19.386405691048239</v>
      </c>
      <c r="J4" s="15">
        <v>-20.741630554299341</v>
      </c>
      <c r="K4" s="9">
        <f>(EXP(C4/8267)*EXP(-G4/8033)-1)*1000</f>
        <v>-19.087511568062098</v>
      </c>
      <c r="L4" s="2" t="s">
        <v>5</v>
      </c>
      <c r="M4" s="9">
        <f>I4/8.033</f>
        <v>2.4133456605313381</v>
      </c>
    </row>
    <row r="5" spans="1:13" x14ac:dyDescent="0.2">
      <c r="A5" s="258" t="s">
        <v>635</v>
      </c>
      <c r="B5" s="62">
        <v>991</v>
      </c>
      <c r="C5" s="30">
        <f t="shared" ref="C5:C14" si="0">1950-B5</f>
        <v>959</v>
      </c>
      <c r="D5" s="56">
        <v>0.87003899755928382</v>
      </c>
      <c r="E5" s="2" t="s">
        <v>5</v>
      </c>
      <c r="F5" s="8">
        <v>2.129699367174197E-3</v>
      </c>
      <c r="G5" s="12">
        <f t="shared" ref="G5:G14" si="1">-8033*LN(D5)</f>
        <v>1118.3321174959685</v>
      </c>
      <c r="H5" s="2" t="s">
        <v>5</v>
      </c>
      <c r="I5" s="4">
        <f t="shared" ref="I5:I14" si="2">F5/D5*8033</f>
        <v>19.663342751880045</v>
      </c>
      <c r="J5" s="15">
        <v>-18.70716862655053</v>
      </c>
      <c r="K5" s="9">
        <f t="shared" ref="K5:K14" si="3">(EXP(C5/8267)*EXP(-G5/8033)-1)*1000</f>
        <v>-22.946487910211587</v>
      </c>
      <c r="L5" s="2" t="s">
        <v>5</v>
      </c>
      <c r="M5" s="9">
        <f t="shared" ref="M5:M14" si="4">I5/8.033</f>
        <v>2.4478205840756937</v>
      </c>
    </row>
    <row r="6" spans="1:13" x14ac:dyDescent="0.2">
      <c r="A6" s="258" t="s">
        <v>636</v>
      </c>
      <c r="B6" s="62">
        <v>992</v>
      </c>
      <c r="C6" s="139">
        <f t="shared" si="0"/>
        <v>958</v>
      </c>
      <c r="D6" s="56">
        <v>0.87270091590009913</v>
      </c>
      <c r="E6" s="2" t="s">
        <v>5</v>
      </c>
      <c r="F6" s="8">
        <v>2.1469682277733115E-3</v>
      </c>
      <c r="G6" s="12">
        <f t="shared" si="1"/>
        <v>1093.792360879381</v>
      </c>
      <c r="H6" s="2" t="s">
        <v>5</v>
      </c>
      <c r="I6" s="4">
        <f t="shared" si="2"/>
        <v>19.762321156630119</v>
      </c>
      <c r="J6" s="15">
        <v>-19.450576195005453</v>
      </c>
      <c r="K6" s="9">
        <f t="shared" si="3"/>
        <v>-20.075696096902405</v>
      </c>
      <c r="L6" s="2" t="s">
        <v>5</v>
      </c>
      <c r="M6" s="9">
        <f t="shared" si="4"/>
        <v>2.4601420585870932</v>
      </c>
    </row>
    <row r="7" spans="1:13" x14ac:dyDescent="0.2">
      <c r="A7" s="258" t="s">
        <v>637</v>
      </c>
      <c r="B7" s="62">
        <v>993</v>
      </c>
      <c r="C7" s="139">
        <f t="shared" si="0"/>
        <v>957</v>
      </c>
      <c r="D7" s="140">
        <v>0.87804422989695996</v>
      </c>
      <c r="E7" s="141" t="s">
        <v>5</v>
      </c>
      <c r="F7" s="142">
        <v>2.1544860766833699E-3</v>
      </c>
      <c r="G7" s="143">
        <f t="shared" si="1"/>
        <v>1044.7584112908364</v>
      </c>
      <c r="H7" s="141" t="s">
        <v>5</v>
      </c>
      <c r="I7" s="144">
        <f t="shared" si="2"/>
        <v>19.710836954111659</v>
      </c>
      <c r="J7" s="145">
        <v>-20.931550691120183</v>
      </c>
      <c r="K7" s="146">
        <f t="shared" si="3"/>
        <v>-14.19513500261116</v>
      </c>
      <c r="L7" s="141" t="s">
        <v>5</v>
      </c>
      <c r="M7" s="146">
        <f t="shared" si="4"/>
        <v>2.4537329707595745</v>
      </c>
    </row>
    <row r="8" spans="1:13" x14ac:dyDescent="0.2">
      <c r="A8" s="258" t="s">
        <v>638</v>
      </c>
      <c r="B8" s="62">
        <v>994</v>
      </c>
      <c r="C8" s="139">
        <f t="shared" si="0"/>
        <v>956</v>
      </c>
      <c r="D8" s="140">
        <v>0.88409421082771844</v>
      </c>
      <c r="E8" s="141" t="s">
        <v>5</v>
      </c>
      <c r="F8" s="142">
        <v>2.1498904026988337E-3</v>
      </c>
      <c r="G8" s="143">
        <f t="shared" si="1"/>
        <v>989.59851391475956</v>
      </c>
      <c r="H8" s="141" t="s">
        <v>5</v>
      </c>
      <c r="I8" s="144">
        <f t="shared" si="2"/>
        <v>19.534196009168433</v>
      </c>
      <c r="J8" s="145">
        <v>-20.066606587733737</v>
      </c>
      <c r="K8" s="146">
        <f t="shared" si="3"/>
        <v>-7.5227120115859414</v>
      </c>
      <c r="L8" s="141" t="s">
        <v>5</v>
      </c>
      <c r="M8" s="146">
        <f t="shared" si="4"/>
        <v>2.4317435589653225</v>
      </c>
    </row>
    <row r="9" spans="1:13" x14ac:dyDescent="0.2">
      <c r="A9" s="258" t="s">
        <v>639</v>
      </c>
      <c r="B9" s="62">
        <v>995</v>
      </c>
      <c r="C9" s="139">
        <f t="shared" si="0"/>
        <v>955</v>
      </c>
      <c r="D9" s="140">
        <v>0.87902525500293316</v>
      </c>
      <c r="E9" s="141" t="s">
        <v>5</v>
      </c>
      <c r="F9" s="142">
        <v>2.1700649472660752E-3</v>
      </c>
      <c r="G9" s="143">
        <f t="shared" si="1"/>
        <v>1035.7882760026357</v>
      </c>
      <c r="H9" s="141" t="s">
        <v>5</v>
      </c>
      <c r="I9" s="144">
        <f t="shared" si="2"/>
        <v>19.831206921728562</v>
      </c>
      <c r="J9" s="145">
        <v>-17.850866075676208</v>
      </c>
      <c r="K9" s="146">
        <f t="shared" si="3"/>
        <v>-13.332439766689074</v>
      </c>
      <c r="L9" s="141" t="s">
        <v>5</v>
      </c>
      <c r="M9" s="146">
        <f t="shared" si="4"/>
        <v>2.4687174059166641</v>
      </c>
    </row>
    <row r="10" spans="1:13" x14ac:dyDescent="0.2">
      <c r="A10" s="258" t="s">
        <v>640</v>
      </c>
      <c r="B10" s="62">
        <v>996</v>
      </c>
      <c r="C10" s="139">
        <f t="shared" si="0"/>
        <v>954</v>
      </c>
      <c r="D10" s="140">
        <v>0.88554731101024631</v>
      </c>
      <c r="E10" s="141" t="s">
        <v>5</v>
      </c>
      <c r="F10" s="142">
        <v>2.1576552660238285E-3</v>
      </c>
      <c r="G10" s="143">
        <f>-8033*LN(D10)</f>
        <v>976.40628684995522</v>
      </c>
      <c r="H10" s="141" t="s">
        <v>5</v>
      </c>
      <c r="I10" s="144">
        <f t="shared" si="2"/>
        <v>19.572579055314716</v>
      </c>
      <c r="J10" s="145">
        <v>-21.850813010080184</v>
      </c>
      <c r="K10" s="146">
        <f t="shared" si="3"/>
        <v>-6.1319443839249477</v>
      </c>
      <c r="L10" s="141" t="s">
        <v>5</v>
      </c>
      <c r="M10" s="146">
        <f t="shared" si="4"/>
        <v>2.4365217297790012</v>
      </c>
    </row>
    <row r="11" spans="1:13" x14ac:dyDescent="0.2">
      <c r="A11" s="258" t="s">
        <v>641</v>
      </c>
      <c r="B11" s="62">
        <v>997</v>
      </c>
      <c r="C11" s="139">
        <f t="shared" si="0"/>
        <v>953</v>
      </c>
      <c r="D11" s="140">
        <v>0.88288234250119779</v>
      </c>
      <c r="E11" s="141" t="s">
        <v>5</v>
      </c>
      <c r="F11" s="142">
        <v>2.1412346784639657E-3</v>
      </c>
      <c r="G11" s="143">
        <f t="shared" si="1"/>
        <v>1000.6172677006834</v>
      </c>
      <c r="H11" s="141" t="s">
        <v>5</v>
      </c>
      <c r="I11" s="144">
        <f t="shared" si="2"/>
        <v>19.482254139744221</v>
      </c>
      <c r="J11" s="145">
        <v>-21.734820291902544</v>
      </c>
      <c r="K11" s="146">
        <f t="shared" si="3"/>
        <v>-9.2427457232703283</v>
      </c>
      <c r="L11" s="141" t="s">
        <v>5</v>
      </c>
      <c r="M11" s="146">
        <f t="shared" si="4"/>
        <v>2.4252774977896454</v>
      </c>
    </row>
    <row r="12" spans="1:13" x14ac:dyDescent="0.2">
      <c r="A12" s="258" t="s">
        <v>642</v>
      </c>
      <c r="B12" s="62">
        <v>998</v>
      </c>
      <c r="C12" s="139">
        <f t="shared" si="0"/>
        <v>952</v>
      </c>
      <c r="D12" s="140">
        <v>0.8827802650400729</v>
      </c>
      <c r="E12" s="141" t="s">
        <v>5</v>
      </c>
      <c r="F12" s="142">
        <v>2.1319980772722901E-3</v>
      </c>
      <c r="G12" s="143">
        <f t="shared" si="1"/>
        <v>1001.5460841604391</v>
      </c>
      <c r="H12" s="141" t="s">
        <v>5</v>
      </c>
      <c r="I12" s="144">
        <f t="shared" si="2"/>
        <v>19.400456980028743</v>
      </c>
      <c r="J12" s="145">
        <v>-21.139465570721548</v>
      </c>
      <c r="K12" s="146">
        <f t="shared" si="3"/>
        <v>-9.4771192430838092</v>
      </c>
      <c r="L12" s="141" t="s">
        <v>5</v>
      </c>
      <c r="M12" s="146">
        <f t="shared" si="4"/>
        <v>2.4150948562216787</v>
      </c>
    </row>
    <row r="13" spans="1:13" x14ac:dyDescent="0.2">
      <c r="A13" s="258" t="s">
        <v>643</v>
      </c>
      <c r="B13" s="62">
        <v>999</v>
      </c>
      <c r="C13" s="139">
        <f t="shared" si="0"/>
        <v>951</v>
      </c>
      <c r="D13" s="140">
        <v>0.87609143760499963</v>
      </c>
      <c r="E13" s="141" t="s">
        <v>5</v>
      </c>
      <c r="F13" s="142">
        <v>2.1340709151866362E-3</v>
      </c>
      <c r="G13" s="143">
        <f t="shared" si="1"/>
        <v>1062.6439001413189</v>
      </c>
      <c r="H13" s="141" t="s">
        <v>5</v>
      </c>
      <c r="I13" s="144">
        <f t="shared" si="2"/>
        <v>19.567582704105199</v>
      </c>
      <c r="J13" s="145">
        <v>-19.876939466216271</v>
      </c>
      <c r="K13" s="146">
        <f t="shared" si="3"/>
        <v>-17.101214088012682</v>
      </c>
      <c r="L13" s="141" t="s">
        <v>5</v>
      </c>
      <c r="M13" s="146">
        <f t="shared" si="4"/>
        <v>2.4358997515380554</v>
      </c>
    </row>
    <row r="14" spans="1:13" x14ac:dyDescent="0.2">
      <c r="A14" s="258" t="s">
        <v>644</v>
      </c>
      <c r="B14" s="62">
        <v>1000</v>
      </c>
      <c r="C14" s="30">
        <f t="shared" si="0"/>
        <v>950</v>
      </c>
      <c r="D14" s="56">
        <v>0.87760494406695422</v>
      </c>
      <c r="E14" s="2" t="s">
        <v>5</v>
      </c>
      <c r="F14" s="8">
        <v>2.1261614099831044E-3</v>
      </c>
      <c r="G14" s="12">
        <f t="shared" si="1"/>
        <v>1048.7783296189502</v>
      </c>
      <c r="H14" s="2" t="s">
        <v>5</v>
      </c>
      <c r="I14" s="4">
        <f t="shared" si="2"/>
        <v>19.46143845458014</v>
      </c>
      <c r="J14" s="15">
        <v>-22.350377809564836</v>
      </c>
      <c r="K14" s="9">
        <f t="shared" si="3"/>
        <v>-15.522283246787616</v>
      </c>
      <c r="L14" s="2" t="s">
        <v>5</v>
      </c>
      <c r="M14" s="9">
        <f t="shared" si="4"/>
        <v>2.4226862261396915</v>
      </c>
    </row>
  </sheetData>
  <mergeCells count="3">
    <mergeCell ref="D3:F3"/>
    <mergeCell ref="G3:I3"/>
    <mergeCell ref="K3:M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topLeftCell="D1" workbookViewId="0">
      <selection activeCell="D4" sqref="D4:M14"/>
    </sheetView>
  </sheetViews>
  <sheetFormatPr baseColWidth="10" defaultColWidth="8.6640625" defaultRowHeight="16" x14ac:dyDescent="0.2"/>
  <cols>
    <col min="1" max="1" width="12" customWidth="1"/>
  </cols>
  <sheetData>
    <row r="3" spans="1:13" x14ac:dyDescent="0.2">
      <c r="A3" s="315"/>
      <c r="B3" s="315" t="s">
        <v>17</v>
      </c>
      <c r="C3" s="316" t="s">
        <v>15</v>
      </c>
      <c r="D3" s="345" t="s">
        <v>1</v>
      </c>
      <c r="E3" s="345"/>
      <c r="F3" s="345"/>
      <c r="G3" s="345" t="s">
        <v>2</v>
      </c>
      <c r="H3" s="345"/>
      <c r="I3" s="345"/>
      <c r="J3" s="315" t="s">
        <v>3</v>
      </c>
      <c r="K3" s="346" t="s">
        <v>16</v>
      </c>
      <c r="L3" s="345"/>
      <c r="M3" s="345"/>
    </row>
    <row r="4" spans="1:13" x14ac:dyDescent="0.2">
      <c r="A4" s="156" t="s">
        <v>645</v>
      </c>
      <c r="B4" s="62">
        <v>990</v>
      </c>
      <c r="C4" s="30">
        <f>1950-B4</f>
        <v>960</v>
      </c>
      <c r="D4" s="56">
        <v>0.87198351043333688</v>
      </c>
      <c r="E4" s="2" t="s">
        <v>5</v>
      </c>
      <c r="F4" s="8">
        <v>1.5702251255691128E-3</v>
      </c>
      <c r="G4" s="12">
        <f>-8033*LN(D4)</f>
        <v>1100.3986196988203</v>
      </c>
      <c r="H4" s="2" t="s">
        <v>5</v>
      </c>
      <c r="I4" s="4">
        <f>F4/D4*8033</f>
        <v>14.465432296338125</v>
      </c>
      <c r="J4" s="15">
        <v>-21.146402058633829</v>
      </c>
      <c r="K4" s="9">
        <f>(EXP(C4/8267)*EXP(-G4/8033)-1)*1000</f>
        <v>-20.644342082326126</v>
      </c>
      <c r="L4" s="2" t="s">
        <v>5</v>
      </c>
      <c r="M4" s="9">
        <f>I4/8.033</f>
        <v>1.8007509394171699</v>
      </c>
    </row>
    <row r="5" spans="1:13" x14ac:dyDescent="0.2">
      <c r="A5" s="156" t="s">
        <v>646</v>
      </c>
      <c r="B5" s="62">
        <v>991</v>
      </c>
      <c r="C5" s="30">
        <f t="shared" ref="C5:C14" si="0">1950-B5</f>
        <v>959</v>
      </c>
      <c r="D5" s="56">
        <v>0.87130265293072795</v>
      </c>
      <c r="E5" s="2" t="s">
        <v>5</v>
      </c>
      <c r="F5" s="8">
        <v>1.5804958183364233E-3</v>
      </c>
      <c r="G5" s="12">
        <f t="shared" ref="G5:G14" si="1">-8033*LN(D5)</f>
        <v>1106.6733538319645</v>
      </c>
      <c r="H5" s="2" t="s">
        <v>5</v>
      </c>
      <c r="I5" s="4">
        <f t="shared" ref="I5:I14" si="2">F5/D5*8033</f>
        <v>14.571426892815717</v>
      </c>
      <c r="J5" s="15">
        <v>-22.520904403119712</v>
      </c>
      <c r="K5" s="9">
        <f t="shared" ref="K5:K14" si="3">(EXP(C5/8267)*EXP(-G5/8033)-1)*1000</f>
        <v>-21.527403337906037</v>
      </c>
      <c r="L5" s="2" t="s">
        <v>5</v>
      </c>
      <c r="M5" s="9">
        <f t="shared" ref="M5:M14" si="4">I5/8.033</f>
        <v>1.813945835032456</v>
      </c>
    </row>
    <row r="6" spans="1:13" x14ac:dyDescent="0.2">
      <c r="A6" s="156" t="s">
        <v>647</v>
      </c>
      <c r="B6" s="62">
        <v>992</v>
      </c>
      <c r="C6" s="139">
        <f t="shared" si="0"/>
        <v>958</v>
      </c>
      <c r="D6" s="56">
        <v>0.87199286726789438</v>
      </c>
      <c r="E6" s="2" t="s">
        <v>5</v>
      </c>
      <c r="F6" s="8">
        <v>1.5735083428013274E-3</v>
      </c>
      <c r="G6" s="12">
        <f t="shared" si="1"/>
        <v>1100.312421912013</v>
      </c>
      <c r="H6" s="2" t="s">
        <v>5</v>
      </c>
      <c r="I6" s="4">
        <f t="shared" si="2"/>
        <v>14.495522833032295</v>
      </c>
      <c r="J6" s="15">
        <v>-22.866162083265529</v>
      </c>
      <c r="K6" s="9">
        <f t="shared" si="3"/>
        <v>-20.870738304835879</v>
      </c>
      <c r="L6" s="2" t="s">
        <v>5</v>
      </c>
      <c r="M6" s="9">
        <f t="shared" si="4"/>
        <v>1.8044968048091989</v>
      </c>
    </row>
    <row r="7" spans="1:13" x14ac:dyDescent="0.2">
      <c r="A7" s="156" t="s">
        <v>648</v>
      </c>
      <c r="B7" s="62">
        <v>993</v>
      </c>
      <c r="C7" s="139">
        <f t="shared" si="0"/>
        <v>957</v>
      </c>
      <c r="D7" s="140">
        <v>0.87806433354455604</v>
      </c>
      <c r="E7" s="141" t="s">
        <v>5</v>
      </c>
      <c r="F7" s="142">
        <v>1.5773899905034939E-3</v>
      </c>
      <c r="G7" s="143">
        <f t="shared" si="1"/>
        <v>1044.5744903140717</v>
      </c>
      <c r="H7" s="141" t="s">
        <v>5</v>
      </c>
      <c r="I7" s="144">
        <f t="shared" si="2"/>
        <v>14.430803427083498</v>
      </c>
      <c r="J7" s="145">
        <v>-21.274252806606555</v>
      </c>
      <c r="K7" s="146">
        <f t="shared" si="3"/>
        <v>-14.172564074029669</v>
      </c>
      <c r="L7" s="141" t="s">
        <v>5</v>
      </c>
      <c r="M7" s="146">
        <f t="shared" si="4"/>
        <v>1.7964401129196439</v>
      </c>
    </row>
    <row r="8" spans="1:13" x14ac:dyDescent="0.2">
      <c r="A8" s="156" t="s">
        <v>649</v>
      </c>
      <c r="B8" s="62">
        <v>994</v>
      </c>
      <c r="C8" s="139">
        <f t="shared" si="0"/>
        <v>956</v>
      </c>
      <c r="D8" s="140">
        <v>0.88294615934246345</v>
      </c>
      <c r="E8" s="141" t="s">
        <v>5</v>
      </c>
      <c r="F8" s="142">
        <v>1.5864727354488834E-3</v>
      </c>
      <c r="G8" s="143">
        <f t="shared" si="1"/>
        <v>1000.0366442872828</v>
      </c>
      <c r="H8" s="141" t="s">
        <v>5</v>
      </c>
      <c r="I8" s="144">
        <f t="shared" si="2"/>
        <v>14.433649604808897</v>
      </c>
      <c r="J8" s="145">
        <v>-21.12738011224813</v>
      </c>
      <c r="K8" s="146">
        <f t="shared" si="3"/>
        <v>-8.8115056838012897</v>
      </c>
      <c r="L8" s="141" t="s">
        <v>5</v>
      </c>
      <c r="M8" s="146">
        <f t="shared" si="4"/>
        <v>1.7967944236037467</v>
      </c>
    </row>
    <row r="9" spans="1:13" x14ac:dyDescent="0.2">
      <c r="A9" s="258" t="s">
        <v>650</v>
      </c>
      <c r="B9" s="62">
        <v>995</v>
      </c>
      <c r="C9" s="139">
        <f t="shared" si="0"/>
        <v>955</v>
      </c>
      <c r="D9" s="140">
        <v>0.87927650282673131</v>
      </c>
      <c r="E9" s="141" t="s">
        <v>5</v>
      </c>
      <c r="F9" s="142">
        <v>1.8162938274747214E-3</v>
      </c>
      <c r="G9" s="143">
        <f>-8033*LN(D9)</f>
        <v>1033.492567915762</v>
      </c>
      <c r="H9" s="141" t="s">
        <v>5</v>
      </c>
      <c r="I9" s="144">
        <f>F9/D9*8033</f>
        <v>16.593515542834396</v>
      </c>
      <c r="J9" s="145">
        <v>-17.850866075676208</v>
      </c>
      <c r="K9" s="146">
        <f>(EXP(C9/8267)*EXP(-G9/8033)-1)*1000</f>
        <v>-13.050425028307</v>
      </c>
      <c r="L9" s="141" t="s">
        <v>5</v>
      </c>
      <c r="M9" s="146">
        <f>I9/8.033</f>
        <v>2.0656685600441178</v>
      </c>
    </row>
    <row r="10" spans="1:13" x14ac:dyDescent="0.2">
      <c r="A10" s="258" t="s">
        <v>651</v>
      </c>
      <c r="B10" s="62">
        <v>996</v>
      </c>
      <c r="C10" s="139">
        <f t="shared" si="0"/>
        <v>954</v>
      </c>
      <c r="D10" s="140">
        <v>0.87984507638040044</v>
      </c>
      <c r="E10" s="141" t="s">
        <v>5</v>
      </c>
      <c r="F10" s="142">
        <v>1.8269539284293816E-3</v>
      </c>
      <c r="G10" s="143">
        <f>-8033*LN(D10)</f>
        <v>1028.2998040162599</v>
      </c>
      <c r="H10" s="141" t="s">
        <v>5</v>
      </c>
      <c r="I10" s="144">
        <f t="shared" si="2"/>
        <v>16.680119376752753</v>
      </c>
      <c r="J10" s="145">
        <v>-21.850813010080184</v>
      </c>
      <c r="K10" s="146">
        <f t="shared" si="3"/>
        <v>-12.531680201276373</v>
      </c>
      <c r="L10" s="141" t="s">
        <v>5</v>
      </c>
      <c r="M10" s="146">
        <f t="shared" si="4"/>
        <v>2.0764495676276304</v>
      </c>
    </row>
    <row r="11" spans="1:13" x14ac:dyDescent="0.2">
      <c r="A11" s="258" t="s">
        <v>652</v>
      </c>
      <c r="B11" s="62">
        <v>997</v>
      </c>
      <c r="C11" s="139">
        <f t="shared" si="0"/>
        <v>953</v>
      </c>
      <c r="D11" s="140">
        <v>0.87998132006478558</v>
      </c>
      <c r="E11" s="141" t="s">
        <v>5</v>
      </c>
      <c r="F11" s="142">
        <v>1.7601115387297246E-3</v>
      </c>
      <c r="G11" s="143">
        <f t="shared" si="1"/>
        <v>1027.0559932391707</v>
      </c>
      <c r="H11" s="141" t="s">
        <v>5</v>
      </c>
      <c r="I11" s="144">
        <f t="shared" si="2"/>
        <v>16.06735923618804</v>
      </c>
      <c r="J11" s="145">
        <v>-21.734820291902544</v>
      </c>
      <c r="K11" s="146">
        <f t="shared" si="3"/>
        <v>-12.498229365125013</v>
      </c>
      <c r="L11" s="141" t="s">
        <v>5</v>
      </c>
      <c r="M11" s="146">
        <f t="shared" si="4"/>
        <v>2.0001692065465009</v>
      </c>
    </row>
    <row r="12" spans="1:13" x14ac:dyDescent="0.2">
      <c r="A12" s="258" t="s">
        <v>653</v>
      </c>
      <c r="B12" s="62">
        <v>998</v>
      </c>
      <c r="C12" s="139">
        <f t="shared" si="0"/>
        <v>952</v>
      </c>
      <c r="D12" s="140">
        <v>0.88009371857462382</v>
      </c>
      <c r="E12" s="141" t="s">
        <v>5</v>
      </c>
      <c r="F12" s="142">
        <v>1.7853279115957292E-3</v>
      </c>
      <c r="G12" s="143">
        <f t="shared" si="1"/>
        <v>1026.0300174018496</v>
      </c>
      <c r="H12" s="141" t="s">
        <v>5</v>
      </c>
      <c r="I12" s="144">
        <f t="shared" si="2"/>
        <v>16.295468097506326</v>
      </c>
      <c r="J12" s="145">
        <v>-21.139465570721548</v>
      </c>
      <c r="K12" s="146">
        <f t="shared" si="3"/>
        <v>-12.49155652677536</v>
      </c>
      <c r="L12" s="141" t="s">
        <v>5</v>
      </c>
      <c r="M12" s="146">
        <f t="shared" si="4"/>
        <v>2.0285656787633921</v>
      </c>
    </row>
    <row r="13" spans="1:13" x14ac:dyDescent="0.2">
      <c r="A13" s="258" t="s">
        <v>654</v>
      </c>
      <c r="B13" s="62">
        <v>999</v>
      </c>
      <c r="C13" s="139">
        <f t="shared" si="0"/>
        <v>951</v>
      </c>
      <c r="D13" s="140">
        <v>0.87912827354977119</v>
      </c>
      <c r="E13" s="141" t="s">
        <v>5</v>
      </c>
      <c r="F13" s="142">
        <v>1.7446205185096863E-3</v>
      </c>
      <c r="G13" s="143">
        <f t="shared" si="1"/>
        <v>1034.8468929274295</v>
      </c>
      <c r="H13" s="141" t="s">
        <v>5</v>
      </c>
      <c r="I13" s="144">
        <f t="shared" si="2"/>
        <v>15.941401325428862</v>
      </c>
      <c r="J13" s="145">
        <v>-19.876939466216271</v>
      </c>
      <c r="K13" s="146">
        <f t="shared" si="3"/>
        <v>-13.694146931541251</v>
      </c>
      <c r="L13" s="141" t="s">
        <v>5</v>
      </c>
      <c r="M13" s="146">
        <f t="shared" si="4"/>
        <v>1.9844891479433415</v>
      </c>
    </row>
    <row r="14" spans="1:13" x14ac:dyDescent="0.2">
      <c r="A14" s="258" t="s">
        <v>655</v>
      </c>
      <c r="B14" s="62">
        <v>1000</v>
      </c>
      <c r="C14" s="30">
        <f t="shared" si="0"/>
        <v>950</v>
      </c>
      <c r="D14" s="56">
        <v>0.87903514120235704</v>
      </c>
      <c r="E14" s="2" t="s">
        <v>5</v>
      </c>
      <c r="F14" s="8">
        <v>1.8241351117633552E-3</v>
      </c>
      <c r="G14" s="12">
        <f t="shared" si="1"/>
        <v>1035.6979311656276</v>
      </c>
      <c r="H14" s="2" t="s">
        <v>5</v>
      </c>
      <c r="I14" s="4">
        <f t="shared" si="2"/>
        <v>16.669728735477022</v>
      </c>
      <c r="J14" s="15">
        <v>-22.350377809564836</v>
      </c>
      <c r="K14" s="9">
        <f t="shared" si="3"/>
        <v>-13.917919894134268</v>
      </c>
      <c r="L14" s="2" t="s">
        <v>5</v>
      </c>
      <c r="M14" s="9">
        <f t="shared" si="4"/>
        <v>2.0751560731329546</v>
      </c>
    </row>
  </sheetData>
  <mergeCells count="3">
    <mergeCell ref="D3:F3"/>
    <mergeCell ref="G3:I3"/>
    <mergeCell ref="K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9" workbookViewId="0">
      <selection activeCell="AB7" sqref="AB7"/>
    </sheetView>
  </sheetViews>
  <sheetFormatPr baseColWidth="10" defaultColWidth="8.6640625" defaultRowHeight="16" x14ac:dyDescent="0.2"/>
  <cols>
    <col min="1" max="1" width="9.6640625" bestFit="1" customWidth="1"/>
    <col min="2" max="2" width="7.6640625" bestFit="1" customWidth="1"/>
    <col min="3" max="4" width="7" bestFit="1" customWidth="1"/>
    <col min="5" max="5" width="7.6640625" bestFit="1" customWidth="1"/>
    <col min="6" max="6" width="6.1640625" bestFit="1" customWidth="1"/>
    <col min="7" max="7" width="5.6640625" bestFit="1" customWidth="1"/>
    <col min="21" max="21" width="0" hidden="1" customWidth="1"/>
    <col min="22" max="22" width="17.1640625" hidden="1" customWidth="1"/>
    <col min="23" max="24" width="0" hidden="1" customWidth="1"/>
    <col min="25" max="25" width="8.6640625" hidden="1" customWidth="1"/>
  </cols>
  <sheetData>
    <row r="1" spans="1:25" s="225" customFormat="1" ht="14" x14ac:dyDescent="0.2"/>
    <row r="2" spans="1:25" s="231" customFormat="1" ht="15" x14ac:dyDescent="0.2">
      <c r="A2" s="230"/>
      <c r="B2" s="230"/>
      <c r="C2" s="230"/>
      <c r="D2" s="230"/>
      <c r="R2" s="232"/>
      <c r="S2" s="232"/>
    </row>
    <row r="3" spans="1:25" s="224" customFormat="1" x14ac:dyDescent="0.2"/>
    <row r="4" spans="1:25" s="60" customFormat="1" ht="42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28" t="s">
        <v>17</v>
      </c>
      <c r="J4" s="229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28" t="s">
        <v>3</v>
      </c>
      <c r="R4" s="346" t="s">
        <v>16</v>
      </c>
      <c r="S4" s="345"/>
      <c r="T4" s="345"/>
    </row>
    <row r="5" spans="1:25" s="246" customFormat="1" x14ac:dyDescent="0.2">
      <c r="A5" s="242" t="s">
        <v>456</v>
      </c>
      <c r="B5" s="242" t="s">
        <v>216</v>
      </c>
      <c r="C5" s="243">
        <v>0.85354529446935901</v>
      </c>
      <c r="D5" s="243">
        <v>2.049682038072083E-3</v>
      </c>
      <c r="E5" s="244">
        <v>1272.0674023016022</v>
      </c>
      <c r="F5" s="244">
        <v>19.290064882850935</v>
      </c>
      <c r="G5" s="245">
        <v>-26.165392976511328</v>
      </c>
      <c r="I5" s="247">
        <v>770</v>
      </c>
      <c r="J5" s="168">
        <f>1950-I5</f>
        <v>1180</v>
      </c>
      <c r="K5" s="162">
        <f>C5</f>
        <v>0.85354529446935901</v>
      </c>
      <c r="L5" s="163" t="s">
        <v>5</v>
      </c>
      <c r="M5" s="164">
        <f>D5</f>
        <v>2.049682038072083E-3</v>
      </c>
      <c r="N5" s="165">
        <f>-8033*LN(K5)</f>
        <v>1272.0791225953931</v>
      </c>
      <c r="O5" s="166" t="s">
        <v>5</v>
      </c>
      <c r="P5" s="165">
        <f>M5/K5*8033</f>
        <v>19.290242613391989</v>
      </c>
      <c r="Q5" s="167">
        <f>G5</f>
        <v>-26.165392976511328</v>
      </c>
      <c r="R5" s="168">
        <f>(EXP(J5/8267)*EXP(-N5/8033)-1)*1000</f>
        <v>-15.49912199182546</v>
      </c>
      <c r="S5" s="163" t="s">
        <v>5</v>
      </c>
      <c r="T5" s="169">
        <f t="shared" ref="T5:T15" si="0">P5/8.033</f>
        <v>2.401374656217103</v>
      </c>
      <c r="U5" s="247">
        <f>(R5-R18)^2</f>
        <v>32.056460239187452</v>
      </c>
      <c r="V5" s="248">
        <f>T5^2+T18^2</f>
        <v>11.516835480964978</v>
      </c>
      <c r="W5" s="246">
        <f>U5/V5</f>
        <v>2.7834434460898878</v>
      </c>
      <c r="Y5" s="246">
        <f>1/M5^2</f>
        <v>238027.43103986836</v>
      </c>
    </row>
    <row r="6" spans="1:25" s="246" customFormat="1" x14ac:dyDescent="0.2">
      <c r="A6" s="242" t="s">
        <v>457</v>
      </c>
      <c r="B6" s="242" t="s">
        <v>217</v>
      </c>
      <c r="C6" s="243">
        <v>0.8540139129078006</v>
      </c>
      <c r="D6" s="243">
        <v>2.0600508020632746E-3</v>
      </c>
      <c r="E6" s="244">
        <v>1267.6583284482847</v>
      </c>
      <c r="F6" s="244">
        <v>19.377009407434411</v>
      </c>
      <c r="G6" s="245">
        <v>-28.738515087783469</v>
      </c>
      <c r="I6" s="247">
        <v>771</v>
      </c>
      <c r="J6" s="168">
        <f t="shared" ref="J6:J15" si="1">1950-I6</f>
        <v>1179</v>
      </c>
      <c r="K6" s="162">
        <f t="shared" ref="K6:K15" si="2">C6</f>
        <v>0.8540139129078006</v>
      </c>
      <c r="L6" s="163" t="s">
        <v>5</v>
      </c>
      <c r="M6" s="164">
        <f t="shared" ref="M6:M15" si="3">D6</f>
        <v>2.0600508020632746E-3</v>
      </c>
      <c r="N6" s="165">
        <f t="shared" ref="N6:N15" si="4">-8033*LN(K6)</f>
        <v>1267.6700081187241</v>
      </c>
      <c r="O6" s="166" t="s">
        <v>5</v>
      </c>
      <c r="P6" s="165">
        <f t="shared" ref="P6:P15" si="5">M6/K6*8033</f>
        <v>19.377187939045733</v>
      </c>
      <c r="Q6" s="167">
        <f t="shared" ref="Q6:Q15" si="6">G6</f>
        <v>-28.738515087783469</v>
      </c>
      <c r="R6" s="168">
        <f t="shared" ref="R6:R15" si="7">(EXP(J6/8267)*EXP(-N6/8033)-1)*1000</f>
        <v>-15.077751773994397</v>
      </c>
      <c r="S6" s="163" t="s">
        <v>5</v>
      </c>
      <c r="T6" s="169">
        <f t="shared" si="0"/>
        <v>2.4121981749092161</v>
      </c>
      <c r="U6" s="247">
        <f t="shared" ref="U6:U15" si="8">(R6-R19)^2</f>
        <v>72.917373859564179</v>
      </c>
      <c r="V6" s="248">
        <f t="shared" ref="V6:V15" si="9">T6^2+T19^2</f>
        <v>11.588828221136726</v>
      </c>
      <c r="W6" s="246">
        <f t="shared" ref="W6:W15" si="10">U6/V6</f>
        <v>6.2920402708680285</v>
      </c>
      <c r="Y6" s="246">
        <f t="shared" ref="Y6:Y15" si="11">1/M6^2</f>
        <v>235637.35494225068</v>
      </c>
    </row>
    <row r="7" spans="1:25" s="246" customFormat="1" x14ac:dyDescent="0.2">
      <c r="A7" s="242" t="s">
        <v>458</v>
      </c>
      <c r="B7" s="242" t="s">
        <v>218</v>
      </c>
      <c r="C7" s="243">
        <v>0.85393921876318446</v>
      </c>
      <c r="D7" s="243">
        <v>2.0361741726952327E-3</v>
      </c>
      <c r="E7" s="244">
        <v>1268.3609385195969</v>
      </c>
      <c r="F7" s="244">
        <v>19.154099107461093</v>
      </c>
      <c r="G7" s="245">
        <v>-26.487462036823061</v>
      </c>
      <c r="I7" s="247">
        <v>772</v>
      </c>
      <c r="J7" s="168">
        <f t="shared" si="1"/>
        <v>1178</v>
      </c>
      <c r="K7" s="162">
        <f t="shared" si="2"/>
        <v>0.85393921876318446</v>
      </c>
      <c r="L7" s="163" t="s">
        <v>5</v>
      </c>
      <c r="M7" s="164">
        <f t="shared" si="3"/>
        <v>2.0361741726952327E-3</v>
      </c>
      <c r="N7" s="165">
        <f t="shared" si="4"/>
        <v>1268.3726246635902</v>
      </c>
      <c r="O7" s="166" t="s">
        <v>5</v>
      </c>
      <c r="P7" s="165">
        <f t="shared" si="5"/>
        <v>19.154275585270707</v>
      </c>
      <c r="Q7" s="167">
        <f t="shared" si="6"/>
        <v>-26.487462036823061</v>
      </c>
      <c r="R7" s="168">
        <f t="shared" si="7"/>
        <v>-15.283016873037125</v>
      </c>
      <c r="S7" s="163" t="s">
        <v>5</v>
      </c>
      <c r="T7" s="169">
        <f t="shared" si="0"/>
        <v>2.3844485976933534</v>
      </c>
      <c r="U7" s="247">
        <f t="shared" si="8"/>
        <v>33.32500146255952</v>
      </c>
      <c r="V7" s="248">
        <f t="shared" si="9"/>
        <v>11.565801093044749</v>
      </c>
      <c r="W7" s="246">
        <f t="shared" si="10"/>
        <v>2.8813396663547985</v>
      </c>
      <c r="Y7" s="246">
        <f t="shared" si="11"/>
        <v>241196.02772184546</v>
      </c>
    </row>
    <row r="8" spans="1:25" s="246" customFormat="1" x14ac:dyDescent="0.2">
      <c r="A8" s="242" t="s">
        <v>459</v>
      </c>
      <c r="B8" s="242" t="s">
        <v>219</v>
      </c>
      <c r="C8" s="243">
        <v>0.8457009824544468</v>
      </c>
      <c r="D8" s="243">
        <v>2.0466541644026583E-3</v>
      </c>
      <c r="E8" s="244">
        <v>1346.2334914892926</v>
      </c>
      <c r="F8" s="244">
        <v>19.44022978188287</v>
      </c>
      <c r="G8" s="245">
        <v>-20.41844555991268</v>
      </c>
      <c r="I8" s="247">
        <v>773</v>
      </c>
      <c r="J8" s="168">
        <f t="shared" si="1"/>
        <v>1177</v>
      </c>
      <c r="K8" s="162">
        <f t="shared" si="2"/>
        <v>0.8457009824544468</v>
      </c>
      <c r="L8" s="163" t="s">
        <v>5</v>
      </c>
      <c r="M8" s="164">
        <f t="shared" si="3"/>
        <v>2.0466541644026583E-3</v>
      </c>
      <c r="N8" s="165">
        <f t="shared" si="4"/>
        <v>1346.2458951182221</v>
      </c>
      <c r="O8" s="166" t="s">
        <v>5</v>
      </c>
      <c r="P8" s="165">
        <f t="shared" si="5"/>
        <v>19.44040889598012</v>
      </c>
      <c r="Q8" s="167">
        <f t="shared" si="6"/>
        <v>-20.41844555991268</v>
      </c>
      <c r="R8" s="168">
        <f t="shared" si="7"/>
        <v>-24.900867788305025</v>
      </c>
      <c r="S8" s="163" t="s">
        <v>5</v>
      </c>
      <c r="T8" s="169">
        <f t="shared" si="0"/>
        <v>2.4200683301357055</v>
      </c>
      <c r="U8" s="247">
        <f t="shared" si="8"/>
        <v>22.856633231026706</v>
      </c>
      <c r="V8" s="248">
        <f t="shared" si="9"/>
        <v>11.601231720256241</v>
      </c>
      <c r="W8" s="246">
        <f t="shared" si="10"/>
        <v>1.9701902161921356</v>
      </c>
      <c r="Y8" s="246">
        <f t="shared" si="11"/>
        <v>238732.24001772978</v>
      </c>
    </row>
    <row r="9" spans="1:25" s="154" customFormat="1" x14ac:dyDescent="0.2">
      <c r="A9" s="156" t="s">
        <v>460</v>
      </c>
      <c r="B9" s="156" t="s">
        <v>298</v>
      </c>
      <c r="C9" s="34">
        <v>0.85587063586085799</v>
      </c>
      <c r="D9" s="34">
        <v>2.0842525172056494E-3</v>
      </c>
      <c r="E9" s="32">
        <v>1250.2127951401199</v>
      </c>
      <c r="F9" s="32">
        <v>19.56212248615758</v>
      </c>
      <c r="G9" s="36">
        <v>-24.619855962523918</v>
      </c>
      <c r="I9" s="220">
        <v>774</v>
      </c>
      <c r="J9" s="9">
        <f t="shared" si="1"/>
        <v>1176</v>
      </c>
      <c r="K9" s="69">
        <f t="shared" si="2"/>
        <v>0.85587063586085799</v>
      </c>
      <c r="L9" s="2" t="s">
        <v>5</v>
      </c>
      <c r="M9" s="13">
        <f t="shared" si="3"/>
        <v>2.0842525172056494E-3</v>
      </c>
      <c r="N9" s="12">
        <f t="shared" si="4"/>
        <v>1250.2243140747562</v>
      </c>
      <c r="O9" s="66" t="s">
        <v>5</v>
      </c>
      <c r="P9" s="12">
        <f t="shared" si="5"/>
        <v>19.562302723322919</v>
      </c>
      <c r="Q9" s="5">
        <f t="shared" si="6"/>
        <v>-24.619855962523918</v>
      </c>
      <c r="R9" s="9">
        <f t="shared" si="7"/>
        <v>-13.294548406014961</v>
      </c>
      <c r="S9" s="2" t="s">
        <v>5</v>
      </c>
      <c r="T9" s="14">
        <f t="shared" si="0"/>
        <v>2.4352424652462243</v>
      </c>
      <c r="U9" s="220">
        <f t="shared" si="8"/>
        <v>6.6209623572498062</v>
      </c>
      <c r="V9" s="241">
        <f t="shared" si="9"/>
        <v>11.62898611780356</v>
      </c>
      <c r="W9" s="154">
        <f t="shared" si="10"/>
        <v>0.56934992355983216</v>
      </c>
      <c r="Y9" s="293">
        <f t="shared" si="11"/>
        <v>230196.82570753485</v>
      </c>
    </row>
    <row r="10" spans="1:25" s="154" customFormat="1" x14ac:dyDescent="0.2">
      <c r="A10" s="156" t="s">
        <v>461</v>
      </c>
      <c r="B10" s="156" t="s">
        <v>299</v>
      </c>
      <c r="C10" s="34">
        <v>0.85649773902337634</v>
      </c>
      <c r="D10" s="34">
        <v>2.0488456464214161E-3</v>
      </c>
      <c r="E10" s="32">
        <v>1244.3291621667013</v>
      </c>
      <c r="F10" s="32">
        <v>19.215725493106127</v>
      </c>
      <c r="G10" s="36">
        <v>-19.789777638362981</v>
      </c>
      <c r="I10" s="220">
        <v>775</v>
      </c>
      <c r="J10" s="9">
        <f t="shared" si="1"/>
        <v>1175</v>
      </c>
      <c r="K10" s="69">
        <f t="shared" si="2"/>
        <v>0.85649773902337634</v>
      </c>
      <c r="L10" s="2" t="s">
        <v>5</v>
      </c>
      <c r="M10" s="13">
        <f t="shared" si="3"/>
        <v>2.0488456464214161E-3</v>
      </c>
      <c r="N10" s="12">
        <f t="shared" si="4"/>
        <v>1244.3406268920189</v>
      </c>
      <c r="O10" s="66" t="s">
        <v>5</v>
      </c>
      <c r="P10" s="12">
        <f t="shared" si="5"/>
        <v>19.215902538715326</v>
      </c>
      <c r="Q10" s="5">
        <f t="shared" si="6"/>
        <v>-19.789777638362981</v>
      </c>
      <c r="R10" s="9">
        <f t="shared" si="7"/>
        <v>-12.691016488661555</v>
      </c>
      <c r="S10" s="2" t="s">
        <v>5</v>
      </c>
      <c r="T10" s="14">
        <f t="shared" si="0"/>
        <v>2.392120321015228</v>
      </c>
      <c r="U10" s="220">
        <f t="shared" si="8"/>
        <v>36.181282276745009</v>
      </c>
      <c r="V10" s="241">
        <f t="shared" si="9"/>
        <v>11.58911285147801</v>
      </c>
      <c r="W10" s="154">
        <f t="shared" si="10"/>
        <v>3.1220062087954084</v>
      </c>
      <c r="Y10" s="293">
        <f t="shared" si="11"/>
        <v>238221.80858308982</v>
      </c>
    </row>
    <row r="11" spans="1:25" s="154" customFormat="1" x14ac:dyDescent="0.2">
      <c r="A11" s="156" t="s">
        <v>462</v>
      </c>
      <c r="B11" s="156" t="s">
        <v>220</v>
      </c>
      <c r="C11" s="34">
        <v>0.86162057694668837</v>
      </c>
      <c r="D11" s="34">
        <v>2.1176898737624785E-3</v>
      </c>
      <c r="E11" s="32">
        <v>1196.4261749816826</v>
      </c>
      <c r="F11" s="32">
        <v>19.743314489718369</v>
      </c>
      <c r="G11" s="36">
        <v>-22.250578024111789</v>
      </c>
      <c r="I11" s="220">
        <v>776</v>
      </c>
      <c r="J11" s="9">
        <f t="shared" si="1"/>
        <v>1174</v>
      </c>
      <c r="K11" s="69">
        <f t="shared" si="2"/>
        <v>0.86162057694668837</v>
      </c>
      <c r="L11" s="2" t="s">
        <v>5</v>
      </c>
      <c r="M11" s="13">
        <f t="shared" si="3"/>
        <v>2.1176898737624785E-3</v>
      </c>
      <c r="N11" s="12">
        <f t="shared" si="4"/>
        <v>1196.4371983490328</v>
      </c>
      <c r="O11" s="66" t="s">
        <v>5</v>
      </c>
      <c r="P11" s="12">
        <f t="shared" si="5"/>
        <v>19.743496396310587</v>
      </c>
      <c r="Q11" s="5">
        <f t="shared" si="6"/>
        <v>-22.250578024111789</v>
      </c>
      <c r="R11" s="9">
        <f t="shared" si="7"/>
        <v>-6.9059122005293849</v>
      </c>
      <c r="S11" s="2" t="s">
        <v>5</v>
      </c>
      <c r="T11" s="14">
        <f t="shared" si="0"/>
        <v>2.4577986301892927</v>
      </c>
      <c r="U11" s="220">
        <f t="shared" si="8"/>
        <v>80.221771933621724</v>
      </c>
      <c r="V11" s="241">
        <f t="shared" si="9"/>
        <v>11.712551284250591</v>
      </c>
      <c r="W11" s="154">
        <f t="shared" si="10"/>
        <v>6.8492141452983688</v>
      </c>
      <c r="Y11" s="293">
        <f t="shared" si="11"/>
        <v>222984.81038169161</v>
      </c>
    </row>
    <row r="12" spans="1:25" s="154" customFormat="1" x14ac:dyDescent="0.2">
      <c r="A12" s="156" t="s">
        <v>463</v>
      </c>
      <c r="B12" s="156" t="s">
        <v>221</v>
      </c>
      <c r="C12" s="34">
        <v>0.86078375253243022</v>
      </c>
      <c r="D12" s="34">
        <v>2.0562712518523607E-3</v>
      </c>
      <c r="E12" s="32">
        <v>1204.2317163386697</v>
      </c>
      <c r="F12" s="32">
        <v>19.189343117579124</v>
      </c>
      <c r="G12" s="36">
        <v>-23.239964054094454</v>
      </c>
      <c r="I12" s="220">
        <v>777</v>
      </c>
      <c r="J12" s="9">
        <f t="shared" si="1"/>
        <v>1173</v>
      </c>
      <c r="K12" s="69">
        <f t="shared" si="2"/>
        <v>0.86078375253243022</v>
      </c>
      <c r="L12" s="2" t="s">
        <v>5</v>
      </c>
      <c r="M12" s="13">
        <f t="shared" si="3"/>
        <v>2.0562712518523607E-3</v>
      </c>
      <c r="N12" s="12">
        <f t="shared" si="4"/>
        <v>1204.2428116229935</v>
      </c>
      <c r="O12" s="66" t="s">
        <v>5</v>
      </c>
      <c r="P12" s="12">
        <f t="shared" si="5"/>
        <v>19.189519920112215</v>
      </c>
      <c r="Q12" s="5">
        <f t="shared" si="6"/>
        <v>-23.239964054094454</v>
      </c>
      <c r="R12" s="9">
        <f t="shared" si="7"/>
        <v>-7.9904300898634428</v>
      </c>
      <c r="S12" s="2" t="s">
        <v>5</v>
      </c>
      <c r="T12" s="14">
        <f t="shared" si="0"/>
        <v>2.388836041343485</v>
      </c>
      <c r="U12" s="220">
        <f t="shared" si="8"/>
        <v>24.963202651015649</v>
      </c>
      <c r="V12" s="241">
        <f t="shared" si="9"/>
        <v>11.326525868755255</v>
      </c>
      <c r="W12" s="154">
        <f t="shared" si="10"/>
        <v>2.2039593552580672</v>
      </c>
      <c r="Y12" s="293">
        <f t="shared" si="11"/>
        <v>236504.38229080671</v>
      </c>
    </row>
    <row r="13" spans="1:25" s="154" customFormat="1" x14ac:dyDescent="0.2">
      <c r="A13" s="156" t="s">
        <v>464</v>
      </c>
      <c r="B13" s="156" t="s">
        <v>222</v>
      </c>
      <c r="C13" s="34">
        <v>0.86281312562115497</v>
      </c>
      <c r="D13" s="34">
        <v>2.121212910392507E-3</v>
      </c>
      <c r="E13" s="32">
        <v>1185.3156791105048</v>
      </c>
      <c r="F13" s="32">
        <v>19.748826029629537</v>
      </c>
      <c r="G13" s="36">
        <v>-21.204113177875406</v>
      </c>
      <c r="I13" s="220">
        <v>778</v>
      </c>
      <c r="J13" s="9">
        <f t="shared" si="1"/>
        <v>1172</v>
      </c>
      <c r="K13" s="69">
        <f t="shared" si="2"/>
        <v>0.86281312562115497</v>
      </c>
      <c r="L13" s="2" t="s">
        <v>5</v>
      </c>
      <c r="M13" s="13">
        <f t="shared" si="3"/>
        <v>2.121212910392507E-3</v>
      </c>
      <c r="N13" s="12">
        <f t="shared" si="4"/>
        <v>1185.3266001104212</v>
      </c>
      <c r="O13" s="66" t="s">
        <v>5</v>
      </c>
      <c r="P13" s="12">
        <f t="shared" si="5"/>
        <v>19.749007987002763</v>
      </c>
      <c r="Q13" s="5">
        <f t="shared" si="6"/>
        <v>-21.204113177875406</v>
      </c>
      <c r="R13" s="9">
        <f t="shared" si="7"/>
        <v>-5.771952589754048</v>
      </c>
      <c r="S13" s="2" t="s">
        <v>5</v>
      </c>
      <c r="T13" s="14">
        <f t="shared" si="0"/>
        <v>2.4584847487866006</v>
      </c>
      <c r="U13" s="220">
        <f t="shared" si="8"/>
        <v>20.325777683484713</v>
      </c>
      <c r="V13" s="241">
        <f t="shared" si="9"/>
        <v>17.323391565540355</v>
      </c>
      <c r="W13" s="154">
        <f t="shared" si="10"/>
        <v>1.1733139903110368</v>
      </c>
      <c r="Y13" s="293">
        <f t="shared" si="11"/>
        <v>222244.73259032247</v>
      </c>
    </row>
    <row r="14" spans="1:25" s="154" customFormat="1" x14ac:dyDescent="0.2">
      <c r="A14" s="156" t="s">
        <v>465</v>
      </c>
      <c r="B14" s="156" t="s">
        <v>223</v>
      </c>
      <c r="C14" s="34">
        <v>0.86115090883365497</v>
      </c>
      <c r="D14" s="34">
        <v>2.0581581878261813E-3</v>
      </c>
      <c r="E14" s="32">
        <v>1200.8061050136466</v>
      </c>
      <c r="F14" s="32">
        <v>19.198763218860559</v>
      </c>
      <c r="G14" s="36">
        <v>-19.683516781960009</v>
      </c>
      <c r="I14" s="220">
        <v>779</v>
      </c>
      <c r="J14" s="9">
        <f t="shared" si="1"/>
        <v>1171</v>
      </c>
      <c r="K14" s="69">
        <f t="shared" si="2"/>
        <v>0.86115090883365497</v>
      </c>
      <c r="L14" s="2" t="s">
        <v>5</v>
      </c>
      <c r="M14" s="13">
        <f t="shared" si="3"/>
        <v>2.0581581878261813E-3</v>
      </c>
      <c r="N14" s="12">
        <f t="shared" si="4"/>
        <v>1200.8171687358292</v>
      </c>
      <c r="O14" s="66" t="s">
        <v>5</v>
      </c>
      <c r="P14" s="12">
        <f t="shared" si="5"/>
        <v>19.198940108186502</v>
      </c>
      <c r="Q14" s="5">
        <f t="shared" si="6"/>
        <v>-19.683516781960009</v>
      </c>
      <c r="R14" s="9">
        <f t="shared" si="7"/>
        <v>-7.8073670581925159</v>
      </c>
      <c r="S14" s="2" t="s">
        <v>5</v>
      </c>
      <c r="T14" s="14">
        <f t="shared" si="0"/>
        <v>2.3900087275222837</v>
      </c>
      <c r="U14" s="220">
        <f t="shared" si="8"/>
        <v>0.44548558321037673</v>
      </c>
      <c r="V14" s="241">
        <f t="shared" si="9"/>
        <v>11.542018682846113</v>
      </c>
      <c r="W14" s="154">
        <f t="shared" si="10"/>
        <v>3.8596851681800062E-2</v>
      </c>
      <c r="Y14" s="293">
        <f t="shared" si="11"/>
        <v>236070.92284321255</v>
      </c>
    </row>
    <row r="15" spans="1:25" s="154" customFormat="1" x14ac:dyDescent="0.2">
      <c r="A15" s="156" t="s">
        <v>466</v>
      </c>
      <c r="B15" s="156" t="s">
        <v>224</v>
      </c>
      <c r="C15" s="34">
        <v>0.86236575533319548</v>
      </c>
      <c r="D15" s="34">
        <v>2.0879368632541421E-3</v>
      </c>
      <c r="E15" s="32">
        <v>1189.4818470744606</v>
      </c>
      <c r="F15" s="32">
        <v>19.449105192792643</v>
      </c>
      <c r="G15" s="36">
        <v>-19.283551471951821</v>
      </c>
      <c r="I15" s="220">
        <v>780</v>
      </c>
      <c r="J15" s="9">
        <f t="shared" si="1"/>
        <v>1170</v>
      </c>
      <c r="K15" s="69">
        <f t="shared" si="2"/>
        <v>0.86236575533319548</v>
      </c>
      <c r="L15" s="2" t="s">
        <v>5</v>
      </c>
      <c r="M15" s="13">
        <f t="shared" si="3"/>
        <v>2.0879368632541421E-3</v>
      </c>
      <c r="N15" s="12">
        <f t="shared" si="4"/>
        <v>1189.4928064596954</v>
      </c>
      <c r="O15" s="66" t="s">
        <v>5</v>
      </c>
      <c r="P15" s="12">
        <f t="shared" si="5"/>
        <v>19.449284388664193</v>
      </c>
      <c r="Q15" s="5">
        <f t="shared" si="6"/>
        <v>-19.283551471951821</v>
      </c>
      <c r="R15" s="9">
        <f t="shared" si="7"/>
        <v>-6.5278373232381393</v>
      </c>
      <c r="S15" s="2" t="s">
        <v>5</v>
      </c>
      <c r="T15" s="14">
        <f t="shared" si="0"/>
        <v>2.4211732090955054</v>
      </c>
      <c r="U15" s="220">
        <f t="shared" si="8"/>
        <v>4.2472296071985758</v>
      </c>
      <c r="V15" s="241">
        <f t="shared" si="9"/>
        <v>11.615241083206651</v>
      </c>
      <c r="W15" s="154">
        <f t="shared" si="10"/>
        <v>0.36566004758517084</v>
      </c>
      <c r="Y15" s="293">
        <f t="shared" si="11"/>
        <v>229385.13787812128</v>
      </c>
    </row>
    <row r="16" spans="1:25" x14ac:dyDescent="0.2">
      <c r="J16" s="9"/>
      <c r="K16" s="69"/>
      <c r="L16" s="2"/>
      <c r="M16" s="13"/>
      <c r="N16" s="12"/>
      <c r="O16" s="66"/>
      <c r="P16" s="12"/>
      <c r="Q16" s="5"/>
      <c r="R16" s="9"/>
      <c r="S16" s="2"/>
      <c r="T16" s="14"/>
    </row>
    <row r="17" spans="1:25" ht="42" x14ac:dyDescent="0.2">
      <c r="A17" s="60" t="s">
        <v>166</v>
      </c>
      <c r="B17" s="60" t="s">
        <v>168</v>
      </c>
      <c r="C17" s="60" t="s">
        <v>153</v>
      </c>
      <c r="D17" s="60" t="s">
        <v>178</v>
      </c>
      <c r="E17" s="60" t="s">
        <v>179</v>
      </c>
      <c r="F17" s="60" t="s">
        <v>180</v>
      </c>
      <c r="G17" s="60" t="s">
        <v>181</v>
      </c>
      <c r="J17" s="9"/>
      <c r="K17" s="69"/>
      <c r="L17" s="2"/>
      <c r="M17" s="13"/>
      <c r="N17" s="12"/>
      <c r="O17" s="66"/>
      <c r="P17" s="12"/>
      <c r="Q17" s="5"/>
      <c r="R17" s="9"/>
      <c r="S17" s="2"/>
      <c r="T17" s="14"/>
      <c r="W17" s="154">
        <f>SUM(W5:W15)</f>
        <v>28.249114121994531</v>
      </c>
    </row>
    <row r="18" spans="1:25" x14ac:dyDescent="0.2">
      <c r="A18" s="156" t="s">
        <v>481</v>
      </c>
      <c r="B18" s="156" t="s">
        <v>216</v>
      </c>
      <c r="C18" s="34">
        <v>0.84863657461690833</v>
      </c>
      <c r="D18" s="34">
        <v>2.0350006444354407E-3</v>
      </c>
      <c r="E18" s="32">
        <v>1318.3979305413484</v>
      </c>
      <c r="F18" s="32">
        <v>19.262673859727961</v>
      </c>
      <c r="G18" s="36">
        <v>-24.767488373844458</v>
      </c>
      <c r="I18" s="220">
        <v>770</v>
      </c>
      <c r="J18" s="9">
        <f t="shared" ref="J18:J28" si="12">1950-I18</f>
        <v>1180</v>
      </c>
      <c r="K18" s="69">
        <f t="shared" ref="K18:K28" si="13">C18</f>
        <v>0.84863657461690833</v>
      </c>
      <c r="L18" s="2" t="s">
        <v>5</v>
      </c>
      <c r="M18" s="13">
        <f t="shared" ref="M18:M28" si="14">D18</f>
        <v>2.0350006444354407E-3</v>
      </c>
      <c r="N18" s="12">
        <f t="shared" ref="N18:N28" si="15">-8033*LN(K18)</f>
        <v>1318.4100777051317</v>
      </c>
      <c r="O18" s="66" t="s">
        <v>5</v>
      </c>
      <c r="P18" s="12">
        <f t="shared" ref="P18:P28" si="16">M18/K18*8033</f>
        <v>19.262851337899658</v>
      </c>
      <c r="Q18" s="5">
        <f t="shared" ref="Q18:Q28" si="17">G18</f>
        <v>-24.767488373844458</v>
      </c>
      <c r="R18" s="9">
        <f t="shared" ref="R18:R28" si="18">(EXP(J18/8267)*EXP(-N18/8033)-1)*1000</f>
        <v>-21.160964469251642</v>
      </c>
      <c r="S18" s="2" t="s">
        <v>5</v>
      </c>
      <c r="T18" s="14">
        <f t="shared" ref="T18:T28" si="19">P18/8.033</f>
        <v>2.3979648123863635</v>
      </c>
      <c r="Y18" s="293">
        <f>1/M18^2</f>
        <v>241474.29001044773</v>
      </c>
    </row>
    <row r="19" spans="1:25" x14ac:dyDescent="0.2">
      <c r="A19" s="156" t="s">
        <v>482</v>
      </c>
      <c r="B19" s="156" t="s">
        <v>217</v>
      </c>
      <c r="C19" s="34">
        <v>0.84660970666099633</v>
      </c>
      <c r="D19" s="34">
        <v>2.0336488907040972E-3</v>
      </c>
      <c r="E19" s="32">
        <v>1337.606570861461</v>
      </c>
      <c r="F19" s="32">
        <v>19.295964712043769</v>
      </c>
      <c r="G19" s="36">
        <v>-23.070488100893627</v>
      </c>
      <c r="I19" s="220">
        <v>771</v>
      </c>
      <c r="J19" s="9">
        <f t="shared" si="12"/>
        <v>1179</v>
      </c>
      <c r="K19" s="69">
        <f t="shared" si="13"/>
        <v>0.84660970666099633</v>
      </c>
      <c r="L19" s="2" t="s">
        <v>5</v>
      </c>
      <c r="M19" s="13">
        <f t="shared" si="14"/>
        <v>2.0336488907040972E-3</v>
      </c>
      <c r="N19" s="12">
        <f t="shared" si="15"/>
        <v>1337.6188950055737</v>
      </c>
      <c r="O19" s="66" t="s">
        <v>5</v>
      </c>
      <c r="P19" s="12">
        <f t="shared" si="16"/>
        <v>19.296142496943371</v>
      </c>
      <c r="Q19" s="5">
        <f t="shared" si="17"/>
        <v>-23.070488100893627</v>
      </c>
      <c r="R19" s="9">
        <f t="shared" si="18"/>
        <v>-23.616918821169676</v>
      </c>
      <c r="S19" s="2" t="s">
        <v>5</v>
      </c>
      <c r="T19" s="14">
        <f t="shared" si="19"/>
        <v>2.4021091120307947</v>
      </c>
      <c r="Y19" s="293">
        <f t="shared" ref="Y19:Y28" si="20">1/M19^2</f>
        <v>241795.40960649683</v>
      </c>
    </row>
    <row r="20" spans="1:25" x14ac:dyDescent="0.2">
      <c r="A20" s="156" t="s">
        <v>483</v>
      </c>
      <c r="B20" s="156" t="s">
        <v>218</v>
      </c>
      <c r="C20" s="34">
        <v>0.84893310608835648</v>
      </c>
      <c r="D20" s="34">
        <v>2.0585894362885097E-3</v>
      </c>
      <c r="E20" s="32">
        <v>1315.5915474932092</v>
      </c>
      <c r="F20" s="32">
        <v>19.479151493549047</v>
      </c>
      <c r="G20" s="36">
        <v>-23.682480836613617</v>
      </c>
      <c r="I20" s="220">
        <v>772</v>
      </c>
      <c r="J20" s="9">
        <f t="shared" si="12"/>
        <v>1178</v>
      </c>
      <c r="K20" s="69">
        <f t="shared" si="13"/>
        <v>0.84893310608835648</v>
      </c>
      <c r="L20" s="2" t="s">
        <v>5</v>
      </c>
      <c r="M20" s="13">
        <f t="shared" si="14"/>
        <v>2.0585894362885097E-3</v>
      </c>
      <c r="N20" s="12">
        <f t="shared" si="15"/>
        <v>1315.60366880016</v>
      </c>
      <c r="O20" s="66" t="s">
        <v>5</v>
      </c>
      <c r="P20" s="12">
        <f t="shared" si="16"/>
        <v>19.479330966254572</v>
      </c>
      <c r="Q20" s="5">
        <f t="shared" si="17"/>
        <v>-23.682480836613617</v>
      </c>
      <c r="R20" s="9">
        <f t="shared" si="18"/>
        <v>-21.055797958662971</v>
      </c>
      <c r="S20" s="2" t="s">
        <v>5</v>
      </c>
      <c r="T20" s="14">
        <f t="shared" si="19"/>
        <v>2.4249136021728588</v>
      </c>
      <c r="Y20" s="293">
        <f t="shared" si="20"/>
        <v>235972.02545529383</v>
      </c>
    </row>
    <row r="21" spans="1:25" x14ac:dyDescent="0.2">
      <c r="A21" s="156" t="s">
        <v>484</v>
      </c>
      <c r="B21" s="156" t="s">
        <v>219</v>
      </c>
      <c r="C21" s="34">
        <v>0.84984741108792883</v>
      </c>
      <c r="D21" s="34">
        <v>2.0368878158709735E-3</v>
      </c>
      <c r="E21" s="32">
        <v>1306.944703446042</v>
      </c>
      <c r="F21" s="32">
        <v>19.253066912099591</v>
      </c>
      <c r="G21" s="36">
        <v>-24.69429463714534</v>
      </c>
      <c r="I21" s="220">
        <v>773</v>
      </c>
      <c r="J21" s="9">
        <f t="shared" si="12"/>
        <v>1177</v>
      </c>
      <c r="K21" s="69">
        <f t="shared" si="13"/>
        <v>0.84984741108792883</v>
      </c>
      <c r="L21" s="2" t="s">
        <v>5</v>
      </c>
      <c r="M21" s="13">
        <f t="shared" si="14"/>
        <v>2.0368878158709735E-3</v>
      </c>
      <c r="N21" s="12">
        <f t="shared" si="15"/>
        <v>1306.9567450846102</v>
      </c>
      <c r="O21" s="66" t="s">
        <v>5</v>
      </c>
      <c r="P21" s="12">
        <f t="shared" si="16"/>
        <v>19.253244301756911</v>
      </c>
      <c r="Q21" s="5">
        <f t="shared" si="17"/>
        <v>-24.69429463714534</v>
      </c>
      <c r="R21" s="9">
        <f t="shared" si="18"/>
        <v>-20.120006649239521</v>
      </c>
      <c r="S21" s="2" t="s">
        <v>5</v>
      </c>
      <c r="T21" s="14">
        <f t="shared" si="19"/>
        <v>2.3967688661467585</v>
      </c>
      <c r="Y21" s="293">
        <f t="shared" si="20"/>
        <v>241027.04664735662</v>
      </c>
    </row>
    <row r="22" spans="1:25" x14ac:dyDescent="0.2">
      <c r="A22" s="156" t="s">
        <v>485</v>
      </c>
      <c r="B22" s="156" t="s">
        <v>298</v>
      </c>
      <c r="C22" s="34">
        <v>0.85363870283719467</v>
      </c>
      <c r="D22" s="34">
        <v>2.0377806386653258E-3</v>
      </c>
      <c r="E22" s="32">
        <v>1271.1883611350772</v>
      </c>
      <c r="F22" s="32">
        <v>19.17595933241078</v>
      </c>
      <c r="G22" s="36">
        <v>-23.9825683880307</v>
      </c>
      <c r="I22" s="220">
        <v>774</v>
      </c>
      <c r="J22" s="9">
        <f t="shared" si="12"/>
        <v>1176</v>
      </c>
      <c r="K22" s="69">
        <f t="shared" si="13"/>
        <v>0.85363870283719467</v>
      </c>
      <c r="L22" s="2" t="s">
        <v>5</v>
      </c>
      <c r="M22" s="13">
        <f t="shared" si="14"/>
        <v>2.0377806386653258E-3</v>
      </c>
      <c r="N22" s="12">
        <f t="shared" si="15"/>
        <v>1271.2000733297527</v>
      </c>
      <c r="O22" s="66" t="s">
        <v>5</v>
      </c>
      <c r="P22" s="12">
        <f t="shared" si="16"/>
        <v>19.176136011631307</v>
      </c>
      <c r="Q22" s="5">
        <f t="shared" si="17"/>
        <v>-23.9825683880307</v>
      </c>
      <c r="R22" s="9">
        <f t="shared" si="18"/>
        <v>-15.867671480655932</v>
      </c>
      <c r="S22" s="2" t="s">
        <v>5</v>
      </c>
      <c r="T22" s="14">
        <f t="shared" si="19"/>
        <v>2.3871699255111798</v>
      </c>
      <c r="Y22" s="293">
        <f t="shared" si="20"/>
        <v>240815.88819867614</v>
      </c>
    </row>
    <row r="23" spans="1:25" x14ac:dyDescent="0.2">
      <c r="A23" s="156" t="s">
        <v>486</v>
      </c>
      <c r="B23" s="156" t="s">
        <v>299</v>
      </c>
      <c r="C23" s="34">
        <v>0.86171587160441965</v>
      </c>
      <c r="D23" s="34">
        <v>2.0872162335974056E-3</v>
      </c>
      <c r="E23" s="32">
        <v>1195.5377878834686</v>
      </c>
      <c r="F23" s="32">
        <v>19.457055484219872</v>
      </c>
      <c r="G23" s="36">
        <v>-24.994773888439958</v>
      </c>
      <c r="I23" s="220">
        <v>775</v>
      </c>
      <c r="J23" s="9">
        <f t="shared" si="12"/>
        <v>1175</v>
      </c>
      <c r="K23" s="69">
        <f t="shared" si="13"/>
        <v>0.86171587160441965</v>
      </c>
      <c r="L23" s="2" t="s">
        <v>5</v>
      </c>
      <c r="M23" s="13">
        <f t="shared" si="14"/>
        <v>2.0872162335974056E-3</v>
      </c>
      <c r="N23" s="12">
        <f t="shared" si="15"/>
        <v>1195.5488030655938</v>
      </c>
      <c r="O23" s="66" t="s">
        <v>5</v>
      </c>
      <c r="P23" s="12">
        <f t="shared" si="16"/>
        <v>19.45723475334206</v>
      </c>
      <c r="Q23" s="5">
        <f t="shared" si="17"/>
        <v>-24.994773888439958</v>
      </c>
      <c r="R23" s="9">
        <f t="shared" si="18"/>
        <v>-6.6759286026248921</v>
      </c>
      <c r="S23" s="2" t="s">
        <v>5</v>
      </c>
      <c r="T23" s="14">
        <f t="shared" si="19"/>
        <v>2.4221629221140373</v>
      </c>
      <c r="Y23" s="293">
        <f t="shared" si="20"/>
        <v>229543.55967117057</v>
      </c>
    </row>
    <row r="24" spans="1:25" x14ac:dyDescent="0.2">
      <c r="A24" s="156" t="s">
        <v>487</v>
      </c>
      <c r="B24" s="156" t="s">
        <v>220</v>
      </c>
      <c r="C24" s="34">
        <v>0.86939148536777322</v>
      </c>
      <c r="D24" s="34">
        <v>2.0704987033646253E-3</v>
      </c>
      <c r="E24" s="32">
        <v>1124.3024123441612</v>
      </c>
      <c r="F24" s="32">
        <v>19.130809448107488</v>
      </c>
      <c r="G24" s="36">
        <v>-24.96539891185623</v>
      </c>
      <c r="I24" s="220">
        <v>776</v>
      </c>
      <c r="J24" s="9">
        <f t="shared" si="12"/>
        <v>1174</v>
      </c>
      <c r="K24" s="69">
        <f t="shared" si="13"/>
        <v>0.86939148536777322</v>
      </c>
      <c r="L24" s="2" t="s">
        <v>5</v>
      </c>
      <c r="M24" s="13">
        <f t="shared" si="14"/>
        <v>2.0704987033646253E-3</v>
      </c>
      <c r="N24" s="12">
        <f t="shared" si="15"/>
        <v>1124.3127711935103</v>
      </c>
      <c r="O24" s="66" t="s">
        <v>5</v>
      </c>
      <c r="P24" s="12">
        <f t="shared" si="16"/>
        <v>19.130985711335981</v>
      </c>
      <c r="Q24" s="5">
        <f t="shared" si="17"/>
        <v>-24.96539891185623</v>
      </c>
      <c r="R24" s="9">
        <f t="shared" si="18"/>
        <v>2.0507485574552398</v>
      </c>
      <c r="S24" s="2" t="s">
        <v>5</v>
      </c>
      <c r="T24" s="14">
        <f t="shared" si="19"/>
        <v>2.3815493229597888</v>
      </c>
      <c r="Y24" s="293">
        <f t="shared" si="20"/>
        <v>233265.26525031179</v>
      </c>
    </row>
    <row r="25" spans="1:25" x14ac:dyDescent="0.2">
      <c r="A25" s="156" t="s">
        <v>488</v>
      </c>
      <c r="B25" s="156" t="s">
        <v>221</v>
      </c>
      <c r="C25" s="34">
        <v>0.86511914431765169</v>
      </c>
      <c r="D25" s="34">
        <v>2.0508959427593147E-3</v>
      </c>
      <c r="E25" s="32">
        <v>1163.8749214656375</v>
      </c>
      <c r="F25" s="32">
        <v>19.043267537755394</v>
      </c>
      <c r="G25" s="36">
        <v>-26.846225348265751</v>
      </c>
      <c r="I25" s="220">
        <v>777</v>
      </c>
      <c r="J25" s="9">
        <f t="shared" si="12"/>
        <v>1173</v>
      </c>
      <c r="K25" s="69">
        <f t="shared" si="13"/>
        <v>0.86511914431765169</v>
      </c>
      <c r="L25" s="2" t="s">
        <v>5</v>
      </c>
      <c r="M25" s="13">
        <f t="shared" si="14"/>
        <v>2.0508959427593147E-3</v>
      </c>
      <c r="N25" s="12">
        <f t="shared" si="15"/>
        <v>1163.8856449194348</v>
      </c>
      <c r="O25" s="66" t="s">
        <v>5</v>
      </c>
      <c r="P25" s="12">
        <f t="shared" si="16"/>
        <v>19.04344299440956</v>
      </c>
      <c r="Q25" s="5">
        <f t="shared" si="17"/>
        <v>-26.846225348265751</v>
      </c>
      <c r="R25" s="9">
        <f t="shared" si="18"/>
        <v>-2.9941111798041931</v>
      </c>
      <c r="S25" s="2" t="s">
        <v>5</v>
      </c>
      <c r="T25" s="14">
        <f t="shared" si="19"/>
        <v>2.3706514371230627</v>
      </c>
      <c r="Y25" s="293">
        <f t="shared" si="20"/>
        <v>237745.74234265796</v>
      </c>
    </row>
    <row r="26" spans="1:25" x14ac:dyDescent="0.2">
      <c r="A26" s="156" t="s">
        <v>489</v>
      </c>
      <c r="B26" s="156" t="s">
        <v>222</v>
      </c>
      <c r="C26" s="34">
        <v>0.8589006259121974</v>
      </c>
      <c r="D26" s="34">
        <v>2.8845822112365757E-3</v>
      </c>
      <c r="E26" s="32">
        <v>1221.8245060416302</v>
      </c>
      <c r="F26" s="32">
        <v>26.978249532133365</v>
      </c>
      <c r="G26" s="36">
        <v>-21.486144883107073</v>
      </c>
      <c r="I26" s="220">
        <v>778</v>
      </c>
      <c r="J26" s="9">
        <f t="shared" si="12"/>
        <v>1172</v>
      </c>
      <c r="K26" s="69">
        <f t="shared" si="13"/>
        <v>0.8589006259121974</v>
      </c>
      <c r="L26" s="2" t="s">
        <v>5</v>
      </c>
      <c r="M26" s="13">
        <f t="shared" si="14"/>
        <v>2.8845822112365757E-3</v>
      </c>
      <c r="N26" s="12">
        <f t="shared" si="15"/>
        <v>1221.8357634185159</v>
      </c>
      <c r="O26" s="66" t="s">
        <v>5</v>
      </c>
      <c r="P26" s="12">
        <f t="shared" si="16"/>
        <v>26.978498098372782</v>
      </c>
      <c r="Q26" s="5">
        <f t="shared" si="17"/>
        <v>-21.486144883107073</v>
      </c>
      <c r="R26" s="9">
        <f t="shared" si="18"/>
        <v>-10.280364470171</v>
      </c>
      <c r="S26" s="2" t="s">
        <v>5</v>
      </c>
      <c r="T26" s="14">
        <f t="shared" si="19"/>
        <v>3.3584586204870885</v>
      </c>
      <c r="Y26" s="293">
        <f t="shared" si="20"/>
        <v>120180.5419395029</v>
      </c>
    </row>
    <row r="27" spans="1:25" x14ac:dyDescent="0.2">
      <c r="A27" s="156" t="s">
        <v>490</v>
      </c>
      <c r="B27" s="156" t="s">
        <v>223</v>
      </c>
      <c r="C27" s="34">
        <v>0.86173020425135749</v>
      </c>
      <c r="D27" s="34">
        <v>2.0806594833937321E-3</v>
      </c>
      <c r="E27" s="32">
        <v>1195.4041798829869</v>
      </c>
      <c r="F27" s="32">
        <v>19.395610776870171</v>
      </c>
      <c r="G27" s="36">
        <v>-23.546669214587922</v>
      </c>
      <c r="I27" s="220">
        <v>779</v>
      </c>
      <c r="J27" s="9">
        <f t="shared" si="12"/>
        <v>1171</v>
      </c>
      <c r="K27" s="69">
        <f t="shared" si="13"/>
        <v>0.86173020425135749</v>
      </c>
      <c r="L27" s="2" t="s">
        <v>5</v>
      </c>
      <c r="M27" s="13">
        <f t="shared" si="14"/>
        <v>2.0806594833937321E-3</v>
      </c>
      <c r="N27" s="12">
        <f t="shared" si="15"/>
        <v>1195.4151938341042</v>
      </c>
      <c r="O27" s="66" t="s">
        <v>5</v>
      </c>
      <c r="P27" s="12">
        <f t="shared" si="16"/>
        <v>19.395789479866686</v>
      </c>
      <c r="Q27" s="5">
        <f t="shared" si="17"/>
        <v>-23.546669214587922</v>
      </c>
      <c r="R27" s="9">
        <f t="shared" si="18"/>
        <v>-7.1399199942163705</v>
      </c>
      <c r="S27" s="2" t="s">
        <v>5</v>
      </c>
      <c r="T27" s="14">
        <f t="shared" si="19"/>
        <v>2.4145138154944212</v>
      </c>
      <c r="Y27" s="293">
        <f t="shared" si="20"/>
        <v>230992.5533479531</v>
      </c>
    </row>
    <row r="28" spans="1:25" x14ac:dyDescent="0.2">
      <c r="A28" s="156" t="s">
        <v>491</v>
      </c>
      <c r="B28" s="156" t="s">
        <v>224</v>
      </c>
      <c r="C28" s="34">
        <v>0.8641546660656686</v>
      </c>
      <c r="D28" s="34">
        <v>2.072739660012343E-3</v>
      </c>
      <c r="E28" s="32">
        <v>1172.8354263573922</v>
      </c>
      <c r="F28" s="32">
        <v>19.267574353415757</v>
      </c>
      <c r="G28" s="36">
        <v>-25.107416392807668</v>
      </c>
      <c r="I28" s="220">
        <v>780</v>
      </c>
      <c r="J28" s="9">
        <f t="shared" si="12"/>
        <v>1170</v>
      </c>
      <c r="K28" s="69">
        <f t="shared" si="13"/>
        <v>0.8641546660656686</v>
      </c>
      <c r="L28" s="2" t="s">
        <v>5</v>
      </c>
      <c r="M28" s="13">
        <f t="shared" si="14"/>
        <v>2.072739660012343E-3</v>
      </c>
      <c r="N28" s="12">
        <f t="shared" si="15"/>
        <v>1172.846232369511</v>
      </c>
      <c r="O28" s="66" t="s">
        <v>5</v>
      </c>
      <c r="P28" s="12">
        <f t="shared" si="16"/>
        <v>19.26775187673854</v>
      </c>
      <c r="Q28" s="5">
        <f t="shared" si="17"/>
        <v>-25.107416392807668</v>
      </c>
      <c r="R28" s="9">
        <f t="shared" si="18"/>
        <v>-4.4669565389134913</v>
      </c>
      <c r="S28" s="2" t="s">
        <v>5</v>
      </c>
      <c r="T28" s="14">
        <f t="shared" si="19"/>
        <v>2.3985748632812824</v>
      </c>
      <c r="Y28" s="293">
        <f t="shared" si="20"/>
        <v>232761.14524296473</v>
      </c>
    </row>
    <row r="30" spans="1:25" ht="42" x14ac:dyDescent="0.2">
      <c r="A30" s="60" t="s">
        <v>166</v>
      </c>
      <c r="B30" s="60" t="s">
        <v>168</v>
      </c>
      <c r="C30" s="60" t="s">
        <v>153</v>
      </c>
      <c r="D30" s="60" t="s">
        <v>178</v>
      </c>
      <c r="E30" s="60" t="s">
        <v>179</v>
      </c>
      <c r="F30" s="60" t="s">
        <v>180</v>
      </c>
      <c r="G30" s="60" t="s">
        <v>181</v>
      </c>
    </row>
    <row r="31" spans="1:25" x14ac:dyDescent="0.2">
      <c r="A31" t="s">
        <v>582</v>
      </c>
      <c r="B31" t="s">
        <v>218</v>
      </c>
      <c r="C31">
        <v>0.85133820797489301</v>
      </c>
      <c r="D31">
        <v>1.9411020257761736E-3</v>
      </c>
      <c r="E31">
        <v>1292.8657411182915</v>
      </c>
      <c r="F31">
        <v>18.315551636414654</v>
      </c>
      <c r="G31">
        <v>-24.395903291623444</v>
      </c>
      <c r="I31" s="220">
        <v>772</v>
      </c>
      <c r="J31" s="9">
        <f>1950-I31</f>
        <v>1178</v>
      </c>
      <c r="K31" s="69">
        <f>C31</f>
        <v>0.85133820797489301</v>
      </c>
      <c r="L31" s="2" t="s">
        <v>5</v>
      </c>
      <c r="M31" s="13">
        <f>D31</f>
        <v>1.9411020257761736E-3</v>
      </c>
      <c r="N31" s="12">
        <f>-8033*LN(K31)</f>
        <v>1292.8776530392247</v>
      </c>
      <c r="O31" s="66" t="s">
        <v>5</v>
      </c>
      <c r="P31" s="12">
        <f>M31/K31*8033</f>
        <v>18.31572038820071</v>
      </c>
      <c r="Q31" s="5">
        <f>G31</f>
        <v>-24.395903291623444</v>
      </c>
      <c r="R31" s="9">
        <f>(EXP(J31/8267)*EXP(-N31/8033)-1)*1000</f>
        <v>-18.282363243656619</v>
      </c>
      <c r="S31" s="2" t="s">
        <v>5</v>
      </c>
      <c r="T31" s="14">
        <f>P31/8.033</f>
        <v>2.2800598018424885</v>
      </c>
      <c r="Y31" s="293">
        <f>1/M31^2</f>
        <v>265401.43965286744</v>
      </c>
    </row>
    <row r="32" spans="1:25" x14ac:dyDescent="0.2">
      <c r="A32" t="s">
        <v>583</v>
      </c>
      <c r="B32" t="s">
        <v>219</v>
      </c>
      <c r="C32">
        <v>0.84927032848165562</v>
      </c>
      <c r="D32">
        <v>1.9542113880278936E-3</v>
      </c>
      <c r="E32">
        <v>1312.4012553205166</v>
      </c>
      <c r="F32">
        <v>18.484144469052762</v>
      </c>
      <c r="G32">
        <v>-25.048523944805389</v>
      </c>
      <c r="I32" s="220">
        <v>773</v>
      </c>
      <c r="J32" s="9">
        <f>1950-I32</f>
        <v>1177</v>
      </c>
      <c r="K32" s="69">
        <f>C32</f>
        <v>0.84927032848165562</v>
      </c>
      <c r="L32" s="2" t="s">
        <v>5</v>
      </c>
      <c r="M32" s="13">
        <f>D32</f>
        <v>1.9542113880278936E-3</v>
      </c>
      <c r="N32" s="12">
        <f>-8033*LN(K32)</f>
        <v>1312.4133472334577</v>
      </c>
      <c r="O32" s="66" t="s">
        <v>5</v>
      </c>
      <c r="P32" s="12">
        <f>M32/K32*8033</f>
        <v>18.484314774182238</v>
      </c>
      <c r="Q32" s="5">
        <f>G32</f>
        <v>-25.048523944805389</v>
      </c>
      <c r="R32" s="9">
        <f>(EXP(J32/8267)*EXP(-N32/8033)-1)*1000</f>
        <v>-20.785386919885852</v>
      </c>
      <c r="S32" s="2" t="s">
        <v>5</v>
      </c>
      <c r="T32" s="14">
        <f>P32/8.033</f>
        <v>2.3010475257291469</v>
      </c>
      <c r="Y32" s="293">
        <f>1/M32^2</f>
        <v>261852.6180702202</v>
      </c>
    </row>
    <row r="33" spans="1:25" x14ac:dyDescent="0.2">
      <c r="A33" t="s">
        <v>584</v>
      </c>
      <c r="B33" t="s">
        <v>298</v>
      </c>
      <c r="C33">
        <v>0.85398818198228299</v>
      </c>
      <c r="D33">
        <v>1.9263183037847426E-3</v>
      </c>
      <c r="E33">
        <v>1267.9003593227426</v>
      </c>
      <c r="F33">
        <v>18.119656325587844</v>
      </c>
      <c r="G33">
        <v>-24.193222175924454</v>
      </c>
      <c r="I33" s="220">
        <v>774</v>
      </c>
      <c r="J33" s="9">
        <f>1950-I33</f>
        <v>1176</v>
      </c>
      <c r="K33" s="69">
        <f>C33</f>
        <v>0.85398818198228299</v>
      </c>
      <c r="L33" s="2" t="s">
        <v>5</v>
      </c>
      <c r="M33" s="13">
        <f>D33</f>
        <v>1.9263183037847426E-3</v>
      </c>
      <c r="N33" s="12">
        <f>-8033*LN(K33)</f>
        <v>1267.9120412231528</v>
      </c>
      <c r="O33" s="66" t="s">
        <v>5</v>
      </c>
      <c r="P33" s="12">
        <f>M33/K33*8033</f>
        <v>18.119823272476932</v>
      </c>
      <c r="Q33" s="5">
        <f>G33</f>
        <v>-24.193222175924454</v>
      </c>
      <c r="R33" s="9">
        <f>(EXP(J33/8267)*EXP(-N33/8033)-1)*1000</f>
        <v>-15.464768327739353</v>
      </c>
      <c r="S33" s="2" t="s">
        <v>5</v>
      </c>
      <c r="T33" s="14">
        <f>P33/8.033</f>
        <v>2.2556732568750073</v>
      </c>
      <c r="Y33" s="293">
        <f>1/M33^2</f>
        <v>269490.77131004009</v>
      </c>
    </row>
    <row r="34" spans="1:25" x14ac:dyDescent="0.2">
      <c r="A34" t="s">
        <v>585</v>
      </c>
      <c r="B34" t="s">
        <v>299</v>
      </c>
      <c r="C34">
        <v>0.86529262861892708</v>
      </c>
      <c r="D34">
        <v>1.9753557929913499E-3</v>
      </c>
      <c r="E34">
        <v>1162.2642221180142</v>
      </c>
      <c r="F34">
        <v>18.338174116186472</v>
      </c>
      <c r="G34">
        <v>-44.448799852292886</v>
      </c>
      <c r="I34" s="220">
        <v>775</v>
      </c>
      <c r="J34" s="9">
        <f>1950-I34</f>
        <v>1175</v>
      </c>
      <c r="K34" s="69">
        <f>C34</f>
        <v>0.86529262861892708</v>
      </c>
      <c r="L34" s="2" t="s">
        <v>5</v>
      </c>
      <c r="M34" s="13">
        <f>D34</f>
        <v>1.9753557929913499E-3</v>
      </c>
      <c r="N34" s="12">
        <f>-8033*LN(K34)</f>
        <v>1162.2749307315053</v>
      </c>
      <c r="O34" s="66" t="s">
        <v>5</v>
      </c>
      <c r="P34" s="12">
        <f>M34/K34*8033</f>
        <v>18.338343076406538</v>
      </c>
      <c r="Q34" s="5">
        <f>G34</f>
        <v>-44.448799852292886</v>
      </c>
      <c r="R34" s="9">
        <f>(EXP(J34/8267)*EXP(-N34/8033)-1)*1000</f>
        <v>-2.5529004014214207</v>
      </c>
      <c r="S34" s="2" t="s">
        <v>5</v>
      </c>
      <c r="T34" s="14">
        <f>P34/8.033</f>
        <v>2.2828760209643395</v>
      </c>
      <c r="Y34" s="293">
        <f>1/M34^2</f>
        <v>256276.82759475787</v>
      </c>
    </row>
    <row r="35" spans="1:25" x14ac:dyDescent="0.2">
      <c r="A35" t="s">
        <v>586</v>
      </c>
      <c r="B35" t="s">
        <v>220</v>
      </c>
      <c r="C35">
        <v>0.86699044035667305</v>
      </c>
      <c r="D35">
        <v>1.9681442998592228E-3</v>
      </c>
      <c r="E35">
        <v>1146.5180653355196</v>
      </c>
      <c r="F35">
        <v>18.235446157825137</v>
      </c>
      <c r="G35">
        <v>-24.9023280627394</v>
      </c>
      <c r="I35" s="220">
        <v>776</v>
      </c>
      <c r="J35" s="9">
        <f>1950-I35</f>
        <v>1174</v>
      </c>
      <c r="K35" s="69">
        <f>C35</f>
        <v>0.86699044035667305</v>
      </c>
      <c r="L35" s="2" t="s">
        <v>5</v>
      </c>
      <c r="M35" s="13">
        <f>D35</f>
        <v>1.9681442998592228E-3</v>
      </c>
      <c r="N35" s="12">
        <f>-8033*LN(K35)</f>
        <v>1146.5286288705477</v>
      </c>
      <c r="O35" s="66" t="s">
        <v>5</v>
      </c>
      <c r="P35" s="12">
        <f>M35/K35*8033</f>
        <v>18.235614171553017</v>
      </c>
      <c r="Q35" s="5">
        <f>G35</f>
        <v>-24.9023280627394</v>
      </c>
      <c r="R35" s="9">
        <f>(EXP(J35/8267)*EXP(-N35/8033)-1)*1000</f>
        <v>-0.71666864318054024</v>
      </c>
      <c r="S35" s="2" t="s">
        <v>5</v>
      </c>
      <c r="T35" s="14">
        <f>P35/8.033</f>
        <v>2.2700876598472575</v>
      </c>
      <c r="Y35" s="293">
        <f>1/M35^2</f>
        <v>258158.32019859852</v>
      </c>
    </row>
    <row r="38" spans="1:25" x14ac:dyDescent="0.2">
      <c r="I38" s="1" t="s">
        <v>330</v>
      </c>
    </row>
    <row r="39" spans="1:25" x14ac:dyDescent="0.2">
      <c r="I39" t="s">
        <v>17</v>
      </c>
      <c r="J39" t="s">
        <v>15</v>
      </c>
      <c r="K39" t="s">
        <v>1</v>
      </c>
      <c r="N39" t="s">
        <v>2</v>
      </c>
      <c r="Q39" t="s">
        <v>3</v>
      </c>
      <c r="R39" t="s">
        <v>16</v>
      </c>
    </row>
    <row r="40" spans="1:25" x14ac:dyDescent="0.2">
      <c r="I40" s="284">
        <v>770</v>
      </c>
      <c r="J40" s="284">
        <v>1180</v>
      </c>
      <c r="K40" s="284">
        <f>(Y5*K5+Y18*K18)/(Y5+Y18)</f>
        <v>0.8510732915772018</v>
      </c>
      <c r="L40" s="284" t="s">
        <v>5</v>
      </c>
      <c r="M40" s="284">
        <f>1/SQRT(Y5+Y18)</f>
        <v>1.4441254272897102E-3</v>
      </c>
      <c r="N40" s="288">
        <f t="shared" ref="N40:N50" si="21">-8033*LN(K40)</f>
        <v>1295.3777224294874</v>
      </c>
      <c r="O40" s="284" t="s">
        <v>5</v>
      </c>
      <c r="P40" s="288">
        <f t="shared" ref="P40:P50" si="22">M40/K40*8033</f>
        <v>13.630623440103495</v>
      </c>
      <c r="Q40" s="292">
        <f>(Q5*Y5+Q18*Y18)/(Y5+Y18)</f>
        <v>-25.46141631362903</v>
      </c>
      <c r="R40" s="289">
        <f>(EXP(J40/8267)*EXP(-N40/8033)-1)*1000</f>
        <v>-18.350393076719151</v>
      </c>
      <c r="S40" s="284" t="s">
        <v>5</v>
      </c>
      <c r="T40" s="289">
        <f t="shared" ref="T40:T50" si="23">P40/8.033</f>
        <v>1.6968285123992899</v>
      </c>
    </row>
    <row r="41" spans="1:25" x14ac:dyDescent="0.2">
      <c r="I41" s="284">
        <v>771</v>
      </c>
      <c r="J41" s="284">
        <v>1179</v>
      </c>
      <c r="K41" s="284">
        <f>(Y6*K6+Y19*K19)/(Y6+Y19)</f>
        <v>0.8502640590745616</v>
      </c>
      <c r="L41" s="284" t="s">
        <v>5</v>
      </c>
      <c r="M41" s="284">
        <f>1/SQRT(Y6+Y19)</f>
        <v>1.4472511058799095E-3</v>
      </c>
      <c r="N41" s="288">
        <f t="shared" si="21"/>
        <v>1303.0194346171893</v>
      </c>
      <c r="O41" s="284" t="s">
        <v>5</v>
      </c>
      <c r="P41" s="288">
        <f t="shared" si="22"/>
        <v>13.673126612204388</v>
      </c>
      <c r="Q41" s="292">
        <f>(Q6*Y6+Q19*Y19)/(Y6+Y19)</f>
        <v>-25.867947735224288</v>
      </c>
      <c r="R41" s="289">
        <f>(EXP(J41/8267)*EXP(-N41/8033)-1)*1000</f>
        <v>-19.402405520415723</v>
      </c>
      <c r="S41" s="284" t="s">
        <v>5</v>
      </c>
      <c r="T41" s="289">
        <f t="shared" si="23"/>
        <v>1.7021195832446645</v>
      </c>
    </row>
    <row r="42" spans="1:25" x14ac:dyDescent="0.2">
      <c r="I42" s="284">
        <v>772</v>
      </c>
      <c r="J42" s="284">
        <v>1178</v>
      </c>
      <c r="K42" s="284">
        <f>(Y7*K7+Y20*K20+Y31*K31)/(Y7+Y20+Y31)</f>
        <v>0.85141876165664643</v>
      </c>
      <c r="L42" s="284" t="s">
        <v>5</v>
      </c>
      <c r="M42" s="284">
        <f>1/SQRT(Y7+Y20+Y31)</f>
        <v>1.1604634019948303E-3</v>
      </c>
      <c r="N42" s="288">
        <f>-8033*LN(K42)</f>
        <v>1292.1176059655099</v>
      </c>
      <c r="O42" s="292" t="s">
        <v>5</v>
      </c>
      <c r="P42" s="288">
        <f>M42/K42*8033</f>
        <v>10.948786810953287</v>
      </c>
      <c r="Q42" s="292">
        <f>(Q7*Y7+Q20*Y20+Q31*Y31)/(Y7+Y20+Y31)</f>
        <v>-24.848558460763321</v>
      </c>
      <c r="R42" s="289">
        <f>(EXP(J42/8267)*EXP(-N42/8033)-1)*1000</f>
        <v>-18.189473051084313</v>
      </c>
      <c r="S42" s="292" t="s">
        <v>5</v>
      </c>
      <c r="T42" s="289">
        <f>P42/8.033</f>
        <v>1.3629760750595403</v>
      </c>
    </row>
    <row r="43" spans="1:25" x14ac:dyDescent="0.2">
      <c r="I43" s="284">
        <v>773</v>
      </c>
      <c r="J43" s="284">
        <v>1177</v>
      </c>
      <c r="K43" s="284">
        <f>(Y8*K8+Y21*K21+Y32*K32)/(Y8+Y21+Y32)</f>
        <v>0.84830887485387596</v>
      </c>
      <c r="L43" s="284" t="s">
        <v>5</v>
      </c>
      <c r="M43" s="284">
        <f>1/SQRT(Y8+Y21+Y32)</f>
        <v>1.1612123701850424E-3</v>
      </c>
      <c r="N43" s="288">
        <f t="shared" si="21"/>
        <v>1321.5126078777814</v>
      </c>
      <c r="O43" s="284" t="s">
        <v>5</v>
      </c>
      <c r="P43" s="288">
        <f t="shared" si="22"/>
        <v>10.996017189261668</v>
      </c>
      <c r="Q43" s="292">
        <f>(Q8*Y8+Q21*Y21+Q32*Y32)/(Y8+Y21+Y32)</f>
        <v>-23.442929670304984</v>
      </c>
      <c r="R43" s="289">
        <f t="shared" ref="R43:R50" si="24">(EXP(J43/8267)*EXP(-N43/8033)-1)*1000</f>
        <v>-21.89394965962499</v>
      </c>
      <c r="S43" s="284" t="s">
        <v>5</v>
      </c>
      <c r="T43" s="289">
        <f t="shared" si="23"/>
        <v>1.3688556192283914</v>
      </c>
    </row>
    <row r="44" spans="1:25" x14ac:dyDescent="0.2">
      <c r="I44" s="284">
        <v>774</v>
      </c>
      <c r="J44" s="284">
        <v>1176</v>
      </c>
      <c r="K44" s="284">
        <f>(Y9*K9+Y22*K22+Y33*K33)/(Y9+Y22+Y33)</f>
        <v>0.8544597189616876</v>
      </c>
      <c r="L44" s="284" t="s">
        <v>5</v>
      </c>
      <c r="M44" s="284">
        <f>1/SQRT(Y9+Y22+Y33)</f>
        <v>1.1620811231289824E-3</v>
      </c>
      <c r="N44" s="288">
        <f t="shared" si="21"/>
        <v>1263.4777747176915</v>
      </c>
      <c r="O44" s="284" t="s">
        <v>5</v>
      </c>
      <c r="P44" s="288">
        <f t="shared" si="22"/>
        <v>10.925029530284599</v>
      </c>
      <c r="Q44" s="292">
        <f>(Q9*Y9+Q22*Y22+Q33*Y33)/(Y9+Y22+Y33)</f>
        <v>-24.257342015099645</v>
      </c>
      <c r="R44" s="289">
        <f t="shared" si="24"/>
        <v>-14.921148662906836</v>
      </c>
      <c r="S44" s="284" t="s">
        <v>5</v>
      </c>
      <c r="T44" s="289">
        <f t="shared" si="23"/>
        <v>1.3600186145007593</v>
      </c>
    </row>
    <row r="45" spans="1:25" x14ac:dyDescent="0.2">
      <c r="I45" s="284">
        <v>775</v>
      </c>
      <c r="J45" s="284">
        <v>1175</v>
      </c>
      <c r="K45" s="284">
        <f>(Y10*K10+Y23*K23+Y34*K34)/(Y10+Y23+Y34)</f>
        <v>0.86126502351573275</v>
      </c>
      <c r="L45" s="284" t="s">
        <v>5</v>
      </c>
      <c r="M45" s="284">
        <f>1/SQRT(Y10+Y23+Y34)</f>
        <v>1.1752169905652129E-3</v>
      </c>
      <c r="N45" s="288">
        <f t="shared" si="21"/>
        <v>1199.7527530795926</v>
      </c>
      <c r="O45" s="284" t="s">
        <v>5</v>
      </c>
      <c r="P45" s="288">
        <f t="shared" si="22"/>
        <v>10.961223116519493</v>
      </c>
      <c r="Q45" s="292">
        <f>(Q10*Y10+Q23*Y23+Q34*Y34)/(Y10+Y23+Y34)</f>
        <v>-30.168053096578561</v>
      </c>
      <c r="R45" s="289">
        <f t="shared" si="24"/>
        <v>-7.1956338486270921</v>
      </c>
      <c r="S45" s="284" t="s">
        <v>5</v>
      </c>
      <c r="T45" s="289">
        <f t="shared" si="23"/>
        <v>1.3645242271280336</v>
      </c>
    </row>
    <row r="46" spans="1:25" x14ac:dyDescent="0.2">
      <c r="I46" s="284">
        <v>776</v>
      </c>
      <c r="J46" s="284">
        <v>1174</v>
      </c>
      <c r="K46" s="284">
        <f>(Y11*K11+Y24*K24+Y35*K35)/(Y11+Y24+Y35)</f>
        <v>0.86609834897507909</v>
      </c>
      <c r="L46" s="284" t="s">
        <v>5</v>
      </c>
      <c r="M46" s="284">
        <f>1/SQRT(Y11+Y24+Y35)</f>
        <v>1.1831143585741058E-3</v>
      </c>
      <c r="N46" s="288">
        <f t="shared" si="21"/>
        <v>1154.7984541043938</v>
      </c>
      <c r="O46" s="284" t="s">
        <v>5</v>
      </c>
      <c r="P46" s="288">
        <f t="shared" si="22"/>
        <v>10.973300726958499</v>
      </c>
      <c r="Q46" s="292">
        <f>(Q11*Y11+Q24*Y24+Q35*Y35)/(Y11+Y24+Y35)</f>
        <v>-24.095243845141628</v>
      </c>
      <c r="R46" s="289">
        <f t="shared" si="24"/>
        <v>-1.7448830342263744</v>
      </c>
      <c r="S46" s="284" t="s">
        <v>5</v>
      </c>
      <c r="T46" s="289">
        <f t="shared" si="23"/>
        <v>1.3660277264980081</v>
      </c>
    </row>
    <row r="47" spans="1:25" x14ac:dyDescent="0.2">
      <c r="I47" s="284">
        <v>777</v>
      </c>
      <c r="J47" s="284">
        <v>1173</v>
      </c>
      <c r="K47" s="284">
        <f>(Y12*K12+Y25*K25)/(Y12+Y25)</f>
        <v>0.86295712241635036</v>
      </c>
      <c r="L47" s="284" t="s">
        <v>5</v>
      </c>
      <c r="M47" s="284">
        <f>1/SQRT(Y12+Y25)</f>
        <v>1.4520991565165568E-3</v>
      </c>
      <c r="N47" s="288">
        <f t="shared" si="21"/>
        <v>1183.9860667922644</v>
      </c>
      <c r="O47" s="284" t="s">
        <v>5</v>
      </c>
      <c r="P47" s="288">
        <f t="shared" si="22"/>
        <v>13.517140332112161</v>
      </c>
      <c r="Q47" s="292">
        <f>(Q12*Y12+Q25*Y25)/(Y12+Y25)</f>
        <v>-25.047814435002611</v>
      </c>
      <c r="R47" s="289">
        <f t="shared" si="24"/>
        <v>-5.4857316479373086</v>
      </c>
      <c r="S47" s="284" t="s">
        <v>5</v>
      </c>
      <c r="T47" s="289">
        <f t="shared" si="23"/>
        <v>1.6827013982462544</v>
      </c>
    </row>
    <row r="48" spans="1:25" x14ac:dyDescent="0.2">
      <c r="I48" s="284">
        <v>778</v>
      </c>
      <c r="J48" s="284">
        <v>1172</v>
      </c>
      <c r="K48" s="284">
        <f>(Y13*K13+Y26*K26)/(Y13+Y26)</f>
        <v>0.86143996081605612</v>
      </c>
      <c r="L48" s="284" t="s">
        <v>5</v>
      </c>
      <c r="M48" s="284">
        <f>1/SQRT(Y13+Y26)</f>
        <v>1.7089017467509994E-3</v>
      </c>
      <c r="N48" s="288">
        <f t="shared" si="21"/>
        <v>1198.1212823970218</v>
      </c>
      <c r="O48" s="284" t="s">
        <v>5</v>
      </c>
      <c r="P48" s="288">
        <f>M48/K48*8033</f>
        <v>15.93565234499499</v>
      </c>
      <c r="Q48" s="292">
        <f>(Q13*Y13+Q26*Y26)/(Y13+Y26)</f>
        <v>-21.303097469339882</v>
      </c>
      <c r="R48" s="289">
        <f t="shared" si="24"/>
        <v>-7.354263894954749</v>
      </c>
      <c r="S48" s="284" t="s">
        <v>5</v>
      </c>
      <c r="T48" s="289">
        <f t="shared" si="23"/>
        <v>1.9837734775295643</v>
      </c>
    </row>
    <row r="49" spans="9:20" x14ac:dyDescent="0.2">
      <c r="I49" s="284">
        <v>779</v>
      </c>
      <c r="J49" s="284">
        <v>1171</v>
      </c>
      <c r="K49" s="284">
        <f>(Y14*K14+Y27*K27)/(Y14+Y27)</f>
        <v>0.861437407210212</v>
      </c>
      <c r="L49" s="284" t="s">
        <v>5</v>
      </c>
      <c r="M49" s="284">
        <f>1/SQRT(Y14+Y27)</f>
        <v>1.4632281456831123E-3</v>
      </c>
      <c r="N49" s="288">
        <f t="shared" si="21"/>
        <v>1198.1450950213286</v>
      </c>
      <c r="O49" s="284" t="s">
        <v>5</v>
      </c>
      <c r="P49" s="288">
        <f t="shared" si="22"/>
        <v>13.644765824992955</v>
      </c>
      <c r="Q49" s="292">
        <f>(Q14*Y14+Q27*Y27)/(Y14+Y27)</f>
        <v>-21.59409101838316</v>
      </c>
      <c r="R49" s="289">
        <f t="shared" si="24"/>
        <v>-7.4772720938212078</v>
      </c>
      <c r="S49" s="284" t="s">
        <v>5</v>
      </c>
      <c r="T49" s="289">
        <f t="shared" si="23"/>
        <v>1.6985890482998824</v>
      </c>
    </row>
    <row r="50" spans="9:20" x14ac:dyDescent="0.2">
      <c r="I50" s="284">
        <v>780</v>
      </c>
      <c r="J50" s="284">
        <v>1170</v>
      </c>
      <c r="K50" s="284">
        <f>(Y15*K15+Y28*K28)/(Y15+Y28)</f>
        <v>0.86326674475155851</v>
      </c>
      <c r="L50" s="284" t="s">
        <v>5</v>
      </c>
      <c r="M50" s="284">
        <f>1/SQRT(Y15+Y28)</f>
        <v>1.4709918540999217E-3</v>
      </c>
      <c r="N50" s="288">
        <f t="shared" si="21"/>
        <v>1181.1044055052148</v>
      </c>
      <c r="O50" s="284" t="s">
        <v>5</v>
      </c>
      <c r="P50" s="288">
        <f t="shared" si="22"/>
        <v>13.688095407156407</v>
      </c>
      <c r="Q50" s="292">
        <f>(Q15*Y15+Q28*Y28)/(Y15+Y28)</f>
        <v>-22.216755780258602</v>
      </c>
      <c r="R50" s="289">
        <f t="shared" si="24"/>
        <v>-5.4898694998704034</v>
      </c>
      <c r="S50" s="284" t="s">
        <v>5</v>
      </c>
      <c r="T50" s="289">
        <f t="shared" si="23"/>
        <v>1.703982996035903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selection activeCell="AD17" sqref="AD17"/>
    </sheetView>
  </sheetViews>
  <sheetFormatPr baseColWidth="10" defaultColWidth="11" defaultRowHeight="16" x14ac:dyDescent="0.2"/>
  <cols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  <col min="17" max="17" width="21.1640625" hidden="1" customWidth="1"/>
    <col min="18" max="18" width="7.1640625" hidden="1" customWidth="1"/>
    <col min="19" max="25" width="0" hidden="1" customWidth="1"/>
    <col min="26" max="26" width="11" hidden="1" customWidth="1"/>
  </cols>
  <sheetData>
    <row r="1" spans="1:25" x14ac:dyDescent="0.2">
      <c r="A1" s="1" t="s">
        <v>75</v>
      </c>
      <c r="F1" s="19"/>
      <c r="G1" s="19"/>
    </row>
    <row r="3" spans="1:25" x14ac:dyDescent="0.2">
      <c r="A3" s="21"/>
      <c r="B3" s="21" t="s">
        <v>17</v>
      </c>
      <c r="C3" s="22" t="s">
        <v>15</v>
      </c>
      <c r="D3" s="345" t="s">
        <v>1</v>
      </c>
      <c r="E3" s="345"/>
      <c r="F3" s="345"/>
      <c r="G3" s="345" t="s">
        <v>2</v>
      </c>
      <c r="H3" s="345"/>
      <c r="I3" s="345"/>
      <c r="J3" s="21" t="s">
        <v>3</v>
      </c>
      <c r="K3" s="346" t="s">
        <v>16</v>
      </c>
      <c r="L3" s="345"/>
      <c r="M3" s="345"/>
    </row>
    <row r="4" spans="1:25" x14ac:dyDescent="0.2">
      <c r="A4" t="s">
        <v>84</v>
      </c>
      <c r="B4" s="29">
        <v>990</v>
      </c>
      <c r="C4" s="30">
        <f>1950-B4</f>
        <v>960</v>
      </c>
      <c r="D4" s="8">
        <f>U4</f>
        <v>0.87665423164948109</v>
      </c>
      <c r="E4" s="2" t="s">
        <v>5</v>
      </c>
      <c r="F4" s="13">
        <f>W4</f>
        <v>1.8571476813053238E-3</v>
      </c>
      <c r="G4" s="12">
        <f t="shared" ref="G4:G14" si="0">-8033*LN(D4)</f>
        <v>1057.4852227655961</v>
      </c>
      <c r="H4" s="2" t="s">
        <v>5</v>
      </c>
      <c r="I4" s="4">
        <f t="shared" ref="I4:I14" si="1">F4/D4*8033</f>
        <v>17.017504490745015</v>
      </c>
      <c r="J4" s="15">
        <f>X4</f>
        <v>-24.341625368654697</v>
      </c>
      <c r="K4" s="9">
        <f t="shared" ref="K4:K14" si="2">(EXP(C4/8267)*EXP(-G4/8033)-1)*1000</f>
        <v>-15.398489156375984</v>
      </c>
      <c r="L4" s="2" t="s">
        <v>5</v>
      </c>
      <c r="M4" s="14">
        <f t="shared" ref="M4:M14" si="3">I4/8.033</f>
        <v>2.1184494573316339</v>
      </c>
      <c r="U4" s="34">
        <v>0.87665423164948109</v>
      </c>
      <c r="W4" s="8">
        <v>1.8571476813053238E-3</v>
      </c>
      <c r="X4" s="36">
        <v>-24.341625368654697</v>
      </c>
      <c r="Y4">
        <v>11</v>
      </c>
    </row>
    <row r="5" spans="1:25" x14ac:dyDescent="0.2">
      <c r="A5" t="s">
        <v>94</v>
      </c>
      <c r="B5" s="29">
        <v>991</v>
      </c>
      <c r="C5" s="30">
        <f t="shared" ref="C5:C14" si="4">1950-B5</f>
        <v>959</v>
      </c>
      <c r="D5" s="8">
        <f>(1/W5^2*U5+1/S5^2*Q5)/(1/S5^2+1/W5^2)</f>
        <v>0.87516131831859922</v>
      </c>
      <c r="E5" s="2" t="s">
        <v>5</v>
      </c>
      <c r="F5" s="13">
        <f>SQRT(1/(1/S5^2+1/W5^2))</f>
        <v>1.3461239789751759E-3</v>
      </c>
      <c r="G5" s="12">
        <f t="shared" si="0"/>
        <v>1071.1768191102431</v>
      </c>
      <c r="H5" s="2" t="s">
        <v>5</v>
      </c>
      <c r="I5" s="4">
        <f t="shared" si="1"/>
        <v>12.355909358383006</v>
      </c>
      <c r="J5" s="15">
        <f>(1/W5^2*X5+1/S5^2*T5)/(1/S5^2+1/W5^2)</f>
        <v>-26.283838546525907</v>
      </c>
      <c r="K5" s="9">
        <f t="shared" si="2"/>
        <v>-17.194123358761139</v>
      </c>
      <c r="L5" s="2" t="s">
        <v>5</v>
      </c>
      <c r="M5" s="14">
        <f t="shared" si="3"/>
        <v>1.5381438265135077</v>
      </c>
      <c r="Q5" s="26">
        <v>0.87360000000000004</v>
      </c>
      <c r="S5" s="26">
        <v>1.9219199999999999E-3</v>
      </c>
      <c r="T5" s="28">
        <v>-28.3</v>
      </c>
      <c r="U5" s="34">
        <v>0.87666482383061861</v>
      </c>
      <c r="W5" s="8">
        <v>1.8860017478296298E-3</v>
      </c>
      <c r="X5" s="36">
        <v>-24.342331922086569</v>
      </c>
      <c r="Y5">
        <v>10</v>
      </c>
    </row>
    <row r="6" spans="1:25" x14ac:dyDescent="0.2">
      <c r="A6" t="s">
        <v>93</v>
      </c>
      <c r="B6" s="29">
        <v>992</v>
      </c>
      <c r="C6" s="30">
        <f t="shared" si="4"/>
        <v>958</v>
      </c>
      <c r="D6" s="8">
        <f>(1/W6^2*U6+1/S6^2*Q6)/(1/S6^2+1/W6^2)</f>
        <v>0.87307582142546281</v>
      </c>
      <c r="E6" s="2" t="s">
        <v>5</v>
      </c>
      <c r="F6" s="13">
        <f>SQRT(1/(1/S6^2+1/W6^2))</f>
        <v>1.3359098904716152E-3</v>
      </c>
      <c r="G6" s="12">
        <f t="shared" si="0"/>
        <v>1090.3421875930121</v>
      </c>
      <c r="H6" s="2" t="s">
        <v>5</v>
      </c>
      <c r="I6" s="4">
        <f t="shared" si="1"/>
        <v>12.291445813534827</v>
      </c>
      <c r="J6" s="15">
        <f t="shared" ref="J6:J11" si="5">(1/W6^2*X6+1/S6^2*T6)/(1/S6^2+1/W6^2)</f>
        <v>-25.85373800116248</v>
      </c>
      <c r="K6" s="9">
        <f t="shared" si="2"/>
        <v>-19.654728238065466</v>
      </c>
      <c r="L6" s="2" t="s">
        <v>5</v>
      </c>
      <c r="M6" s="14">
        <f t="shared" si="3"/>
        <v>1.5301189858751185</v>
      </c>
      <c r="Q6" s="26">
        <v>0.87280000000000002</v>
      </c>
      <c r="S6" s="26">
        <v>1.92016E-3</v>
      </c>
      <c r="T6" s="28">
        <v>-27.4</v>
      </c>
      <c r="U6" s="34">
        <v>0.87333457705560613</v>
      </c>
      <c r="W6" s="8">
        <v>1.8598089065165102E-3</v>
      </c>
      <c r="X6" s="36">
        <v>-24.403147289418502</v>
      </c>
      <c r="Y6">
        <v>9</v>
      </c>
    </row>
    <row r="7" spans="1:25" x14ac:dyDescent="0.2">
      <c r="A7" t="s">
        <v>92</v>
      </c>
      <c r="B7" s="29">
        <v>993</v>
      </c>
      <c r="C7" s="30">
        <f t="shared" si="4"/>
        <v>957</v>
      </c>
      <c r="D7" s="8">
        <f>(1/W7^2*U7+1/S7^2*Q7)/(1/S7^2+1/W7^2)</f>
        <v>0.88203484962505219</v>
      </c>
      <c r="E7" s="2" t="s">
        <v>5</v>
      </c>
      <c r="F7" s="13">
        <f>SQRT(1/(1/S7^2+1/W7^2))</f>
        <v>1.4268681171410841E-3</v>
      </c>
      <c r="G7" s="12">
        <f t="shared" si="0"/>
        <v>1008.331976161463</v>
      </c>
      <c r="H7" s="2" t="s">
        <v>5</v>
      </c>
      <c r="I7" s="4">
        <f t="shared" si="1"/>
        <v>12.9949872047196</v>
      </c>
      <c r="J7" s="15">
        <f t="shared" si="5"/>
        <v>-28.155745286348793</v>
      </c>
      <c r="K7" s="9">
        <f t="shared" si="2"/>
        <v>-9.7147543926622291</v>
      </c>
      <c r="L7" s="2" t="s">
        <v>5</v>
      </c>
      <c r="M7" s="14">
        <f t="shared" si="3"/>
        <v>1.6177003864956554</v>
      </c>
      <c r="Q7" s="26">
        <v>0.88239999999999996</v>
      </c>
      <c r="R7" s="2" t="s">
        <v>5</v>
      </c>
      <c r="S7" s="26">
        <v>2.2060000000000001E-3</v>
      </c>
      <c r="T7" s="28">
        <v>-31.8</v>
      </c>
      <c r="U7" s="34">
        <v>0.88177219877532331</v>
      </c>
      <c r="W7" s="8">
        <v>1.870936457044415E-3</v>
      </c>
      <c r="X7" s="36">
        <v>-25.534450984499134</v>
      </c>
      <c r="Y7">
        <v>8</v>
      </c>
    </row>
    <row r="8" spans="1:25" x14ac:dyDescent="0.2">
      <c r="A8" t="s">
        <v>91</v>
      </c>
      <c r="B8" s="29">
        <v>994</v>
      </c>
      <c r="C8" s="30">
        <f t="shared" si="4"/>
        <v>956</v>
      </c>
      <c r="D8" s="8">
        <f t="shared" ref="D8:D14" si="6">(1/W8^2*U8+1/S8^2*Q8)/(1/S8^2+1/W8^2)</f>
        <v>0.88216698741229349</v>
      </c>
      <c r="E8" s="2" t="s">
        <v>5</v>
      </c>
      <c r="F8" s="13">
        <f t="shared" ref="F8:F14" si="7">SQRT(1/(1/S8^2+1/W8^2))</f>
        <v>1.3381257473667337E-3</v>
      </c>
      <c r="G8" s="12">
        <f t="shared" si="0"/>
        <v>1007.1286412316266</v>
      </c>
      <c r="H8" s="2" t="s">
        <v>5</v>
      </c>
      <c r="I8" s="4">
        <f t="shared" si="1"/>
        <v>12.184953962206244</v>
      </c>
      <c r="J8" s="15">
        <f t="shared" si="5"/>
        <v>-24.633179785949839</v>
      </c>
      <c r="K8" s="9">
        <f t="shared" si="2"/>
        <v>-9.686198035205539</v>
      </c>
      <c r="L8" s="2" t="s">
        <v>5</v>
      </c>
      <c r="M8" s="14">
        <f t="shared" si="3"/>
        <v>1.5168621887471985</v>
      </c>
      <c r="Q8" s="26">
        <v>0.88090000000000002</v>
      </c>
      <c r="S8" s="26">
        <v>1.93798E-3</v>
      </c>
      <c r="T8" s="28">
        <v>-26.6</v>
      </c>
      <c r="U8" s="34">
        <v>0.88332140384666669</v>
      </c>
      <c r="W8" s="8">
        <v>1.8498835528623515E-3</v>
      </c>
      <c r="X8" s="36">
        <v>-22.841110222727611</v>
      </c>
      <c r="Y8">
        <v>7</v>
      </c>
    </row>
    <row r="9" spans="1:25" x14ac:dyDescent="0.2">
      <c r="A9" t="s">
        <v>90</v>
      </c>
      <c r="B9" s="29">
        <v>995</v>
      </c>
      <c r="C9" s="30">
        <f t="shared" si="4"/>
        <v>955</v>
      </c>
      <c r="D9" s="8">
        <f t="shared" si="6"/>
        <v>0.88092755690220315</v>
      </c>
      <c r="E9" s="2" t="s">
        <v>5</v>
      </c>
      <c r="F9" s="13">
        <f t="shared" si="7"/>
        <v>1.3514720372064242E-3</v>
      </c>
      <c r="G9" s="12">
        <f t="shared" si="0"/>
        <v>1018.4228136964764</v>
      </c>
      <c r="H9" s="2" t="s">
        <v>5</v>
      </c>
      <c r="I9" s="4">
        <f t="shared" si="1"/>
        <v>12.323799828734877</v>
      </c>
      <c r="J9" s="15">
        <f t="shared" si="5"/>
        <v>-25.950226582681264</v>
      </c>
      <c r="K9" s="9">
        <f t="shared" si="2"/>
        <v>-11.197188745063258</v>
      </c>
      <c r="L9" s="2" t="s">
        <v>5</v>
      </c>
      <c r="M9" s="14">
        <f t="shared" si="3"/>
        <v>1.5341466237688135</v>
      </c>
      <c r="Q9" s="26">
        <v>0.88200000000000001</v>
      </c>
      <c r="S9" s="26">
        <v>1.9403999999999999E-3</v>
      </c>
      <c r="T9" s="28">
        <v>-26.8</v>
      </c>
      <c r="U9" s="34">
        <v>0.87991718033190336</v>
      </c>
      <c r="W9" s="8">
        <v>1.8834138949204633E-3</v>
      </c>
      <c r="X9" s="36">
        <v>-25.149632916978693</v>
      </c>
      <c r="Y9">
        <v>6</v>
      </c>
    </row>
    <row r="10" spans="1:25" x14ac:dyDescent="0.2">
      <c r="A10" t="s">
        <v>89</v>
      </c>
      <c r="B10" s="29">
        <v>996</v>
      </c>
      <c r="C10" s="30">
        <f t="shared" si="4"/>
        <v>954</v>
      </c>
      <c r="D10" s="8">
        <f t="shared" si="6"/>
        <v>0.88158011402896819</v>
      </c>
      <c r="E10" s="2" t="s">
        <v>5</v>
      </c>
      <c r="F10" s="13">
        <f t="shared" si="7"/>
        <v>1.346096177605818E-3</v>
      </c>
      <c r="G10" s="12">
        <f t="shared" si="0"/>
        <v>1012.4744802789445</v>
      </c>
      <c r="H10" s="2" t="s">
        <v>5</v>
      </c>
      <c r="I10" s="4">
        <f t="shared" si="1"/>
        <v>12.26569250217028</v>
      </c>
      <c r="J10" s="15">
        <f t="shared" si="5"/>
        <v>-25.777918470555917</v>
      </c>
      <c r="K10" s="9">
        <f t="shared" si="2"/>
        <v>-10.584411576819219</v>
      </c>
      <c r="L10" s="2" t="s">
        <v>5</v>
      </c>
      <c r="M10" s="14">
        <f t="shared" si="3"/>
        <v>1.5269130464546596</v>
      </c>
      <c r="Q10" s="26">
        <v>0.88149999999999995</v>
      </c>
      <c r="S10" s="26">
        <v>1.9392999999999999E-3</v>
      </c>
      <c r="T10" s="28">
        <v>-26.4</v>
      </c>
      <c r="U10" s="34">
        <v>0.8816545990709459</v>
      </c>
      <c r="W10" s="8">
        <v>1.8699295483292952E-3</v>
      </c>
      <c r="X10" s="36">
        <v>-25.199545750683839</v>
      </c>
      <c r="Y10">
        <v>5</v>
      </c>
    </row>
    <row r="11" spans="1:25" x14ac:dyDescent="0.2">
      <c r="A11" t="s">
        <v>88</v>
      </c>
      <c r="B11" s="29">
        <v>997</v>
      </c>
      <c r="C11" s="30">
        <f t="shared" si="4"/>
        <v>953</v>
      </c>
      <c r="D11" s="8">
        <f t="shared" si="6"/>
        <v>0.88000222703132469</v>
      </c>
      <c r="E11" s="2" t="s">
        <v>5</v>
      </c>
      <c r="F11" s="13">
        <f t="shared" si="7"/>
        <v>1.3581503726584222E-3</v>
      </c>
      <c r="G11" s="12">
        <f t="shared" si="0"/>
        <v>1026.865144111639</v>
      </c>
      <c r="H11" s="2" t="s">
        <v>5</v>
      </c>
      <c r="I11" s="4">
        <f t="shared" si="1"/>
        <v>12.397720833468698</v>
      </c>
      <c r="J11" s="15">
        <f t="shared" si="5"/>
        <v>-26.374917820234355</v>
      </c>
      <c r="K11" s="9">
        <f t="shared" si="2"/>
        <v>-12.474767882471593</v>
      </c>
      <c r="L11" s="2" t="s">
        <v>5</v>
      </c>
      <c r="M11" s="14">
        <f t="shared" si="3"/>
        <v>1.543348790423092</v>
      </c>
      <c r="Q11" s="26">
        <v>0.87919999999999998</v>
      </c>
      <c r="S11" s="26">
        <v>1.9342399999999998E-3</v>
      </c>
      <c r="T11" s="28">
        <v>-27.8</v>
      </c>
      <c r="U11" s="34">
        <v>0.88078240130816976</v>
      </c>
      <c r="V11" s="2" t="s">
        <v>5</v>
      </c>
      <c r="W11" s="37">
        <v>1.9074691730561995E-3</v>
      </c>
      <c r="X11" s="36">
        <v>-24.989010320698334</v>
      </c>
      <c r="Y11">
        <v>4</v>
      </c>
    </row>
    <row r="12" spans="1:25" x14ac:dyDescent="0.2">
      <c r="A12" t="s">
        <v>87</v>
      </c>
      <c r="B12" s="29">
        <v>998</v>
      </c>
      <c r="C12" s="30">
        <f t="shared" si="4"/>
        <v>952</v>
      </c>
      <c r="D12" s="8">
        <f>U12</f>
        <v>0.88383459676428699</v>
      </c>
      <c r="E12" s="2" t="s">
        <v>5</v>
      </c>
      <c r="F12" s="13">
        <f>W12</f>
        <v>1.8864160642130812E-3</v>
      </c>
      <c r="G12" s="12">
        <f t="shared" si="0"/>
        <v>991.95774894456326</v>
      </c>
      <c r="H12" s="2" t="s">
        <v>5</v>
      </c>
      <c r="I12" s="4">
        <f t="shared" si="1"/>
        <v>17.145267111403925</v>
      </c>
      <c r="J12" s="15">
        <f>X11</f>
        <v>-24.989010320698334</v>
      </c>
      <c r="K12" s="9">
        <f t="shared" si="2"/>
        <v>-8.2941071866299296</v>
      </c>
      <c r="L12" s="2" t="s">
        <v>5</v>
      </c>
      <c r="M12" s="14">
        <f t="shared" si="3"/>
        <v>2.1343541779414821</v>
      </c>
      <c r="U12" s="34">
        <v>0.88383459676428699</v>
      </c>
      <c r="W12" s="8">
        <v>1.8864160642130812E-3</v>
      </c>
      <c r="X12" s="36">
        <v>-25.141975414004868</v>
      </c>
      <c r="Y12">
        <v>3</v>
      </c>
    </row>
    <row r="13" spans="1:25" x14ac:dyDescent="0.2">
      <c r="A13" t="s">
        <v>86</v>
      </c>
      <c r="B13" s="29">
        <v>999</v>
      </c>
      <c r="C13" s="30">
        <f t="shared" si="4"/>
        <v>951</v>
      </c>
      <c r="D13" s="8">
        <f>U13</f>
        <v>0.88333432902708398</v>
      </c>
      <c r="E13" s="2" t="s">
        <v>5</v>
      </c>
      <c r="F13" s="13">
        <f>W13</f>
        <v>1.9022558058078135E-3</v>
      </c>
      <c r="G13" s="12">
        <f t="shared" si="0"/>
        <v>996.50587196964841</v>
      </c>
      <c r="H13" s="2" t="s">
        <v>5</v>
      </c>
      <c r="I13" s="4">
        <f t="shared" si="1"/>
        <v>17.299023015311388</v>
      </c>
      <c r="J13" s="15">
        <f>X12</f>
        <v>-25.141975414004868</v>
      </c>
      <c r="K13" s="9">
        <f t="shared" si="2"/>
        <v>-8.9753166306415508</v>
      </c>
      <c r="L13" s="2" t="s">
        <v>5</v>
      </c>
      <c r="M13" s="14">
        <f t="shared" si="3"/>
        <v>2.1534947112300995</v>
      </c>
      <c r="U13" s="34">
        <v>0.88333432902708398</v>
      </c>
      <c r="W13" s="8">
        <v>1.9022558058078135E-3</v>
      </c>
      <c r="X13" s="36">
        <v>-25.640003836920112</v>
      </c>
      <c r="Y13">
        <v>2</v>
      </c>
    </row>
    <row r="14" spans="1:25" x14ac:dyDescent="0.2">
      <c r="A14" t="s">
        <v>85</v>
      </c>
      <c r="B14" s="29">
        <v>1000</v>
      </c>
      <c r="C14" s="30">
        <f t="shared" si="4"/>
        <v>950</v>
      </c>
      <c r="D14" s="8">
        <f t="shared" si="6"/>
        <v>0.88307528134327096</v>
      </c>
      <c r="E14" s="2" t="s">
        <v>5</v>
      </c>
      <c r="F14" s="13">
        <f t="shared" si="7"/>
        <v>1.3565560579756218E-3</v>
      </c>
      <c r="G14" s="12">
        <f t="shared" si="0"/>
        <v>998.86198467054305</v>
      </c>
      <c r="H14" s="2" t="s">
        <v>5</v>
      </c>
      <c r="I14" s="4">
        <f t="shared" si="1"/>
        <v>12.340074559829267</v>
      </c>
      <c r="J14" s="15">
        <f>(1/W14^2*X14+1/S14^2*T14)/(1/S14^2+1/W14^2)</f>
        <v>-26.384046404918529</v>
      </c>
      <c r="K14" s="9">
        <f t="shared" si="2"/>
        <v>-9.3857804979522452</v>
      </c>
      <c r="L14" s="2" t="s">
        <v>5</v>
      </c>
      <c r="M14" s="14">
        <f t="shared" si="3"/>
        <v>1.5361726079707789</v>
      </c>
      <c r="Q14" s="26">
        <v>0.88470000000000004</v>
      </c>
      <c r="S14" s="26">
        <v>1.94634E-3</v>
      </c>
      <c r="T14" s="28">
        <v>-27.9</v>
      </c>
      <c r="U14" s="34">
        <v>0.88154043180729114</v>
      </c>
      <c r="W14" s="8">
        <v>1.8917447089321082E-3</v>
      </c>
      <c r="X14" s="36">
        <v>-24.951945737925474</v>
      </c>
      <c r="Y14">
        <v>1</v>
      </c>
    </row>
    <row r="15" spans="1:25" x14ac:dyDescent="0.2">
      <c r="G15" s="12"/>
    </row>
    <row r="20" spans="1:14" x14ac:dyDescent="0.2">
      <c r="A20" s="23" t="s">
        <v>74</v>
      </c>
      <c r="B20" s="23" t="s">
        <v>75</v>
      </c>
      <c r="C20" s="29">
        <v>991</v>
      </c>
      <c r="D20" s="23" t="s">
        <v>76</v>
      </c>
      <c r="E20" s="24">
        <v>290656</v>
      </c>
      <c r="F20" s="25">
        <v>22.8</v>
      </c>
      <c r="G20" s="26">
        <v>0.87360000000000004</v>
      </c>
      <c r="H20" s="27">
        <v>0.22</v>
      </c>
      <c r="I20" s="24">
        <v>1085</v>
      </c>
      <c r="J20" s="24">
        <v>18</v>
      </c>
      <c r="K20" s="28">
        <v>-28.3</v>
      </c>
      <c r="L20" s="8">
        <f>H20*G20/100</f>
        <v>1.9219199999999999E-3</v>
      </c>
    </row>
    <row r="21" spans="1:14" x14ac:dyDescent="0.2">
      <c r="A21" s="23" t="s">
        <v>77</v>
      </c>
      <c r="B21" s="23" t="s">
        <v>75</v>
      </c>
      <c r="C21" s="29">
        <v>992</v>
      </c>
      <c r="D21" s="23" t="s">
        <v>76</v>
      </c>
      <c r="E21" s="24">
        <v>286387</v>
      </c>
      <c r="F21" s="25">
        <v>22.5</v>
      </c>
      <c r="G21" s="26">
        <v>0.87280000000000002</v>
      </c>
      <c r="H21" s="27">
        <v>0.22</v>
      </c>
      <c r="I21" s="24">
        <v>1092</v>
      </c>
      <c r="J21" s="24">
        <v>18</v>
      </c>
      <c r="K21" s="28">
        <v>-27.4</v>
      </c>
      <c r="L21" s="8">
        <f t="shared" ref="L21:L39" si="8">H21*G21/100</f>
        <v>1.92016E-3</v>
      </c>
    </row>
    <row r="22" spans="1:14" x14ac:dyDescent="0.2">
      <c r="A22" s="23" t="s">
        <v>78</v>
      </c>
      <c r="B22" s="23" t="s">
        <v>75</v>
      </c>
      <c r="C22" s="29">
        <v>993</v>
      </c>
      <c r="D22" s="23" t="s">
        <v>76</v>
      </c>
      <c r="E22" s="24">
        <v>219286</v>
      </c>
      <c r="F22" s="25">
        <v>17.3</v>
      </c>
      <c r="G22" s="26">
        <v>0.88239999999999996</v>
      </c>
      <c r="H22" s="27">
        <v>0.25</v>
      </c>
      <c r="I22" s="24">
        <v>1005</v>
      </c>
      <c r="J22" s="24">
        <v>20</v>
      </c>
      <c r="K22" s="28">
        <v>-31.8</v>
      </c>
      <c r="L22" s="8">
        <f t="shared" si="8"/>
        <v>2.2060000000000001E-3</v>
      </c>
    </row>
    <row r="23" spans="1:14" x14ac:dyDescent="0.2">
      <c r="A23" s="23" t="s">
        <v>79</v>
      </c>
      <c r="B23" s="23" t="s">
        <v>75</v>
      </c>
      <c r="C23" s="29">
        <v>994</v>
      </c>
      <c r="D23" s="23" t="s">
        <v>76</v>
      </c>
      <c r="E23" s="24">
        <v>302219</v>
      </c>
      <c r="F23" s="25">
        <v>23.4</v>
      </c>
      <c r="G23" s="26">
        <v>0.88090000000000002</v>
      </c>
      <c r="H23" s="27">
        <v>0.22</v>
      </c>
      <c r="I23" s="24">
        <v>1019</v>
      </c>
      <c r="J23" s="24">
        <v>18</v>
      </c>
      <c r="K23" s="28">
        <v>-26.6</v>
      </c>
      <c r="L23" s="8">
        <f t="shared" si="8"/>
        <v>1.93798E-3</v>
      </c>
    </row>
    <row r="24" spans="1:14" x14ac:dyDescent="0.2">
      <c r="A24" s="23" t="s">
        <v>80</v>
      </c>
      <c r="B24" s="23" t="s">
        <v>75</v>
      </c>
      <c r="C24" s="29">
        <v>995</v>
      </c>
      <c r="D24" s="23" t="s">
        <v>76</v>
      </c>
      <c r="E24" s="24">
        <v>282243</v>
      </c>
      <c r="F24" s="25">
        <v>21.9</v>
      </c>
      <c r="G24" s="26">
        <v>0.88200000000000001</v>
      </c>
      <c r="H24" s="27">
        <v>0.22</v>
      </c>
      <c r="I24" s="24">
        <v>1008</v>
      </c>
      <c r="J24" s="24">
        <v>18</v>
      </c>
      <c r="K24" s="28">
        <v>-26.8</v>
      </c>
      <c r="L24" s="8">
        <f t="shared" si="8"/>
        <v>1.9403999999999999E-3</v>
      </c>
    </row>
    <row r="25" spans="1:14" x14ac:dyDescent="0.2">
      <c r="A25" s="23" t="s">
        <v>81</v>
      </c>
      <c r="B25" s="23" t="s">
        <v>75</v>
      </c>
      <c r="C25" s="29">
        <v>996</v>
      </c>
      <c r="D25" s="23" t="s">
        <v>76</v>
      </c>
      <c r="E25" s="24">
        <v>293776</v>
      </c>
      <c r="F25" s="25">
        <v>22.7</v>
      </c>
      <c r="G25" s="26">
        <v>0.88149999999999995</v>
      </c>
      <c r="H25" s="27">
        <v>0.22</v>
      </c>
      <c r="I25" s="24">
        <v>1013</v>
      </c>
      <c r="J25" s="24">
        <v>18</v>
      </c>
      <c r="K25" s="28">
        <v>-26.4</v>
      </c>
      <c r="L25" s="8">
        <f t="shared" si="8"/>
        <v>1.9392999999999999E-3</v>
      </c>
    </row>
    <row r="26" spans="1:14" x14ac:dyDescent="0.2">
      <c r="A26" s="23" t="s">
        <v>82</v>
      </c>
      <c r="B26" s="23" t="s">
        <v>75</v>
      </c>
      <c r="C26" s="29">
        <v>997</v>
      </c>
      <c r="D26" s="23" t="s">
        <v>76</v>
      </c>
      <c r="E26" s="24">
        <v>318072</v>
      </c>
      <c r="F26" s="25">
        <v>24.7</v>
      </c>
      <c r="G26" s="26">
        <v>0.87919999999999998</v>
      </c>
      <c r="H26" s="27">
        <v>0.22</v>
      </c>
      <c r="I26" s="24">
        <v>1034</v>
      </c>
      <c r="J26" s="24">
        <v>17</v>
      </c>
      <c r="K26" s="28">
        <v>-27.8</v>
      </c>
      <c r="L26" s="8">
        <f t="shared" si="8"/>
        <v>1.9342399999999998E-3</v>
      </c>
    </row>
    <row r="27" spans="1:14" x14ac:dyDescent="0.2">
      <c r="A27" s="23" t="s">
        <v>83</v>
      </c>
      <c r="B27" s="23" t="s">
        <v>75</v>
      </c>
      <c r="C27" s="29">
        <v>1000</v>
      </c>
      <c r="D27" s="23" t="s">
        <v>76</v>
      </c>
      <c r="E27" s="24">
        <v>284717</v>
      </c>
      <c r="F27" s="25">
        <v>22.1</v>
      </c>
      <c r="G27" s="26">
        <v>0.88470000000000004</v>
      </c>
      <c r="H27" s="27">
        <v>0.22</v>
      </c>
      <c r="I27" s="24">
        <v>984</v>
      </c>
      <c r="J27" s="24">
        <v>18</v>
      </c>
      <c r="K27" s="28">
        <v>-27.9</v>
      </c>
      <c r="L27" s="8">
        <f t="shared" si="8"/>
        <v>1.94634E-3</v>
      </c>
    </row>
    <row r="28" spans="1:14" x14ac:dyDescent="0.2">
      <c r="L28" s="8">
        <f t="shared" si="8"/>
        <v>0</v>
      </c>
    </row>
    <row r="29" spans="1:14" x14ac:dyDescent="0.2">
      <c r="A29" s="31" t="s">
        <v>95</v>
      </c>
      <c r="B29" s="31" t="s">
        <v>75</v>
      </c>
      <c r="C29" s="31" t="s">
        <v>96</v>
      </c>
      <c r="D29" s="31" t="s">
        <v>76</v>
      </c>
      <c r="E29" s="32">
        <v>344290</v>
      </c>
      <c r="F29" s="33">
        <v>17.631860689881737</v>
      </c>
      <c r="G29" s="34">
        <v>0.88154043180729114</v>
      </c>
      <c r="H29" s="35">
        <v>0.21459534250218626</v>
      </c>
      <c r="I29" s="32">
        <v>1012.8267429522172</v>
      </c>
      <c r="J29" s="32">
        <v>17.238285036895729</v>
      </c>
      <c r="K29" s="36">
        <v>-24.951945737925474</v>
      </c>
      <c r="L29" s="8">
        <f t="shared" si="8"/>
        <v>1.8917447089321082E-3</v>
      </c>
      <c r="M29" s="32">
        <f>H29/100</f>
        <v>2.1459534250218627E-3</v>
      </c>
    </row>
    <row r="30" spans="1:14" x14ac:dyDescent="0.2">
      <c r="A30" s="31" t="s">
        <v>97</v>
      </c>
      <c r="B30" s="31" t="s">
        <v>75</v>
      </c>
      <c r="C30" s="31" t="s">
        <v>98</v>
      </c>
      <c r="D30" s="31" t="s">
        <v>76</v>
      </c>
      <c r="E30" s="32">
        <v>340419</v>
      </c>
      <c r="F30" s="33">
        <v>17.425947639285038</v>
      </c>
      <c r="G30" s="34">
        <v>0.88333432902708398</v>
      </c>
      <c r="H30" s="35">
        <v>0.21534947112300989</v>
      </c>
      <c r="I30" s="32">
        <v>996.49669066844137</v>
      </c>
      <c r="J30" s="32">
        <v>17.298863630860815</v>
      </c>
      <c r="K30" s="36">
        <v>-25.640003836920112</v>
      </c>
      <c r="L30" s="8">
        <f t="shared" si="8"/>
        <v>1.9022558058078135E-3</v>
      </c>
      <c r="M30" s="32">
        <f t="shared" ref="M30:M39" si="9">H30/100</f>
        <v>2.1534947112300988E-3</v>
      </c>
    </row>
    <row r="31" spans="1:14" x14ac:dyDescent="0.2">
      <c r="A31" s="31" t="s">
        <v>99</v>
      </c>
      <c r="B31" s="31" t="s">
        <v>75</v>
      </c>
      <c r="C31" s="31" t="s">
        <v>100</v>
      </c>
      <c r="D31" s="31" t="s">
        <v>76</v>
      </c>
      <c r="E31" s="32">
        <v>349860</v>
      </c>
      <c r="F31" s="33">
        <v>17.870822070579322</v>
      </c>
      <c r="G31" s="34">
        <v>0.88383459676428699</v>
      </c>
      <c r="H31" s="35">
        <v>0.21343541779414821</v>
      </c>
      <c r="I31" s="32">
        <v>991.94860954746196</v>
      </c>
      <c r="J31" s="32">
        <v>17.145109143582509</v>
      </c>
      <c r="K31" s="36">
        <v>-25.141975414004868</v>
      </c>
      <c r="L31" s="8">
        <f t="shared" si="8"/>
        <v>1.8864160642130812E-3</v>
      </c>
      <c r="M31" s="32">
        <f t="shared" si="9"/>
        <v>2.1343541779414821E-3</v>
      </c>
    </row>
    <row r="32" spans="1:14" x14ac:dyDescent="0.2">
      <c r="A32" s="31" t="s">
        <v>101</v>
      </c>
      <c r="B32" s="31" t="s">
        <v>75</v>
      </c>
      <c r="C32" s="31" t="s">
        <v>102</v>
      </c>
      <c r="D32" s="31" t="s">
        <v>76</v>
      </c>
      <c r="E32" s="32">
        <v>334605</v>
      </c>
      <c r="F32" s="33">
        <v>17.165080193698977</v>
      </c>
      <c r="G32" s="34">
        <v>0.88078240130816976</v>
      </c>
      <c r="H32" s="35">
        <v>0.21656531400072909</v>
      </c>
      <c r="I32" s="32">
        <v>1019.7371717989586</v>
      </c>
      <c r="J32" s="32">
        <v>17.396531389358369</v>
      </c>
      <c r="K32" s="36">
        <v>-24.989010320698334</v>
      </c>
      <c r="L32" s="8">
        <f t="shared" si="8"/>
        <v>1.9074691730561995E-3</v>
      </c>
      <c r="M32" s="32">
        <f t="shared" si="9"/>
        <v>2.1656531400072909E-3</v>
      </c>
      <c r="N32" s="32"/>
    </row>
    <row r="33" spans="1:14" x14ac:dyDescent="0.2">
      <c r="A33" s="31" t="s">
        <v>103</v>
      </c>
      <c r="B33" s="31" t="s">
        <v>75</v>
      </c>
      <c r="C33" s="31" t="s">
        <v>104</v>
      </c>
      <c r="D33" s="31" t="s">
        <v>76</v>
      </c>
      <c r="E33" s="32">
        <v>356844</v>
      </c>
      <c r="F33" s="33">
        <v>18.262098907641487</v>
      </c>
      <c r="G33" s="34">
        <v>0.8816545990709459</v>
      </c>
      <c r="H33" s="35">
        <v>0.21209321091272657</v>
      </c>
      <c r="I33" s="32">
        <v>1011.7864755235865</v>
      </c>
      <c r="J33" s="32">
        <v>17.037290658192063</v>
      </c>
      <c r="K33" s="36">
        <v>-25.199545750683839</v>
      </c>
      <c r="L33" s="8">
        <f t="shared" si="8"/>
        <v>1.8699295483292952E-3</v>
      </c>
      <c r="M33" s="32">
        <f t="shared" si="9"/>
        <v>2.1209321091272657E-3</v>
      </c>
      <c r="N33" s="32"/>
    </row>
    <row r="34" spans="1:14" x14ac:dyDescent="0.2">
      <c r="A34" s="31" t="s">
        <v>105</v>
      </c>
      <c r="B34" s="31" t="s">
        <v>75</v>
      </c>
      <c r="C34" s="31" t="s">
        <v>106</v>
      </c>
      <c r="D34" s="31" t="s">
        <v>76</v>
      </c>
      <c r="E34" s="32">
        <v>347064</v>
      </c>
      <c r="F34" s="33">
        <v>17.809670115193011</v>
      </c>
      <c r="G34" s="34">
        <v>0.87991718033190336</v>
      </c>
      <c r="H34" s="35">
        <v>0.21404445066182734</v>
      </c>
      <c r="I34" s="32">
        <v>1027.6320525583342</v>
      </c>
      <c r="J34" s="32">
        <v>17.194032303085766</v>
      </c>
      <c r="K34" s="36">
        <v>-25.149632916978693</v>
      </c>
      <c r="L34" s="8">
        <f t="shared" si="8"/>
        <v>1.8834138949204633E-3</v>
      </c>
      <c r="M34" s="32">
        <f t="shared" si="9"/>
        <v>2.1404445066182734E-3</v>
      </c>
      <c r="N34" s="32"/>
    </row>
    <row r="35" spans="1:14" x14ac:dyDescent="0.2">
      <c r="A35" s="31" t="s">
        <v>107</v>
      </c>
      <c r="B35" s="31" t="s">
        <v>75</v>
      </c>
      <c r="C35" s="31" t="s">
        <v>108</v>
      </c>
      <c r="D35" s="31" t="s">
        <v>76</v>
      </c>
      <c r="E35" s="32">
        <v>371540</v>
      </c>
      <c r="F35" s="33">
        <v>18.868009069547988</v>
      </c>
      <c r="G35" s="34">
        <v>0.88332140384666669</v>
      </c>
      <c r="H35" s="35">
        <v>0.20942360785174266</v>
      </c>
      <c r="I35" s="32">
        <v>996.61423141590387</v>
      </c>
      <c r="J35" s="32">
        <v>16.822843420129846</v>
      </c>
      <c r="K35" s="36">
        <v>-22.841110222727611</v>
      </c>
      <c r="L35" s="8">
        <f t="shared" si="8"/>
        <v>1.8498835528623515E-3</v>
      </c>
      <c r="M35" s="32">
        <f t="shared" si="9"/>
        <v>2.0942360785174267E-3</v>
      </c>
      <c r="N35" s="32"/>
    </row>
    <row r="36" spans="1:14" x14ac:dyDescent="0.2">
      <c r="A36" s="31" t="s">
        <v>109</v>
      </c>
      <c r="B36" s="31" t="s">
        <v>75</v>
      </c>
      <c r="C36" s="31" t="s">
        <v>110</v>
      </c>
      <c r="D36" s="31" t="s">
        <v>76</v>
      </c>
      <c r="E36" s="32">
        <v>356881</v>
      </c>
      <c r="F36" s="33">
        <v>18.270595243242997</v>
      </c>
      <c r="G36" s="34">
        <v>0.88177219877532331</v>
      </c>
      <c r="H36" s="35">
        <v>0.2121791160622804</v>
      </c>
      <c r="I36" s="32">
        <v>1010.7150732697152</v>
      </c>
      <c r="J36" s="32">
        <v>17.044191355275604</v>
      </c>
      <c r="K36" s="36">
        <v>-25.534450984499134</v>
      </c>
      <c r="L36" s="8">
        <f t="shared" si="8"/>
        <v>1.870936457044415E-3</v>
      </c>
      <c r="M36" s="32">
        <f t="shared" si="9"/>
        <v>2.1217911606228042E-3</v>
      </c>
      <c r="N36" s="32"/>
    </row>
    <row r="37" spans="1:14" x14ac:dyDescent="0.2">
      <c r="A37" s="31" t="s">
        <v>111</v>
      </c>
      <c r="B37" s="31" t="s">
        <v>75</v>
      </c>
      <c r="C37" s="31" t="s">
        <v>112</v>
      </c>
      <c r="D37" s="31" t="s">
        <v>76</v>
      </c>
      <c r="E37" s="32">
        <v>352764</v>
      </c>
      <c r="F37" s="33">
        <v>18.195449787814205</v>
      </c>
      <c r="G37" s="34">
        <v>0.87333457705560613</v>
      </c>
      <c r="H37" s="35">
        <v>0.21295491503230546</v>
      </c>
      <c r="I37" s="32">
        <v>1087.9517564074231</v>
      </c>
      <c r="J37" s="32">
        <v>17.106510712353383</v>
      </c>
      <c r="K37" s="36">
        <v>-24.403147289418502</v>
      </c>
      <c r="L37" s="8">
        <f t="shared" si="8"/>
        <v>1.8598089065165102E-3</v>
      </c>
      <c r="M37" s="32">
        <f t="shared" si="9"/>
        <v>2.1295491503230545E-3</v>
      </c>
      <c r="N37" s="32"/>
    </row>
    <row r="38" spans="1:14" x14ac:dyDescent="0.2">
      <c r="A38" s="31" t="s">
        <v>113</v>
      </c>
      <c r="B38" s="31" t="s">
        <v>75</v>
      </c>
      <c r="C38" s="31" t="s">
        <v>114</v>
      </c>
      <c r="D38" s="31" t="s">
        <v>76</v>
      </c>
      <c r="E38" s="32">
        <v>341614</v>
      </c>
      <c r="F38" s="33">
        <v>17.569160787073269</v>
      </c>
      <c r="G38" s="34">
        <v>0.87666482383061861</v>
      </c>
      <c r="H38" s="35">
        <v>0.21513373145151155</v>
      </c>
      <c r="I38" s="32">
        <v>1057.3784223310884</v>
      </c>
      <c r="J38" s="32">
        <v>17.2815334227226</v>
      </c>
      <c r="K38" s="36">
        <v>-24.342331922086569</v>
      </c>
      <c r="L38" s="8">
        <f t="shared" si="8"/>
        <v>1.8860017478296298E-3</v>
      </c>
      <c r="M38" s="32">
        <f t="shared" si="9"/>
        <v>2.1513373145151155E-3</v>
      </c>
      <c r="N38" s="32"/>
    </row>
    <row r="39" spans="1:14" x14ac:dyDescent="0.2">
      <c r="A39" s="31" t="s">
        <v>115</v>
      </c>
      <c r="B39" s="31" t="s">
        <v>75</v>
      </c>
      <c r="C39" s="31" t="s">
        <v>116</v>
      </c>
      <c r="D39" s="31" t="s">
        <v>76</v>
      </c>
      <c r="E39" s="32">
        <v>359247</v>
      </c>
      <c r="F39" s="33">
        <v>18.445518395059725</v>
      </c>
      <c r="G39" s="34">
        <v>0.87665423164948109</v>
      </c>
      <c r="H39" s="35">
        <v>0.2118449457331634</v>
      </c>
      <c r="I39" s="32">
        <v>1057.4754796314858</v>
      </c>
      <c r="J39" s="32">
        <v>17.01734770006378</v>
      </c>
      <c r="K39" s="36">
        <v>-24.341625368654697</v>
      </c>
      <c r="L39" s="8">
        <f t="shared" si="8"/>
        <v>1.8571476813053238E-3</v>
      </c>
      <c r="M39" s="32">
        <f t="shared" si="9"/>
        <v>2.118449457331634E-3</v>
      </c>
      <c r="N39" s="32"/>
    </row>
    <row r="40" spans="1:14" x14ac:dyDescent="0.2">
      <c r="N40" s="32"/>
    </row>
    <row r="41" spans="1:14" x14ac:dyDescent="0.2">
      <c r="N41" s="32"/>
    </row>
    <row r="42" spans="1:14" x14ac:dyDescent="0.2">
      <c r="N42" s="32"/>
    </row>
  </sheetData>
  <sortState ref="U4:Y14">
    <sortCondition descending="1" ref="Y4:Y14"/>
  </sortState>
  <mergeCells count="3">
    <mergeCell ref="D3:F3"/>
    <mergeCell ref="G3:I3"/>
    <mergeCell ref="K3:M3"/>
  </mergeCells>
  <pageMargins left="0.75" right="0.75" top="1" bottom="1" header="0.5" footer="0.5"/>
  <pageSetup paperSize="9" orientation="portrait" horizontalDpi="4294967292" verticalDpi="429496729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workbookViewId="0">
      <selection activeCell="Q1" sqref="Q1:AE1048576"/>
    </sheetView>
  </sheetViews>
  <sheetFormatPr baseColWidth="10" defaultColWidth="11" defaultRowHeight="16" x14ac:dyDescent="0.2"/>
  <cols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3.6640625" customWidth="1"/>
    <col min="13" max="13" width="6" customWidth="1"/>
    <col min="17" max="17" width="0" hidden="1" customWidth="1"/>
    <col min="18" max="18" width="12.6640625" hidden="1" customWidth="1"/>
    <col min="19" max="19" width="0" hidden="1" customWidth="1"/>
    <col min="20" max="20" width="45.1640625" hidden="1" customWidth="1"/>
    <col min="21" max="30" width="0" hidden="1" customWidth="1"/>
    <col min="31" max="31" width="11" hidden="1" customWidth="1"/>
  </cols>
  <sheetData>
    <row r="1" spans="1:25" x14ac:dyDescent="0.2">
      <c r="A1" s="1" t="s">
        <v>130</v>
      </c>
      <c r="F1" s="19"/>
      <c r="G1" s="19"/>
      <c r="Q1" s="45" t="s">
        <v>153</v>
      </c>
      <c r="U1" s="45" t="s">
        <v>153</v>
      </c>
    </row>
    <row r="3" spans="1:25" x14ac:dyDescent="0.2">
      <c r="A3" s="38"/>
      <c r="B3" s="38" t="s">
        <v>17</v>
      </c>
      <c r="C3" s="39" t="s">
        <v>15</v>
      </c>
      <c r="D3" s="345" t="s">
        <v>1</v>
      </c>
      <c r="E3" s="345"/>
      <c r="F3" s="345"/>
      <c r="G3" s="345" t="s">
        <v>2</v>
      </c>
      <c r="H3" s="345"/>
      <c r="I3" s="345"/>
      <c r="J3" s="38" t="s">
        <v>3</v>
      </c>
      <c r="K3" s="346" t="s">
        <v>16</v>
      </c>
      <c r="L3" s="345"/>
      <c r="M3" s="345"/>
    </row>
    <row r="4" spans="1:25" x14ac:dyDescent="0.2">
      <c r="A4" s="40" t="s">
        <v>143</v>
      </c>
      <c r="B4" s="29">
        <v>991</v>
      </c>
      <c r="C4" s="30">
        <f>1950-B4</f>
        <v>959</v>
      </c>
      <c r="D4" s="8">
        <f>U4</f>
        <v>0.87123245115821835</v>
      </c>
      <c r="E4" s="2" t="s">
        <v>5</v>
      </c>
      <c r="F4" s="13">
        <f>W4</f>
        <v>1.8067069518721936E-3</v>
      </c>
      <c r="G4" s="12">
        <f>-8033*LN(D4)</f>
        <v>1107.3206071785989</v>
      </c>
      <c r="H4" s="2" t="s">
        <v>5</v>
      </c>
      <c r="I4" s="4">
        <f>F4/D4*8033</f>
        <v>16.658329157844555</v>
      </c>
      <c r="J4" s="15">
        <f>X4</f>
        <v>-21.980144184066464</v>
      </c>
      <c r="K4" s="9">
        <f>(EXP(C4/8267)*EXP(-G4/8033)-1)*1000</f>
        <v>-21.60623990566657</v>
      </c>
      <c r="L4" s="2" t="s">
        <v>5</v>
      </c>
      <c r="M4" s="14">
        <f>I4/8.033</f>
        <v>2.0737369796893508</v>
      </c>
      <c r="U4" s="34">
        <f>W31</f>
        <v>0.87123245115821835</v>
      </c>
      <c r="W4" s="8">
        <f>AB31</f>
        <v>1.8067069518721936E-3</v>
      </c>
      <c r="X4" s="36">
        <f>AA31</f>
        <v>-21.980144184066464</v>
      </c>
      <c r="Y4">
        <v>11</v>
      </c>
    </row>
    <row r="5" spans="1:25" x14ac:dyDescent="0.2">
      <c r="A5" s="40" t="s">
        <v>144</v>
      </c>
      <c r="B5" s="29">
        <v>992</v>
      </c>
      <c r="C5" s="30">
        <f>1950-B5</f>
        <v>958</v>
      </c>
      <c r="D5" s="8">
        <f>(1/W5^2*U5+1/S5^2*Q5)/(1/S5^2+1/W5^2)</f>
        <v>0.87146312218650335</v>
      </c>
      <c r="E5" s="2" t="s">
        <v>5</v>
      </c>
      <c r="F5" s="13">
        <f>SQRT(1/(1/S5^2+1/W5^2))</f>
        <v>1.3095993131884429E-3</v>
      </c>
      <c r="G5" s="12">
        <f t="shared" ref="G5:G13" si="0">-8033*LN(D5)</f>
        <v>1105.1940391085616</v>
      </c>
      <c r="H5" s="2" t="s">
        <v>5</v>
      </c>
      <c r="I5" s="4">
        <f t="shared" ref="I5:I13" si="1">F5/D5*8033</f>
        <v>12.071665472714468</v>
      </c>
      <c r="J5" s="15">
        <f>(1/W5^2*X5+1/S5^2*T5)/(1/S5^2+1/W5^2)</f>
        <v>-25.262463401543219</v>
      </c>
      <c r="K5" s="9">
        <f t="shared" ref="K5:K13" si="2">(EXP(C5/8267)*EXP(-G5/8033)-1)*1000</f>
        <v>-21.465569902546221</v>
      </c>
      <c r="L5" s="2" t="s">
        <v>5</v>
      </c>
      <c r="M5" s="14">
        <f t="shared" ref="M5:M13" si="3">I5/8.033</f>
        <v>1.5027593019686878</v>
      </c>
      <c r="Q5" s="26">
        <f>W22</f>
        <v>0.8709194550778242</v>
      </c>
      <c r="S5" s="26">
        <f>AB22</f>
        <v>1.8798132262293501E-3</v>
      </c>
      <c r="T5" s="28">
        <v>-28.3</v>
      </c>
      <c r="U5" s="34">
        <f t="shared" ref="U5:U13" si="4">W32</f>
        <v>0.8719758199578268</v>
      </c>
      <c r="W5" s="8">
        <f t="shared" ref="W5:W12" si="5">AB32</f>
        <v>1.8254875948118504E-3</v>
      </c>
      <c r="X5" s="36">
        <f t="shared" ref="X5:X12" si="6">AA32</f>
        <v>-22.397956390763696</v>
      </c>
      <c r="Y5">
        <v>10</v>
      </c>
    </row>
    <row r="6" spans="1:25" x14ac:dyDescent="0.2">
      <c r="A6" s="40" t="s">
        <v>145</v>
      </c>
      <c r="B6" s="29">
        <v>993</v>
      </c>
      <c r="C6" s="30">
        <f t="shared" ref="C6:C13" si="7">1950-B6</f>
        <v>957</v>
      </c>
      <c r="D6" s="8">
        <f>(1/W6^2*U6+1/S6^2*Q6)/(1/S6^2+1/W6^2)</f>
        <v>0.881111766835733</v>
      </c>
      <c r="E6" s="2" t="s">
        <v>5</v>
      </c>
      <c r="F6" s="13">
        <f>SQRT(1/(1/S6^2+1/W6^2))</f>
        <v>1.3261386536810734E-3</v>
      </c>
      <c r="G6" s="12">
        <f t="shared" si="0"/>
        <v>1016.7432162192791</v>
      </c>
      <c r="H6" s="2" t="s">
        <v>5</v>
      </c>
      <c r="I6" s="4">
        <f t="shared" si="1"/>
        <v>12.090261651228285</v>
      </c>
      <c r="J6" s="15">
        <f>(1/W6^2*X6+1/S6^2*T6)/(1/S6^2+1/W6^2)</f>
        <v>-27.272381863044046</v>
      </c>
      <c r="K6" s="9">
        <f t="shared" si="2"/>
        <v>-10.751125310574871</v>
      </c>
      <c r="L6" s="2" t="s">
        <v>5</v>
      </c>
      <c r="M6" s="14">
        <f t="shared" si="3"/>
        <v>1.505074275019082</v>
      </c>
      <c r="Q6" s="26">
        <f>W23</f>
        <v>0.88257318834622767</v>
      </c>
      <c r="R6" s="2" t="s">
        <v>5</v>
      </c>
      <c r="S6" s="26">
        <f>AB23</f>
        <v>1.8791927638596893E-3</v>
      </c>
      <c r="T6" s="28">
        <v>-31.8</v>
      </c>
      <c r="U6" s="34">
        <f t="shared" si="4"/>
        <v>0.87966195113546664</v>
      </c>
      <c r="W6" s="8">
        <f t="shared" si="5"/>
        <v>1.8717161299382373E-3</v>
      </c>
      <c r="X6" s="36">
        <f t="shared" si="6"/>
        <v>-22.780719592691788</v>
      </c>
      <c r="Y6">
        <v>8</v>
      </c>
    </row>
    <row r="7" spans="1:25" x14ac:dyDescent="0.2">
      <c r="A7" s="40" t="s">
        <v>146</v>
      </c>
      <c r="B7" s="29">
        <v>994</v>
      </c>
      <c r="C7" s="30">
        <f t="shared" si="7"/>
        <v>956</v>
      </c>
      <c r="D7" s="8">
        <f t="shared" ref="D7:D13" si="8">U7</f>
        <v>0.87942017795857275</v>
      </c>
      <c r="E7" s="2" t="s">
        <v>5</v>
      </c>
      <c r="F7" s="13">
        <f>W7</f>
        <v>1.8742442086939015E-3</v>
      </c>
      <c r="G7" s="12">
        <f t="shared" si="0"/>
        <v>1032.1800705996991</v>
      </c>
      <c r="H7" s="2" t="s">
        <v>5</v>
      </c>
      <c r="I7" s="4">
        <f t="shared" si="1"/>
        <v>17.120148145096746</v>
      </c>
      <c r="J7" s="15">
        <f>X7</f>
        <v>-22.046748052715891</v>
      </c>
      <c r="K7" s="9">
        <f>(EXP(C7/8267)*EXP(-G7/8033)-1)*1000</f>
        <v>-12.76974497382577</v>
      </c>
      <c r="L7" s="2" t="s">
        <v>5</v>
      </c>
      <c r="M7" s="14">
        <f t="shared" si="3"/>
        <v>2.1312272059127033</v>
      </c>
      <c r="Q7" s="26"/>
      <c r="S7" s="26"/>
      <c r="T7" s="28">
        <v>-26.6</v>
      </c>
      <c r="U7" s="34">
        <f t="shared" si="4"/>
        <v>0.87942017795857275</v>
      </c>
      <c r="W7" s="8">
        <f t="shared" si="5"/>
        <v>1.8742442086939015E-3</v>
      </c>
      <c r="X7" s="36">
        <f t="shared" si="6"/>
        <v>-22.046748052715891</v>
      </c>
      <c r="Y7">
        <v>7</v>
      </c>
    </row>
    <row r="8" spans="1:25" x14ac:dyDescent="0.2">
      <c r="A8" s="40" t="s">
        <v>147</v>
      </c>
      <c r="B8" s="29">
        <v>995</v>
      </c>
      <c r="C8" s="30">
        <f t="shared" si="7"/>
        <v>955</v>
      </c>
      <c r="D8" s="8">
        <f t="shared" si="8"/>
        <v>0.87979452847302275</v>
      </c>
      <c r="E8" s="2" t="s">
        <v>5</v>
      </c>
      <c r="F8" s="13">
        <f t="shared" ref="F8:F13" si="9">W8</f>
        <v>1.8835282195709779E-3</v>
      </c>
      <c r="G8" s="12">
        <f t="shared" si="0"/>
        <v>1028.7613204983359</v>
      </c>
      <c r="H8" s="2" t="s">
        <v>5</v>
      </c>
      <c r="I8" s="4">
        <f t="shared" si="1"/>
        <v>17.197631603908764</v>
      </c>
      <c r="J8" s="15">
        <f t="shared" ref="J8:J13" si="10">X8</f>
        <v>-22.118800449133168</v>
      </c>
      <c r="K8" s="9">
        <f t="shared" si="2"/>
        <v>-12.468963804462053</v>
      </c>
      <c r="L8" s="2" t="s">
        <v>5</v>
      </c>
      <c r="M8" s="14">
        <f t="shared" si="3"/>
        <v>2.1408728499824181</v>
      </c>
      <c r="Q8" s="26"/>
      <c r="S8" s="26"/>
      <c r="T8" s="28">
        <v>-26.8</v>
      </c>
      <c r="U8" s="34">
        <f t="shared" si="4"/>
        <v>0.87979452847302275</v>
      </c>
      <c r="W8" s="8">
        <f t="shared" si="5"/>
        <v>1.8835282195709779E-3</v>
      </c>
      <c r="X8" s="36">
        <f t="shared" si="6"/>
        <v>-22.118800449133168</v>
      </c>
      <c r="Y8">
        <v>6</v>
      </c>
    </row>
    <row r="9" spans="1:25" x14ac:dyDescent="0.2">
      <c r="A9" s="40" t="s">
        <v>148</v>
      </c>
      <c r="B9" s="29">
        <v>996</v>
      </c>
      <c r="C9" s="30">
        <f t="shared" si="7"/>
        <v>954</v>
      </c>
      <c r="D9" s="8">
        <f t="shared" si="8"/>
        <v>0.88194897503103009</v>
      </c>
      <c r="E9" s="2" t="s">
        <v>5</v>
      </c>
      <c r="F9" s="13">
        <f t="shared" si="9"/>
        <v>1.8902707136703395E-3</v>
      </c>
      <c r="G9" s="12">
        <f t="shared" si="0"/>
        <v>1009.1141042112583</v>
      </c>
      <c r="H9" s="2" t="s">
        <v>5</v>
      </c>
      <c r="I9" s="4">
        <f t="shared" si="1"/>
        <v>17.217033040238626</v>
      </c>
      <c r="J9" s="15">
        <f t="shared" si="10"/>
        <v>-21.980813396956677</v>
      </c>
      <c r="K9" s="9">
        <f t="shared" si="2"/>
        <v>-10.170431248096135</v>
      </c>
      <c r="L9" s="2" t="s">
        <v>5</v>
      </c>
      <c r="M9" s="14">
        <f t="shared" si="3"/>
        <v>2.143288066754466</v>
      </c>
      <c r="Q9" s="26"/>
      <c r="S9" s="26"/>
      <c r="T9" s="28">
        <v>-26.4</v>
      </c>
      <c r="U9" s="34">
        <f t="shared" si="4"/>
        <v>0.88194897503103009</v>
      </c>
      <c r="W9" s="8">
        <f t="shared" si="5"/>
        <v>1.8902707136703395E-3</v>
      </c>
      <c r="X9" s="36">
        <f t="shared" si="6"/>
        <v>-21.980813396956677</v>
      </c>
      <c r="Y9">
        <v>5</v>
      </c>
    </row>
    <row r="10" spans="1:25" x14ac:dyDescent="0.2">
      <c r="A10" s="40" t="s">
        <v>149</v>
      </c>
      <c r="B10" s="29">
        <v>997</v>
      </c>
      <c r="C10" s="30">
        <f t="shared" si="7"/>
        <v>953</v>
      </c>
      <c r="D10" s="8">
        <f t="shared" si="8"/>
        <v>0.8821347361270756</v>
      </c>
      <c r="E10" s="2" t="s">
        <v>5</v>
      </c>
      <c r="F10" s="13">
        <f t="shared" si="9"/>
        <v>1.9001044230681241E-3</v>
      </c>
      <c r="G10" s="12">
        <f t="shared" si="0"/>
        <v>1007.4223263431101</v>
      </c>
      <c r="H10" s="2" t="s">
        <v>5</v>
      </c>
      <c r="I10" s="4">
        <f t="shared" si="1"/>
        <v>17.302956346010458</v>
      </c>
      <c r="J10" s="15">
        <f t="shared" si="10"/>
        <v>-22.374149519143959</v>
      </c>
      <c r="K10" s="9">
        <f t="shared" si="2"/>
        <v>-10.081698325274724</v>
      </c>
      <c r="L10" s="2" t="s">
        <v>5</v>
      </c>
      <c r="M10" s="14">
        <f t="shared" si="3"/>
        <v>2.1539843577754834</v>
      </c>
      <c r="O10" s="40"/>
      <c r="Q10" s="26"/>
      <c r="S10" s="26"/>
      <c r="T10" s="28">
        <v>-27.8</v>
      </c>
      <c r="U10" s="34">
        <f t="shared" si="4"/>
        <v>0.8821347361270756</v>
      </c>
      <c r="V10" s="2" t="s">
        <v>5</v>
      </c>
      <c r="W10" s="8">
        <f t="shared" si="5"/>
        <v>1.9001044230681241E-3</v>
      </c>
      <c r="X10" s="36">
        <f t="shared" si="6"/>
        <v>-22.374149519143959</v>
      </c>
      <c r="Y10">
        <v>4</v>
      </c>
    </row>
    <row r="11" spans="1:25" x14ac:dyDescent="0.2">
      <c r="A11" s="40" t="s">
        <v>150</v>
      </c>
      <c r="B11" s="29">
        <v>998</v>
      </c>
      <c r="C11" s="30">
        <f t="shared" si="7"/>
        <v>952</v>
      </c>
      <c r="D11" s="8">
        <f t="shared" si="8"/>
        <v>0.87965710945585585</v>
      </c>
      <c r="E11" s="2" t="s">
        <v>5</v>
      </c>
      <c r="F11" s="13">
        <f t="shared" si="9"/>
        <v>1.8555968570470095E-3</v>
      </c>
      <c r="G11" s="12">
        <f t="shared" si="0"/>
        <v>1030.0161284661704</v>
      </c>
      <c r="H11" s="2" t="s">
        <v>5</v>
      </c>
      <c r="I11" s="4">
        <f t="shared" si="1"/>
        <v>16.945249907522815</v>
      </c>
      <c r="J11" s="15">
        <f t="shared" si="10"/>
        <v>-22.445319742875334</v>
      </c>
      <c r="K11" s="9">
        <f t="shared" si="2"/>
        <v>-12.981453434549151</v>
      </c>
      <c r="L11" s="2" t="s">
        <v>5</v>
      </c>
      <c r="M11" s="14">
        <f t="shared" si="3"/>
        <v>2.1094547376475559</v>
      </c>
      <c r="U11" s="34">
        <f t="shared" si="4"/>
        <v>0.87965710945585585</v>
      </c>
      <c r="W11" s="8">
        <f t="shared" si="5"/>
        <v>1.8555968570470095E-3</v>
      </c>
      <c r="X11" s="36">
        <f t="shared" si="6"/>
        <v>-22.445319742875334</v>
      </c>
      <c r="Y11">
        <v>3</v>
      </c>
    </row>
    <row r="12" spans="1:25" x14ac:dyDescent="0.2">
      <c r="A12" s="40" t="s">
        <v>151</v>
      </c>
      <c r="B12" s="29">
        <v>999</v>
      </c>
      <c r="C12" s="30">
        <f t="shared" si="7"/>
        <v>951</v>
      </c>
      <c r="D12" s="8">
        <f t="shared" si="8"/>
        <v>0.87480068805788747</v>
      </c>
      <c r="E12" s="2" t="s">
        <v>5</v>
      </c>
      <c r="F12" s="13">
        <f t="shared" si="9"/>
        <v>1.8285392906546461E-3</v>
      </c>
      <c r="G12" s="12">
        <f t="shared" si="0"/>
        <v>1074.4876829058583</v>
      </c>
      <c r="H12" s="2" t="s">
        <v>5</v>
      </c>
      <c r="I12" s="4">
        <f t="shared" si="1"/>
        <v>16.790860275199957</v>
      </c>
      <c r="J12" s="15">
        <f t="shared" si="10"/>
        <v>-20.758545203895196</v>
      </c>
      <c r="K12" s="9">
        <f t="shared" si="2"/>
        <v>-18.549323392951457</v>
      </c>
      <c r="L12" s="2" t="s">
        <v>5</v>
      </c>
      <c r="M12" s="14">
        <f t="shared" si="3"/>
        <v>2.0902353137308549</v>
      </c>
      <c r="U12" s="34">
        <f t="shared" si="4"/>
        <v>0.87480068805788747</v>
      </c>
      <c r="W12" s="8">
        <f t="shared" si="5"/>
        <v>1.8285392906546461E-3</v>
      </c>
      <c r="X12" s="36">
        <f t="shared" si="6"/>
        <v>-20.758545203895196</v>
      </c>
      <c r="Y12">
        <v>2</v>
      </c>
    </row>
    <row r="13" spans="1:25" x14ac:dyDescent="0.2">
      <c r="A13" s="40" t="s">
        <v>152</v>
      </c>
      <c r="B13" s="29">
        <v>1000</v>
      </c>
      <c r="C13" s="30">
        <f t="shared" si="7"/>
        <v>950</v>
      </c>
      <c r="D13" s="8">
        <f t="shared" si="8"/>
        <v>0.88268465629111903</v>
      </c>
      <c r="E13" s="2" t="s">
        <v>5</v>
      </c>
      <c r="F13" s="13">
        <f t="shared" si="9"/>
        <v>1.9060462613314855E-3</v>
      </c>
      <c r="G13" s="12">
        <f t="shared" si="0"/>
        <v>1002.4161383561556</v>
      </c>
      <c r="H13" s="2" t="s">
        <v>5</v>
      </c>
      <c r="I13" s="4">
        <f t="shared" si="1"/>
        <v>17.346251017448296</v>
      </c>
      <c r="J13" s="15">
        <f t="shared" si="10"/>
        <v>-22.169430687236648</v>
      </c>
      <c r="K13" s="9">
        <f t="shared" si="2"/>
        <v>-9.8239749977087065</v>
      </c>
      <c r="L13" s="2" t="s">
        <v>5</v>
      </c>
      <c r="M13" s="14">
        <f t="shared" si="3"/>
        <v>2.1593739595976964</v>
      </c>
      <c r="Q13" s="26"/>
      <c r="S13" s="26"/>
      <c r="T13" s="28">
        <v>-27.9</v>
      </c>
      <c r="U13" s="34">
        <f t="shared" si="4"/>
        <v>0.88268465629111903</v>
      </c>
      <c r="W13" s="8">
        <f>AB40</f>
        <v>1.9060462613314855E-3</v>
      </c>
      <c r="X13" s="36">
        <f>AA40</f>
        <v>-22.169430687236648</v>
      </c>
      <c r="Y13">
        <v>1</v>
      </c>
    </row>
    <row r="14" spans="1:25" s="48" customFormat="1" x14ac:dyDescent="0.2">
      <c r="E14" s="49"/>
      <c r="G14" s="50"/>
      <c r="H14" s="49"/>
    </row>
    <row r="15" spans="1:25" s="46" customFormat="1" x14ac:dyDescent="0.2">
      <c r="E15" s="47"/>
      <c r="H15" s="47"/>
    </row>
    <row r="22" spans="14:29" customFormat="1" x14ac:dyDescent="0.2">
      <c r="N22" s="32"/>
      <c r="Q22" s="40" t="s">
        <v>133</v>
      </c>
      <c r="R22" s="31" t="s">
        <v>130</v>
      </c>
      <c r="S22" s="40" t="s">
        <v>112</v>
      </c>
      <c r="T22" s="40" t="s">
        <v>129</v>
      </c>
      <c r="U22" s="42">
        <v>316230</v>
      </c>
      <c r="V22" s="43">
        <v>17.814964577877006</v>
      </c>
      <c r="W22" s="41">
        <v>0.8709194550778242</v>
      </c>
      <c r="X22" s="51">
        <v>0.21584237385779523</v>
      </c>
      <c r="Y22" s="32">
        <v>991.94860954746196</v>
      </c>
      <c r="Z22" s="32">
        <v>17.145109143582509</v>
      </c>
      <c r="AA22" s="44">
        <v>-20.419454623324619</v>
      </c>
      <c r="AB22" s="8">
        <f>X22*W22/100</f>
        <v>1.8798132262293501E-3</v>
      </c>
      <c r="AC22" s="32">
        <f>X22/100</f>
        <v>2.1584237385779523E-3</v>
      </c>
    </row>
    <row r="23" spans="14:29" customFormat="1" x14ac:dyDescent="0.2">
      <c r="N23" s="32"/>
      <c r="Q23" s="40" t="s">
        <v>135</v>
      </c>
      <c r="R23" s="31" t="s">
        <v>130</v>
      </c>
      <c r="S23" s="40" t="s">
        <v>110</v>
      </c>
      <c r="T23" s="40" t="s">
        <v>129</v>
      </c>
      <c r="U23" s="42">
        <v>352330</v>
      </c>
      <c r="V23" s="43">
        <v>19.601736146587676</v>
      </c>
      <c r="W23" s="41">
        <v>0.88257318834622767</v>
      </c>
      <c r="X23" s="51">
        <v>0.212922031699256</v>
      </c>
      <c r="Y23" s="32">
        <v>1011.7864755235865</v>
      </c>
      <c r="Z23" s="32">
        <v>17.037290658192063</v>
      </c>
      <c r="AA23" s="44">
        <v>-23.686913274893584</v>
      </c>
      <c r="AB23" s="8">
        <f>X23*W23/100</f>
        <v>1.8791927638596893E-3</v>
      </c>
      <c r="AC23" s="32">
        <f>X23/100</f>
        <v>2.12922031699256E-3</v>
      </c>
    </row>
    <row r="24" spans="14:29" customFormat="1" x14ac:dyDescent="0.2">
      <c r="Q24" s="23"/>
      <c r="R24" s="23"/>
      <c r="S24" s="29"/>
      <c r="T24" s="23"/>
      <c r="U24" s="24"/>
      <c r="V24" s="25"/>
      <c r="W24" s="26"/>
      <c r="X24" s="27"/>
      <c r="Y24" s="24"/>
      <c r="Z24" s="24"/>
      <c r="AA24" s="28"/>
      <c r="AB24" s="8"/>
    </row>
    <row r="25" spans="14:29" customFormat="1" x14ac:dyDescent="0.2">
      <c r="Q25" s="23"/>
      <c r="R25" s="23"/>
      <c r="S25" s="29"/>
      <c r="T25" s="23"/>
      <c r="U25" s="24"/>
      <c r="V25" s="25"/>
      <c r="W25" s="26"/>
      <c r="X25" s="27"/>
      <c r="Y25" s="24"/>
      <c r="Z25" s="24"/>
      <c r="AA25" s="28"/>
      <c r="AB25" s="8"/>
    </row>
    <row r="26" spans="14:29" customFormat="1" x14ac:dyDescent="0.2">
      <c r="Q26" s="23"/>
      <c r="R26" s="23"/>
      <c r="S26" s="29"/>
      <c r="T26" s="23"/>
      <c r="U26" s="24"/>
      <c r="V26" s="25"/>
      <c r="W26" s="26"/>
      <c r="X26" s="27"/>
      <c r="Y26" s="24"/>
      <c r="Z26" s="24"/>
      <c r="AA26" s="28"/>
      <c r="AB26" s="8"/>
    </row>
    <row r="27" spans="14:29" customFormat="1" x14ac:dyDescent="0.2">
      <c r="Q27" s="23"/>
      <c r="R27" s="23"/>
      <c r="S27" s="29"/>
      <c r="T27" s="23"/>
      <c r="U27" s="24"/>
      <c r="V27" s="25"/>
      <c r="W27" s="26"/>
      <c r="X27" s="27"/>
      <c r="Y27" s="24"/>
      <c r="Z27" s="24"/>
      <c r="AA27" s="28"/>
      <c r="AB27" s="8"/>
    </row>
    <row r="28" spans="14:29" customFormat="1" x14ac:dyDescent="0.2">
      <c r="Q28" s="23"/>
      <c r="R28" s="23"/>
      <c r="S28" s="29"/>
      <c r="T28" s="23"/>
      <c r="U28" s="24"/>
      <c r="V28" s="25"/>
      <c r="W28" s="26"/>
      <c r="X28" s="27"/>
      <c r="Y28" s="24"/>
      <c r="Z28" s="24"/>
      <c r="AA28" s="28"/>
      <c r="AB28" s="8"/>
    </row>
    <row r="29" spans="14:29" customFormat="1" x14ac:dyDescent="0.2">
      <c r="Q29" s="23"/>
      <c r="R29" s="23"/>
      <c r="S29" s="29"/>
      <c r="T29" s="23"/>
      <c r="U29" s="24"/>
      <c r="V29" s="25"/>
      <c r="W29" s="26"/>
      <c r="X29" s="27"/>
      <c r="Y29" s="24"/>
      <c r="Z29" s="24"/>
      <c r="AA29" s="28"/>
      <c r="AB29" s="8"/>
    </row>
    <row r="30" spans="14:29" customFormat="1" x14ac:dyDescent="0.2">
      <c r="U30" s="2"/>
      <c r="X30" s="2"/>
      <c r="AB30" s="8"/>
    </row>
    <row r="31" spans="14:29" customFormat="1" x14ac:dyDescent="0.2">
      <c r="N31" s="32"/>
      <c r="Q31" s="40" t="s">
        <v>131</v>
      </c>
      <c r="R31" s="31" t="s">
        <v>130</v>
      </c>
      <c r="S31" s="40" t="s">
        <v>114</v>
      </c>
      <c r="T31" s="40" t="s">
        <v>129</v>
      </c>
      <c r="U31" s="42">
        <v>372449</v>
      </c>
      <c r="V31" s="43">
        <v>19.746409685740677</v>
      </c>
      <c r="W31" s="41">
        <v>0.87123245115821835</v>
      </c>
      <c r="X31" s="51">
        <v>0.20737369796893509</v>
      </c>
      <c r="Y31" s="32">
        <v>1012.8267429522172</v>
      </c>
      <c r="Z31" s="32">
        <v>17.238285036895729</v>
      </c>
      <c r="AA31" s="44">
        <v>-21.980144184066464</v>
      </c>
      <c r="AB31" s="8">
        <f>X31*W31/100</f>
        <v>1.8067069518721936E-3</v>
      </c>
      <c r="AC31" s="32">
        <f>X31/100</f>
        <v>2.073736979689351E-3</v>
      </c>
    </row>
    <row r="32" spans="14:29" customFormat="1" x14ac:dyDescent="0.2">
      <c r="N32" s="32"/>
      <c r="Q32" s="40" t="s">
        <v>132</v>
      </c>
      <c r="R32" s="31" t="s">
        <v>130</v>
      </c>
      <c r="S32" s="40" t="s">
        <v>112</v>
      </c>
      <c r="T32" s="40" t="s">
        <v>129</v>
      </c>
      <c r="U32" s="42">
        <v>359568</v>
      </c>
      <c r="V32" s="43">
        <v>19.076334314433044</v>
      </c>
      <c r="W32" s="41">
        <v>0.8719758199578268</v>
      </c>
      <c r="X32" s="51">
        <v>0.20935071283285589</v>
      </c>
      <c r="Y32" s="32">
        <v>996.49669066844137</v>
      </c>
      <c r="Z32" s="32">
        <v>17.298863630860815</v>
      </c>
      <c r="AA32" s="44">
        <v>-22.397956390763696</v>
      </c>
      <c r="AB32" s="8">
        <f t="shared" ref="AB32:AB39" si="11">X32*W32/100</f>
        <v>1.8254875948118504E-3</v>
      </c>
      <c r="AC32" s="32">
        <f t="shared" ref="AC32:AC38" si="12">X32/100</f>
        <v>2.0935071283285588E-3</v>
      </c>
    </row>
    <row r="33" spans="14:29" customFormat="1" x14ac:dyDescent="0.2">
      <c r="N33" s="32"/>
      <c r="Q33" s="40" t="s">
        <v>134</v>
      </c>
      <c r="R33" s="31" t="s">
        <v>130</v>
      </c>
      <c r="S33" s="40" t="s">
        <v>110</v>
      </c>
      <c r="T33" s="40" t="s">
        <v>129</v>
      </c>
      <c r="U33" s="42">
        <v>348384</v>
      </c>
      <c r="V33" s="43">
        <v>19.421584078774924</v>
      </c>
      <c r="W33" s="41">
        <v>0.87966195113546664</v>
      </c>
      <c r="X33" s="51">
        <v>0.21277675219693523</v>
      </c>
      <c r="Y33" s="32">
        <v>1019.7371717989586</v>
      </c>
      <c r="Z33" s="32">
        <v>17.396531389358369</v>
      </c>
      <c r="AA33" s="44">
        <v>-22.780719592691788</v>
      </c>
      <c r="AB33" s="8">
        <f t="shared" si="11"/>
        <v>1.8717161299382373E-3</v>
      </c>
      <c r="AC33" s="32">
        <f t="shared" si="12"/>
        <v>2.1277675219693523E-3</v>
      </c>
    </row>
    <row r="34" spans="14:29" customFormat="1" x14ac:dyDescent="0.2">
      <c r="N34" s="32"/>
      <c r="Q34" s="40" t="s">
        <v>136</v>
      </c>
      <c r="R34" s="31" t="s">
        <v>130</v>
      </c>
      <c r="S34" s="40" t="s">
        <v>108</v>
      </c>
      <c r="T34" s="40" t="s">
        <v>129</v>
      </c>
      <c r="U34" s="42">
        <v>345592</v>
      </c>
      <c r="V34" s="43">
        <v>19.250829306473115</v>
      </c>
      <c r="W34" s="41">
        <v>0.87942017795857275</v>
      </c>
      <c r="X34" s="51">
        <v>0.21312272059127035</v>
      </c>
      <c r="Y34" s="32">
        <v>1027.6320525583342</v>
      </c>
      <c r="Z34" s="32">
        <v>17.194032303085766</v>
      </c>
      <c r="AA34" s="44">
        <v>-22.046748052715891</v>
      </c>
      <c r="AB34" s="8">
        <f t="shared" si="11"/>
        <v>1.8742442086939015E-3</v>
      </c>
      <c r="AC34" s="32">
        <f t="shared" si="12"/>
        <v>2.1312272059127034E-3</v>
      </c>
    </row>
    <row r="35" spans="14:29" customFormat="1" x14ac:dyDescent="0.2">
      <c r="N35" s="32"/>
      <c r="Q35" s="40" t="s">
        <v>137</v>
      </c>
      <c r="R35" s="31" t="s">
        <v>130</v>
      </c>
      <c r="S35" s="40" t="s">
        <v>106</v>
      </c>
      <c r="T35" s="40" t="s">
        <v>129</v>
      </c>
      <c r="U35" s="42">
        <v>340536</v>
      </c>
      <c r="V35" s="43">
        <v>18.976133966786794</v>
      </c>
      <c r="W35" s="41">
        <v>0.87979452847302275</v>
      </c>
      <c r="X35" s="51">
        <v>0.21408728499824181</v>
      </c>
      <c r="Y35" s="32">
        <v>996.61423141590387</v>
      </c>
      <c r="Z35" s="32">
        <v>16.822843420129846</v>
      </c>
      <c r="AA35" s="44">
        <v>-22.118800449133168</v>
      </c>
      <c r="AB35" s="8">
        <f t="shared" si="11"/>
        <v>1.8835282195709779E-3</v>
      </c>
      <c r="AC35" s="32">
        <f t="shared" si="12"/>
        <v>2.140872849982418E-3</v>
      </c>
    </row>
    <row r="36" spans="14:29" customFormat="1" x14ac:dyDescent="0.2">
      <c r="N36" s="32"/>
      <c r="Q36" s="40" t="s">
        <v>138</v>
      </c>
      <c r="R36" s="31" t="s">
        <v>130</v>
      </c>
      <c r="S36" s="40" t="s">
        <v>104</v>
      </c>
      <c r="T36" s="40" t="s">
        <v>129</v>
      </c>
      <c r="U36" s="42">
        <v>342109</v>
      </c>
      <c r="V36" s="43">
        <v>19.007179154059916</v>
      </c>
      <c r="W36" s="41">
        <v>0.88194897503103009</v>
      </c>
      <c r="X36" s="51">
        <v>0.21432880667544663</v>
      </c>
      <c r="Y36" s="32">
        <v>1010.7150732697152</v>
      </c>
      <c r="Z36" s="32">
        <v>17.044191355275604</v>
      </c>
      <c r="AA36" s="44">
        <v>-21.980813396956677</v>
      </c>
      <c r="AB36" s="8">
        <f t="shared" si="11"/>
        <v>1.8902707136703395E-3</v>
      </c>
      <c r="AC36" s="32">
        <f t="shared" si="12"/>
        <v>2.1432880667544662E-3</v>
      </c>
    </row>
    <row r="37" spans="14:29" customFormat="1" x14ac:dyDescent="0.2">
      <c r="N37" s="32"/>
      <c r="Q37" s="40" t="s">
        <v>139</v>
      </c>
      <c r="R37" s="31" t="s">
        <v>130</v>
      </c>
      <c r="S37" s="40" t="s">
        <v>102</v>
      </c>
      <c r="T37" s="40" t="s">
        <v>129</v>
      </c>
      <c r="U37" s="42">
        <v>335218</v>
      </c>
      <c r="V37" s="43">
        <v>18.667070201173612</v>
      </c>
      <c r="W37" s="41">
        <v>0.8821347361270756</v>
      </c>
      <c r="X37" s="51">
        <v>0.2153984357775483</v>
      </c>
      <c r="Y37" s="32">
        <v>1087.9517564074231</v>
      </c>
      <c r="Z37" s="32">
        <v>17.106510712353383</v>
      </c>
      <c r="AA37" s="44">
        <v>-22.374149519143959</v>
      </c>
      <c r="AB37" s="8">
        <f t="shared" si="11"/>
        <v>1.9001044230681241E-3</v>
      </c>
      <c r="AC37" s="32">
        <f t="shared" si="12"/>
        <v>2.1539843577754831E-3</v>
      </c>
    </row>
    <row r="38" spans="14:29" customFormat="1" x14ac:dyDescent="0.2">
      <c r="N38" s="32"/>
      <c r="Q38" s="40" t="s">
        <v>140</v>
      </c>
      <c r="R38" s="31" t="s">
        <v>130</v>
      </c>
      <c r="S38" s="40" t="s">
        <v>100</v>
      </c>
      <c r="T38" s="40" t="s">
        <v>129</v>
      </c>
      <c r="U38" s="42">
        <v>361032</v>
      </c>
      <c r="V38" s="43">
        <v>20.079366507865537</v>
      </c>
      <c r="W38" s="41">
        <v>0.87965710945585585</v>
      </c>
      <c r="X38" s="51">
        <v>0.21094547376475556</v>
      </c>
      <c r="Y38" s="32">
        <v>1057.3784223310884</v>
      </c>
      <c r="Z38" s="32">
        <v>17.2815334227226</v>
      </c>
      <c r="AA38" s="44">
        <v>-22.445319742875334</v>
      </c>
      <c r="AB38" s="8">
        <f t="shared" si="11"/>
        <v>1.8555968570470095E-3</v>
      </c>
      <c r="AC38" s="32">
        <f t="shared" si="12"/>
        <v>2.1094547376475556E-3</v>
      </c>
    </row>
    <row r="39" spans="14:29" customFormat="1" x14ac:dyDescent="0.2">
      <c r="N39" s="32"/>
      <c r="Q39" s="40" t="s">
        <v>141</v>
      </c>
      <c r="R39" s="31" t="s">
        <v>130</v>
      </c>
      <c r="S39" s="40" t="s">
        <v>98</v>
      </c>
      <c r="T39" s="40" t="s">
        <v>129</v>
      </c>
      <c r="U39" s="42">
        <v>366088</v>
      </c>
      <c r="V39" s="43">
        <v>20.386458518892688</v>
      </c>
      <c r="W39" s="41">
        <v>0.87480068805788747</v>
      </c>
      <c r="X39" s="51">
        <v>0.20902353137308549</v>
      </c>
      <c r="Y39" s="32">
        <v>1057.4754796314858</v>
      </c>
      <c r="Z39" s="32">
        <v>17.01734770006378</v>
      </c>
      <c r="AA39" s="44">
        <v>-20.758545203895196</v>
      </c>
      <c r="AB39" s="8">
        <f t="shared" si="11"/>
        <v>1.8285392906546461E-3</v>
      </c>
      <c r="AC39" s="32">
        <f>X39/100</f>
        <v>2.0902353137308548E-3</v>
      </c>
    </row>
    <row r="40" spans="14:29" customFormat="1" x14ac:dyDescent="0.2">
      <c r="Q40" s="40" t="s">
        <v>142</v>
      </c>
      <c r="R40" s="31" t="s">
        <v>130</v>
      </c>
      <c r="S40" s="40" t="s">
        <v>96</v>
      </c>
      <c r="T40" s="40" t="s">
        <v>129</v>
      </c>
      <c r="U40" s="42">
        <v>332625</v>
      </c>
      <c r="V40" s="43">
        <v>18.507399373790616</v>
      </c>
      <c r="W40" s="41">
        <v>0.88268465629111903</v>
      </c>
      <c r="X40" s="51">
        <v>0.21593739595976966</v>
      </c>
      <c r="AA40" s="44">
        <v>-22.169430687236648</v>
      </c>
      <c r="AB40" s="8">
        <f>X40*W40/100</f>
        <v>1.9060462613314855E-3</v>
      </c>
      <c r="AC40" s="32">
        <f>X40/100</f>
        <v>2.1593739595976965E-3</v>
      </c>
    </row>
  </sheetData>
  <mergeCells count="3">
    <mergeCell ref="D3:F3"/>
    <mergeCell ref="G3:I3"/>
    <mergeCell ref="K3:M3"/>
  </mergeCells>
  <pageMargins left="0.75" right="0.75" top="1" bottom="1" header="0.5" footer="0.5"/>
  <pageSetup paperSize="9"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T40" sqref="T40"/>
    </sheetView>
  </sheetViews>
  <sheetFormatPr baseColWidth="10" defaultColWidth="8.6640625" defaultRowHeight="16" x14ac:dyDescent="0.2"/>
  <cols>
    <col min="1" max="1" width="11.1640625" bestFit="1" customWidth="1"/>
    <col min="2" max="2" width="10.1640625" bestFit="1" customWidth="1"/>
    <col min="3" max="4" width="8.6640625" bestFit="1" customWidth="1"/>
    <col min="5" max="5" width="3.6640625" customWidth="1"/>
    <col min="6" max="6" width="8.6640625" bestFit="1" customWidth="1"/>
    <col min="7" max="7" width="8" customWidth="1"/>
    <col min="8" max="8" width="3.1640625" customWidth="1"/>
    <col min="9" max="9" width="6.1640625" customWidth="1"/>
    <col min="10" max="10" width="8.6640625" bestFit="1" customWidth="1"/>
    <col min="11" max="11" width="7.1640625" customWidth="1"/>
    <col min="12" max="12" width="3.5" customWidth="1"/>
    <col min="13" max="13" width="4.1640625" customWidth="1"/>
    <col min="16" max="16" width="9.6640625" bestFit="1" customWidth="1"/>
    <col min="17" max="18" width="7.6640625" bestFit="1" customWidth="1"/>
    <col min="19" max="19" width="12.1640625" bestFit="1" customWidth="1"/>
    <col min="20" max="20" width="14.1640625" bestFit="1" customWidth="1"/>
    <col min="21" max="21" width="7.6640625" bestFit="1" customWidth="1"/>
    <col min="22" max="22" width="8.1640625" bestFit="1" customWidth="1"/>
    <col min="23" max="23" width="6.1640625" bestFit="1" customWidth="1"/>
    <col min="24" max="24" width="6.6640625" bestFit="1" customWidth="1"/>
    <col min="25" max="25" width="7.5" bestFit="1" customWidth="1"/>
    <col min="26" max="26" width="7.6640625" bestFit="1" customWidth="1"/>
    <col min="27" max="29" width="7.5" bestFit="1" customWidth="1"/>
    <col min="30" max="30" width="5.1640625" bestFit="1" customWidth="1"/>
    <col min="31" max="31" width="7.6640625" bestFit="1" customWidth="1"/>
    <col min="32" max="32" width="6.1640625" bestFit="1" customWidth="1"/>
    <col min="33" max="33" width="5.6640625" bestFit="1" customWidth="1"/>
    <col min="34" max="34" width="6.6640625" bestFit="1" customWidth="1"/>
  </cols>
  <sheetData>
    <row r="1" spans="1:28" x14ac:dyDescent="0.2">
      <c r="A1" s="1" t="s">
        <v>154</v>
      </c>
      <c r="E1" s="2"/>
      <c r="F1" s="19"/>
      <c r="G1" s="19"/>
      <c r="H1" s="2"/>
    </row>
    <row r="2" spans="1:28" x14ac:dyDescent="0.2">
      <c r="E2" s="2"/>
      <c r="H2" s="2"/>
    </row>
    <row r="3" spans="1:28" x14ac:dyDescent="0.2">
      <c r="A3" s="52"/>
      <c r="B3" s="52" t="s">
        <v>17</v>
      </c>
      <c r="C3" s="53" t="s">
        <v>15</v>
      </c>
      <c r="D3" s="345" t="s">
        <v>1</v>
      </c>
      <c r="E3" s="345"/>
      <c r="F3" s="345"/>
      <c r="G3" s="345" t="s">
        <v>2</v>
      </c>
      <c r="H3" s="345"/>
      <c r="I3" s="345"/>
      <c r="J3" s="52" t="s">
        <v>3</v>
      </c>
      <c r="K3" s="346" t="s">
        <v>16</v>
      </c>
      <c r="L3" s="345"/>
      <c r="M3" s="345"/>
      <c r="O3" s="60"/>
      <c r="P3" s="60"/>
      <c r="Q3" s="60"/>
      <c r="R3" s="60"/>
      <c r="S3" s="60"/>
      <c r="T3" s="61"/>
      <c r="U3" s="60"/>
      <c r="V3" s="61"/>
      <c r="W3" s="61"/>
      <c r="X3" s="61"/>
      <c r="Y3" s="61"/>
      <c r="Z3" s="60"/>
      <c r="AA3" s="61"/>
      <c r="AB3" s="60"/>
    </row>
    <row r="4" spans="1:28" x14ac:dyDescent="0.2">
      <c r="A4" s="62">
        <v>60193</v>
      </c>
      <c r="B4" s="62">
        <v>990</v>
      </c>
      <c r="C4" s="12">
        <f>1950-B4</f>
        <v>960</v>
      </c>
      <c r="D4" s="8">
        <v>0.87548419540146816</v>
      </c>
      <c r="E4" s="63" t="s">
        <v>5</v>
      </c>
      <c r="F4" s="8">
        <v>1.77515978807349E-3</v>
      </c>
      <c r="G4" s="12">
        <f>-8033*LN(D4)</f>
        <v>1068.2137159397066</v>
      </c>
      <c r="H4" s="63" t="s">
        <v>5</v>
      </c>
      <c r="I4" s="4">
        <f>F4/D4*8033</f>
        <v>16.287968021004929</v>
      </c>
      <c r="J4" s="9">
        <v>-25.441943408353929</v>
      </c>
      <c r="K4" s="9">
        <f>(EXP(C4/8267)*EXP(-G4/8033)-1)*1000</f>
        <v>-16.712598432239268</v>
      </c>
      <c r="L4" s="2" t="s">
        <v>5</v>
      </c>
      <c r="M4" s="9">
        <f>I4/8.033</f>
        <v>2.0276320205408851</v>
      </c>
      <c r="N4">
        <f>1/F4^2</f>
        <v>317340.20437499206</v>
      </c>
      <c r="O4" s="56"/>
      <c r="P4" s="57"/>
      <c r="Q4" s="58"/>
      <c r="R4" s="58"/>
      <c r="S4" s="59"/>
      <c r="T4" s="55"/>
      <c r="U4" s="31"/>
      <c r="V4" s="32"/>
      <c r="W4" s="33"/>
      <c r="X4" s="33"/>
      <c r="Y4" s="54"/>
      <c r="Z4" s="35"/>
      <c r="AA4" s="54"/>
      <c r="AB4" s="55"/>
    </row>
    <row r="5" spans="1:28" x14ac:dyDescent="0.2">
      <c r="A5" s="62">
        <v>60194</v>
      </c>
      <c r="B5" s="62">
        <v>991</v>
      </c>
      <c r="C5" s="12">
        <f t="shared" ref="C5:C17" si="0">1950-B5</f>
        <v>959</v>
      </c>
      <c r="D5" s="8">
        <v>0.87428113200218094</v>
      </c>
      <c r="E5" s="63" t="s">
        <v>5</v>
      </c>
      <c r="F5" s="8">
        <v>1.7507862052943079E-3</v>
      </c>
      <c r="G5" s="12">
        <f t="shared" ref="G5:G17" si="1">-8033*LN(D5)</f>
        <v>1079.2600084430373</v>
      </c>
      <c r="H5" s="63" t="s">
        <v>5</v>
      </c>
      <c r="I5" s="4">
        <f t="shared" ref="I5:I17" si="2">F5/D5*8033</f>
        <v>16.086433839560534</v>
      </c>
      <c r="J5" s="9">
        <v>-25.335387667897223</v>
      </c>
      <c r="K5" s="9">
        <f t="shared" ref="K5:K17" si="3">(EXP(C5/8267)*EXP(-G5/8033)-1)*1000</f>
        <v>-18.182572306638555</v>
      </c>
      <c r="L5" s="2" t="s">
        <v>5</v>
      </c>
      <c r="M5" s="9">
        <f t="shared" ref="M5:M17" si="4">I5/8.033</f>
        <v>2.0025437370298191</v>
      </c>
      <c r="N5">
        <f t="shared" ref="N5:N17" si="5">1/F5^2</f>
        <v>326237.41544660984</v>
      </c>
      <c r="O5" s="56"/>
      <c r="P5" s="57"/>
      <c r="Q5" s="58"/>
      <c r="R5" s="58"/>
      <c r="S5" s="59"/>
      <c r="T5" s="55"/>
      <c r="U5" s="31"/>
      <c r="V5" s="32"/>
      <c r="W5" s="33"/>
      <c r="X5" s="33"/>
      <c r="Y5" s="54"/>
      <c r="Z5" s="35"/>
      <c r="AA5" s="54"/>
      <c r="AB5" s="55"/>
    </row>
    <row r="6" spans="1:28" x14ac:dyDescent="0.2">
      <c r="A6" s="300">
        <v>60195</v>
      </c>
      <c r="B6" s="300">
        <v>992</v>
      </c>
      <c r="C6" s="301">
        <f t="shared" si="0"/>
        <v>958</v>
      </c>
      <c r="D6" s="302">
        <v>0.87111437055755614</v>
      </c>
      <c r="E6" s="303" t="s">
        <v>5</v>
      </c>
      <c r="F6" s="302">
        <v>1.7979194140166175E-3</v>
      </c>
      <c r="G6" s="301">
        <f t="shared" si="1"/>
        <v>1108.4094161972737</v>
      </c>
      <c r="H6" s="303" t="s">
        <v>5</v>
      </c>
      <c r="I6" s="304">
        <f>F6/D6*8033</f>
        <v>16.579552744091981</v>
      </c>
      <c r="J6" s="305">
        <v>-23.565408465957226</v>
      </c>
      <c r="K6" s="305">
        <f t="shared" si="3"/>
        <v>-21.857170496752843</v>
      </c>
      <c r="L6" s="306" t="s">
        <v>5</v>
      </c>
      <c r="M6" s="305">
        <f t="shared" si="4"/>
        <v>2.063930380193201</v>
      </c>
      <c r="N6" s="307">
        <f t="shared" si="5"/>
        <v>309356.72116462112</v>
      </c>
      <c r="O6" s="56"/>
      <c r="P6" s="57"/>
      <c r="Q6" s="58"/>
      <c r="R6" s="58"/>
      <c r="S6" s="59"/>
      <c r="T6" s="55"/>
      <c r="U6" s="31"/>
      <c r="V6" s="32"/>
      <c r="W6" s="33"/>
      <c r="X6" s="33"/>
      <c r="Y6" s="54"/>
      <c r="Z6" s="35"/>
      <c r="AA6" s="54"/>
      <c r="AB6" s="55"/>
    </row>
    <row r="7" spans="1:28" x14ac:dyDescent="0.2">
      <c r="A7" s="300">
        <v>60195</v>
      </c>
      <c r="B7" s="300">
        <v>992</v>
      </c>
      <c r="C7" s="301">
        <f t="shared" si="0"/>
        <v>958</v>
      </c>
      <c r="D7" s="302">
        <v>0.87167561518759595</v>
      </c>
      <c r="E7" s="303" t="s">
        <v>5</v>
      </c>
      <c r="F7" s="302">
        <v>1.7093516776767283E-3</v>
      </c>
      <c r="G7" s="301">
        <f t="shared" si="1"/>
        <v>1103.2355532466693</v>
      </c>
      <c r="H7" s="303" t="s">
        <v>5</v>
      </c>
      <c r="I7" s="304">
        <f t="shared" si="2"/>
        <v>15.752674260392178</v>
      </c>
      <c r="J7" s="305">
        <v>-23.446468412150146</v>
      </c>
      <c r="K7" s="305">
        <f t="shared" si="3"/>
        <v>-21.226969194805267</v>
      </c>
      <c r="L7" s="306" t="s">
        <v>5</v>
      </c>
      <c r="M7" s="305">
        <f t="shared" si="4"/>
        <v>1.9609951774420737</v>
      </c>
      <c r="N7" s="307">
        <f t="shared" si="5"/>
        <v>342245.03374481952</v>
      </c>
      <c r="O7" s="56"/>
      <c r="P7" s="57"/>
      <c r="Q7" s="58"/>
      <c r="R7" s="58"/>
      <c r="S7" s="59"/>
      <c r="T7" s="55"/>
      <c r="U7" s="31"/>
      <c r="V7" s="32"/>
      <c r="W7" s="33"/>
      <c r="X7" s="33"/>
      <c r="Y7" s="54"/>
      <c r="Z7" s="35"/>
      <c r="AA7" s="54"/>
      <c r="AB7" s="55"/>
    </row>
    <row r="8" spans="1:28" x14ac:dyDescent="0.2">
      <c r="A8" s="62">
        <v>60196</v>
      </c>
      <c r="B8" s="62">
        <v>993</v>
      </c>
      <c r="C8" s="12">
        <f t="shared" si="0"/>
        <v>957</v>
      </c>
      <c r="D8" s="8">
        <v>0.87717833861724037</v>
      </c>
      <c r="E8" s="63" t="s">
        <v>5</v>
      </c>
      <c r="F8" s="8">
        <v>1.7146479608320781E-3</v>
      </c>
      <c r="G8" s="12">
        <f>-8033*LN(D8)</f>
        <v>1052.6841357419976</v>
      </c>
      <c r="H8" s="63" t="s">
        <v>5</v>
      </c>
      <c r="I8" s="4">
        <f t="shared" si="2"/>
        <v>15.702356593844609</v>
      </c>
      <c r="J8" s="9">
        <v>-23.404803141743646</v>
      </c>
      <c r="K8" s="9">
        <f t="shared" si="3"/>
        <v>-15.167295409845515</v>
      </c>
      <c r="L8" s="2" t="s">
        <v>5</v>
      </c>
      <c r="M8" s="9">
        <f t="shared" si="4"/>
        <v>1.9547313075867807</v>
      </c>
      <c r="N8">
        <f t="shared" si="5"/>
        <v>340134.01482254046</v>
      </c>
      <c r="O8" s="56"/>
      <c r="P8" s="57"/>
      <c r="Q8" s="58"/>
      <c r="R8" s="58"/>
      <c r="S8" s="59"/>
      <c r="T8" s="55"/>
      <c r="U8" s="31"/>
      <c r="V8" s="32"/>
      <c r="W8" s="33"/>
      <c r="X8" s="33"/>
      <c r="Y8" s="54"/>
      <c r="Z8" s="35"/>
      <c r="AA8" s="54"/>
      <c r="AB8" s="55"/>
    </row>
    <row r="9" spans="1:28" x14ac:dyDescent="0.2">
      <c r="A9" s="62">
        <v>60196</v>
      </c>
      <c r="B9" s="62">
        <v>993</v>
      </c>
      <c r="C9" s="12">
        <f t="shared" si="0"/>
        <v>957</v>
      </c>
      <c r="D9" s="8">
        <v>0.87404541997586638</v>
      </c>
      <c r="E9" s="63" t="s">
        <v>5</v>
      </c>
      <c r="F9" s="8">
        <v>1.7854593968262577E-3</v>
      </c>
      <c r="G9" s="12">
        <f t="shared" si="1"/>
        <v>1081.4260508413695</v>
      </c>
      <c r="H9" s="63" t="s">
        <v>5</v>
      </c>
      <c r="I9" s="4">
        <f t="shared" si="2"/>
        <v>16.40943938027997</v>
      </c>
      <c r="J9" s="9">
        <v>-23.265999344544653</v>
      </c>
      <c r="K9" s="9">
        <f t="shared" si="3"/>
        <v>-18.684710971781371</v>
      </c>
      <c r="L9" s="2" t="s">
        <v>5</v>
      </c>
      <c r="M9" s="9">
        <f t="shared" si="4"/>
        <v>2.0427535640831533</v>
      </c>
      <c r="N9">
        <f t="shared" si="5"/>
        <v>313689.54430549644</v>
      </c>
      <c r="O9" s="56"/>
      <c r="P9" s="57"/>
      <c r="Q9" s="58"/>
      <c r="R9" s="58"/>
      <c r="S9" s="59"/>
      <c r="T9" s="55"/>
      <c r="U9" s="31"/>
      <c r="V9" s="32"/>
      <c r="W9" s="33"/>
      <c r="X9" s="33"/>
      <c r="Y9" s="54"/>
      <c r="Z9" s="35"/>
      <c r="AA9" s="54"/>
      <c r="AB9" s="55"/>
    </row>
    <row r="10" spans="1:28" x14ac:dyDescent="0.2">
      <c r="A10" s="300">
        <v>60197</v>
      </c>
      <c r="B10" s="300">
        <v>994</v>
      </c>
      <c r="C10" s="301">
        <f t="shared" si="0"/>
        <v>956</v>
      </c>
      <c r="D10" s="302">
        <v>0.87838475036264752</v>
      </c>
      <c r="E10" s="303" t="s">
        <v>5</v>
      </c>
      <c r="F10" s="302">
        <v>1.6977902080275227E-3</v>
      </c>
      <c r="G10" s="301">
        <f t="shared" si="1"/>
        <v>1041.6436813861469</v>
      </c>
      <c r="H10" s="303" t="s">
        <v>5</v>
      </c>
      <c r="I10" s="304">
        <f t="shared" si="2"/>
        <v>15.526622855706908</v>
      </c>
      <c r="J10" s="305">
        <v>-22.301937701079243</v>
      </c>
      <c r="K10" s="305">
        <f t="shared" si="3"/>
        <v>-13.932107943435245</v>
      </c>
      <c r="L10" s="306" t="s">
        <v>5</v>
      </c>
      <c r="M10" s="305">
        <f t="shared" si="4"/>
        <v>1.9328548307863698</v>
      </c>
      <c r="N10" s="307">
        <f t="shared" si="5"/>
        <v>346922.08758031821</v>
      </c>
      <c r="O10" s="56"/>
      <c r="P10" s="57"/>
      <c r="Q10" s="58"/>
      <c r="R10" s="58"/>
      <c r="S10" s="59"/>
      <c r="T10" s="55"/>
      <c r="U10" s="31"/>
      <c r="V10" s="32"/>
      <c r="W10" s="33"/>
      <c r="X10" s="33"/>
      <c r="Y10" s="54"/>
      <c r="Z10" s="35"/>
      <c r="AA10" s="54"/>
      <c r="AB10" s="55"/>
    </row>
    <row r="11" spans="1:28" x14ac:dyDescent="0.2">
      <c r="A11" s="300">
        <v>60197</v>
      </c>
      <c r="B11" s="300">
        <v>994</v>
      </c>
      <c r="C11" s="301">
        <f t="shared" si="0"/>
        <v>956</v>
      </c>
      <c r="D11" s="302">
        <v>0.87905866679182709</v>
      </c>
      <c r="E11" s="303" t="s">
        <v>5</v>
      </c>
      <c r="F11" s="302">
        <v>1.6654453375349735E-3</v>
      </c>
      <c r="G11" s="301">
        <f t="shared" si="1"/>
        <v>1035.4829471194239</v>
      </c>
      <c r="H11" s="303" t="s">
        <v>5</v>
      </c>
      <c r="I11" s="304">
        <f t="shared" si="2"/>
        <v>15.219146232007581</v>
      </c>
      <c r="J11" s="305">
        <v>-20.838486894332764</v>
      </c>
      <c r="K11" s="305">
        <f t="shared" si="3"/>
        <v>-13.175574599170069</v>
      </c>
      <c r="L11" s="306" t="s">
        <v>5</v>
      </c>
      <c r="M11" s="305">
        <f t="shared" si="4"/>
        <v>1.894578144156303</v>
      </c>
      <c r="N11" s="307">
        <f t="shared" si="5"/>
        <v>360528.1947035772</v>
      </c>
      <c r="O11" s="56"/>
      <c r="P11" s="57"/>
      <c r="Q11" s="58"/>
      <c r="R11" s="58"/>
      <c r="S11" s="59"/>
      <c r="T11" s="55"/>
      <c r="U11" s="31"/>
      <c r="V11" s="32"/>
      <c r="W11" s="33"/>
      <c r="X11" s="33"/>
      <c r="Y11" s="54"/>
      <c r="Z11" s="35"/>
      <c r="AA11" s="54"/>
      <c r="AB11" s="55"/>
    </row>
    <row r="12" spans="1:28" x14ac:dyDescent="0.2">
      <c r="A12" s="62">
        <v>60198</v>
      </c>
      <c r="B12" s="62">
        <v>995</v>
      </c>
      <c r="C12" s="12">
        <f t="shared" si="0"/>
        <v>955</v>
      </c>
      <c r="D12" s="8">
        <v>0.88140923943522631</v>
      </c>
      <c r="E12" s="63" t="s">
        <v>5</v>
      </c>
      <c r="F12" s="8">
        <v>1.7397871769461498E-3</v>
      </c>
      <c r="G12" s="12">
        <f t="shared" si="1"/>
        <v>1014.0316486340789</v>
      </c>
      <c r="H12" s="63" t="s">
        <v>5</v>
      </c>
      <c r="I12" s="4">
        <f t="shared" si="2"/>
        <v>15.856096994585091</v>
      </c>
      <c r="J12" s="9">
        <v>-25.625261464606417</v>
      </c>
      <c r="K12" s="9">
        <f t="shared" si="3"/>
        <v>-10.656521082831659</v>
      </c>
      <c r="L12" s="2" t="s">
        <v>5</v>
      </c>
      <c r="M12" s="9">
        <f t="shared" si="4"/>
        <v>1.9738699109405069</v>
      </c>
      <c r="N12">
        <f t="shared" si="5"/>
        <v>330375.43568763958</v>
      </c>
      <c r="O12" s="56"/>
      <c r="P12" s="57"/>
      <c r="Q12" s="58"/>
      <c r="R12" s="58"/>
      <c r="S12" s="59"/>
      <c r="T12" s="55"/>
      <c r="U12" s="31"/>
      <c r="V12" s="32"/>
      <c r="W12" s="33"/>
      <c r="X12" s="33"/>
      <c r="Y12" s="54"/>
      <c r="Z12" s="35"/>
      <c r="AA12" s="54"/>
      <c r="AB12" s="55"/>
    </row>
    <row r="13" spans="1:28" x14ac:dyDescent="0.2">
      <c r="A13" s="62">
        <v>60199</v>
      </c>
      <c r="B13" s="62">
        <v>996</v>
      </c>
      <c r="C13" s="12">
        <f t="shared" si="0"/>
        <v>954</v>
      </c>
      <c r="D13" s="8">
        <v>0.87930370613654985</v>
      </c>
      <c r="E13" s="63" t="s">
        <v>5</v>
      </c>
      <c r="F13" s="8">
        <v>1.6972687828283994E-3</v>
      </c>
      <c r="G13" s="12">
        <f t="shared" si="1"/>
        <v>1033.2440444913814</v>
      </c>
      <c r="H13" s="63" t="s">
        <v>5</v>
      </c>
      <c r="I13" s="4">
        <f t="shared" si="2"/>
        <v>15.505632510484654</v>
      </c>
      <c r="J13" s="9">
        <v>-21.784658223911734</v>
      </c>
      <c r="K13" s="9">
        <f t="shared" si="3"/>
        <v>-13.139271218644332</v>
      </c>
      <c r="L13" s="2" t="s">
        <v>5</v>
      </c>
      <c r="M13" s="9">
        <f t="shared" si="4"/>
        <v>1.9302418163182691</v>
      </c>
      <c r="N13">
        <f t="shared" si="5"/>
        <v>347135.27915848704</v>
      </c>
      <c r="O13" s="56"/>
      <c r="P13" s="57"/>
      <c r="Q13" s="58"/>
      <c r="R13" s="58"/>
      <c r="S13" s="59"/>
      <c r="T13" s="55"/>
      <c r="U13" s="31"/>
      <c r="V13" s="32"/>
      <c r="W13" s="33"/>
      <c r="X13" s="33"/>
      <c r="Y13" s="54"/>
      <c r="Z13" s="35"/>
      <c r="AA13" s="54"/>
      <c r="AB13" s="55"/>
    </row>
    <row r="14" spans="1:28" x14ac:dyDescent="0.2">
      <c r="A14" s="62">
        <v>60200</v>
      </c>
      <c r="B14" s="62">
        <v>997</v>
      </c>
      <c r="C14" s="12">
        <f t="shared" si="0"/>
        <v>953</v>
      </c>
      <c r="D14" s="8">
        <v>0.87740278488875345</v>
      </c>
      <c r="E14" s="63" t="s">
        <v>5</v>
      </c>
      <c r="F14" s="8">
        <v>1.6767068521766309E-3</v>
      </c>
      <c r="G14" s="12">
        <f t="shared" si="1"/>
        <v>1050.6289706832326</v>
      </c>
      <c r="H14" s="63" t="s">
        <v>5</v>
      </c>
      <c r="I14" s="4">
        <f t="shared" si="2"/>
        <v>15.350972638230933</v>
      </c>
      <c r="J14" s="9">
        <v>-20.627553621820226</v>
      </c>
      <c r="K14" s="9">
        <f t="shared" si="3"/>
        <v>-15.391822665251631</v>
      </c>
      <c r="L14" s="2" t="s">
        <v>5</v>
      </c>
      <c r="M14" s="9">
        <f t="shared" si="4"/>
        <v>1.9109887511802484</v>
      </c>
      <c r="N14">
        <f t="shared" si="5"/>
        <v>355701.52051871299</v>
      </c>
      <c r="O14" s="56"/>
      <c r="P14" s="57"/>
      <c r="Q14" s="58"/>
      <c r="R14" s="58"/>
      <c r="S14" s="59"/>
      <c r="T14" s="55"/>
      <c r="U14" s="31"/>
      <c r="V14" s="32"/>
      <c r="W14" s="33"/>
      <c r="X14" s="33"/>
      <c r="Y14" s="54"/>
      <c r="Z14" s="35"/>
      <c r="AA14" s="54"/>
      <c r="AB14" s="55"/>
    </row>
    <row r="15" spans="1:28" x14ac:dyDescent="0.2">
      <c r="A15" s="62">
        <v>60201</v>
      </c>
      <c r="B15" s="62">
        <v>998</v>
      </c>
      <c r="C15" s="12">
        <f t="shared" si="0"/>
        <v>952</v>
      </c>
      <c r="D15" s="8">
        <v>0.87735431429762234</v>
      </c>
      <c r="E15" s="63" t="s">
        <v>5</v>
      </c>
      <c r="F15" s="8">
        <v>1.6743731604979559E-3</v>
      </c>
      <c r="G15" s="12">
        <f t="shared" si="1"/>
        <v>1051.072752057687</v>
      </c>
      <c r="H15" s="63" t="s">
        <v>5</v>
      </c>
      <c r="I15" s="4">
        <f t="shared" si="2"/>
        <v>15.330453591087482</v>
      </c>
      <c r="J15" s="9">
        <v>-20.688727602991342</v>
      </c>
      <c r="K15" s="9">
        <f t="shared" si="3"/>
        <v>-15.565302875069854</v>
      </c>
      <c r="L15" s="2" t="s">
        <v>5</v>
      </c>
      <c r="M15" s="9">
        <f t="shared" si="4"/>
        <v>1.9084344069572368</v>
      </c>
      <c r="N15">
        <f t="shared" si="5"/>
        <v>356693.7439739058</v>
      </c>
      <c r="O15" s="56"/>
      <c r="P15" s="57"/>
      <c r="Q15" s="58"/>
      <c r="R15" s="58"/>
      <c r="S15" s="59"/>
      <c r="T15" s="55"/>
      <c r="U15" s="31"/>
      <c r="V15" s="32"/>
      <c r="W15" s="33"/>
      <c r="X15" s="33"/>
      <c r="Y15" s="54"/>
      <c r="Z15" s="35"/>
      <c r="AA15" s="54"/>
      <c r="AB15" s="55"/>
    </row>
    <row r="16" spans="1:28" x14ac:dyDescent="0.2">
      <c r="A16" s="62">
        <v>60202</v>
      </c>
      <c r="B16" s="62">
        <v>999</v>
      </c>
      <c r="C16" s="12">
        <f t="shared" si="0"/>
        <v>951</v>
      </c>
      <c r="D16" s="8">
        <v>0.881140792325799</v>
      </c>
      <c r="E16" s="63" t="s">
        <v>5</v>
      </c>
      <c r="F16" s="8">
        <v>1.7280331391840527E-3</v>
      </c>
      <c r="G16" s="12">
        <f t="shared" si="1"/>
        <v>1016.4785983465355</v>
      </c>
      <c r="H16" s="63" t="s">
        <v>5</v>
      </c>
      <c r="I16" s="4">
        <f t="shared" si="2"/>
        <v>15.75377093872296</v>
      </c>
      <c r="J16" s="9">
        <v>-21.744308966744175</v>
      </c>
      <c r="K16" s="9">
        <f t="shared" si="3"/>
        <v>-11.436275005534903</v>
      </c>
      <c r="L16" s="2" t="s">
        <v>5</v>
      </c>
      <c r="M16" s="9">
        <f t="shared" si="4"/>
        <v>1.9611316990816583</v>
      </c>
      <c r="N16">
        <f t="shared" si="5"/>
        <v>334885.13185811922</v>
      </c>
      <c r="O16" s="56"/>
      <c r="P16" s="57"/>
      <c r="Q16" s="58"/>
      <c r="R16" s="58"/>
      <c r="S16" s="59"/>
      <c r="T16" s="55"/>
      <c r="U16" s="31"/>
      <c r="V16" s="32"/>
      <c r="W16" s="33"/>
      <c r="X16" s="33"/>
      <c r="Y16" s="54"/>
      <c r="Z16" s="35"/>
      <c r="AA16" s="54"/>
      <c r="AB16" s="55"/>
    </row>
    <row r="17" spans="1:28" x14ac:dyDescent="0.2">
      <c r="A17" s="62">
        <v>60203</v>
      </c>
      <c r="B17" s="62">
        <v>1000</v>
      </c>
      <c r="C17" s="12">
        <f t="shared" si="0"/>
        <v>950</v>
      </c>
      <c r="D17" s="8">
        <v>0.87641214946229218</v>
      </c>
      <c r="E17" s="63" t="s">
        <v>5</v>
      </c>
      <c r="F17" s="8">
        <v>1.667896845822005E-3</v>
      </c>
      <c r="G17" s="12">
        <f t="shared" si="1"/>
        <v>1059.7037881810325</v>
      </c>
      <c r="H17" s="63" t="s">
        <v>5</v>
      </c>
      <c r="I17" s="4">
        <f t="shared" si="2"/>
        <v>15.287573741085646</v>
      </c>
      <c r="J17" s="9">
        <v>-20.983940784457534</v>
      </c>
      <c r="K17" s="9">
        <f t="shared" si="3"/>
        <v>-16.860333718006991</v>
      </c>
      <c r="L17" s="2" t="s">
        <v>5</v>
      </c>
      <c r="M17" s="9">
        <f t="shared" si="4"/>
        <v>1.9030964448009022</v>
      </c>
      <c r="N17">
        <f t="shared" si="5"/>
        <v>359469.15041325585</v>
      </c>
      <c r="O17" s="56"/>
      <c r="P17" s="57"/>
      <c r="Q17" s="58"/>
      <c r="R17" s="58"/>
      <c r="S17" s="59"/>
      <c r="T17" s="55"/>
      <c r="U17" s="31"/>
      <c r="V17" s="32"/>
      <c r="W17" s="33"/>
      <c r="X17" s="33"/>
      <c r="Y17" s="54"/>
      <c r="Z17" s="35"/>
      <c r="AA17" s="54"/>
      <c r="AB17" s="55"/>
    </row>
    <row r="19" spans="1:28" x14ac:dyDescent="0.2">
      <c r="B19" s="1" t="s">
        <v>330</v>
      </c>
    </row>
    <row r="20" spans="1:28" x14ac:dyDescent="0.2">
      <c r="B20" s="2" t="s">
        <v>17</v>
      </c>
      <c r="C20" s="2" t="s">
        <v>15</v>
      </c>
      <c r="D20" s="2" t="s">
        <v>1</v>
      </c>
      <c r="E20" s="2"/>
      <c r="F20" s="2"/>
      <c r="G20" s="2" t="s">
        <v>2</v>
      </c>
      <c r="H20" s="2"/>
      <c r="I20" s="2"/>
      <c r="J20" s="2" t="s">
        <v>3</v>
      </c>
      <c r="K20" s="2" t="s">
        <v>16</v>
      </c>
      <c r="L20" s="2"/>
      <c r="M20" s="2"/>
    </row>
    <row r="21" spans="1:28" x14ac:dyDescent="0.2">
      <c r="B21" s="2">
        <v>990</v>
      </c>
      <c r="C21" s="2">
        <f>1950-B21</f>
        <v>960</v>
      </c>
      <c r="D21" s="2">
        <v>0.87548419540146816</v>
      </c>
      <c r="E21" s="2" t="s">
        <v>5</v>
      </c>
      <c r="F21" s="2">
        <v>1.77515978807349E-3</v>
      </c>
      <c r="G21" s="66">
        <v>1068.2137159397066</v>
      </c>
      <c r="H21" s="2" t="s">
        <v>5</v>
      </c>
      <c r="I21" s="2">
        <v>16.287968021004929</v>
      </c>
      <c r="J21" s="2">
        <v>-25.441943408353929</v>
      </c>
      <c r="K21" s="2">
        <v>-16.712598432239268</v>
      </c>
      <c r="L21" s="2" t="s">
        <v>5</v>
      </c>
      <c r="M21" s="2">
        <v>2.0276320205408851</v>
      </c>
    </row>
    <row r="22" spans="1:28" x14ac:dyDescent="0.2">
      <c r="B22" s="2">
        <v>991</v>
      </c>
      <c r="C22" s="2">
        <f t="shared" ref="C22:C31" si="6">1950-B22</f>
        <v>959</v>
      </c>
      <c r="D22" s="2">
        <v>0.87428113200218094</v>
      </c>
      <c r="E22" s="2" t="s">
        <v>5</v>
      </c>
      <c r="F22" s="2">
        <v>1.7507862052943079E-3</v>
      </c>
      <c r="G22" s="66">
        <v>1079.2600084430373</v>
      </c>
      <c r="H22" s="2" t="s">
        <v>5</v>
      </c>
      <c r="I22" s="2">
        <v>16.086433839560534</v>
      </c>
      <c r="J22" s="2">
        <v>-25.335387667897223</v>
      </c>
      <c r="K22" s="2">
        <v>-18.182572306638555</v>
      </c>
      <c r="L22" s="2" t="s">
        <v>5</v>
      </c>
      <c r="M22" s="2">
        <v>2.0025437370298191</v>
      </c>
    </row>
    <row r="23" spans="1:28" x14ac:dyDescent="0.2">
      <c r="B23" s="2">
        <v>992</v>
      </c>
      <c r="C23" s="2">
        <f t="shared" si="6"/>
        <v>958</v>
      </c>
      <c r="D23" s="2">
        <f>(D6*N6+D7*N7)/(N6+N7)</f>
        <v>0.87140915673009156</v>
      </c>
      <c r="E23" s="2" t="s">
        <v>5</v>
      </c>
      <c r="F23" s="2">
        <f>SQRT(1/(N6+N7))</f>
        <v>1.2388219088628344E-3</v>
      </c>
      <c r="G23" s="66">
        <f>-8033*LN(D23)</f>
        <v>1105.6914989818276</v>
      </c>
      <c r="H23" s="2" t="s">
        <v>5</v>
      </c>
      <c r="I23" s="276">
        <f>F23/D23*8033</f>
        <v>11.419958485675508</v>
      </c>
      <c r="J23" s="2"/>
      <c r="K23" s="308">
        <f>(EXP(C23/8267)*EXP(-G23/8033)-1)*1000</f>
        <v>-21.526165762302597</v>
      </c>
      <c r="L23" s="2" t="s">
        <v>5</v>
      </c>
      <c r="M23" s="308">
        <f>I23/8.033</f>
        <v>1.4216305845481774</v>
      </c>
    </row>
    <row r="24" spans="1:28" x14ac:dyDescent="0.2">
      <c r="B24" s="2">
        <v>993</v>
      </c>
      <c r="C24" s="2">
        <f t="shared" si="6"/>
        <v>957</v>
      </c>
      <c r="D24" s="2">
        <f>(D8*N8+D9*N9)/(N8+N9)</f>
        <v>0.87567523612538545</v>
      </c>
      <c r="E24" s="2" t="s">
        <v>5</v>
      </c>
      <c r="F24" s="2">
        <f>SQRT(1/(N8+N9))</f>
        <v>1.2367152533405877E-3</v>
      </c>
      <c r="G24" s="66">
        <f>-8033*LN(D24)</f>
        <v>1066.4610141426149</v>
      </c>
      <c r="H24" s="2" t="s">
        <v>5</v>
      </c>
      <c r="I24" s="276">
        <f>F24/D24*8033</f>
        <v>11.344997803115268</v>
      </c>
      <c r="J24" s="2"/>
      <c r="K24" s="308">
        <f>(EXP(C24/8267)*EXP(-G24/8033)-1)*1000</f>
        <v>-16.854870703443382</v>
      </c>
      <c r="L24" s="2" t="s">
        <v>5</v>
      </c>
      <c r="M24" s="308">
        <f>I24/8.033</f>
        <v>1.4122989920472138</v>
      </c>
    </row>
    <row r="25" spans="1:28" x14ac:dyDescent="0.2">
      <c r="B25" s="2">
        <v>994</v>
      </c>
      <c r="C25" s="2">
        <f t="shared" si="6"/>
        <v>956</v>
      </c>
      <c r="D25" s="2">
        <f>(D10*N10+D11*N11)/(N10+N11)</f>
        <v>0.87872818915923512</v>
      </c>
      <c r="E25" s="2" t="s">
        <v>5</v>
      </c>
      <c r="F25" s="2">
        <f>SQRT(1/(N10+N11))</f>
        <v>1.1889183713573307E-3</v>
      </c>
      <c r="G25" s="66">
        <f>-8033*LN(D25)</f>
        <v>1038.5034804052457</v>
      </c>
      <c r="H25" s="2" t="s">
        <v>5</v>
      </c>
      <c r="I25" s="276">
        <f>F25/D25*8033</f>
        <v>10.868641059815561</v>
      </c>
      <c r="J25" s="2"/>
      <c r="K25" s="308">
        <f>(EXP(C25/8267)*EXP(-G25/8033)-1)*1000</f>
        <v>-13.546566220332901</v>
      </c>
      <c r="L25" s="2" t="s">
        <v>5</v>
      </c>
      <c r="M25" s="308">
        <f>I25/8.033</f>
        <v>1.3529990115542838</v>
      </c>
    </row>
    <row r="26" spans="1:28" x14ac:dyDescent="0.2">
      <c r="B26" s="2">
        <v>995</v>
      </c>
      <c r="C26" s="2">
        <f t="shared" si="6"/>
        <v>955</v>
      </c>
      <c r="D26" s="2">
        <v>0.88140923943522631</v>
      </c>
      <c r="E26" s="2" t="s">
        <v>5</v>
      </c>
      <c r="F26" s="2">
        <v>1.7397871769461498E-3</v>
      </c>
      <c r="G26" s="2">
        <v>1014.0316486340789</v>
      </c>
      <c r="H26" s="2" t="s">
        <v>5</v>
      </c>
      <c r="I26" s="2">
        <v>15.856096994585091</v>
      </c>
      <c r="J26" s="2">
        <v>-25.625261464606417</v>
      </c>
      <c r="K26" s="2">
        <v>-10.656521082831659</v>
      </c>
      <c r="L26" s="2" t="s">
        <v>5</v>
      </c>
      <c r="M26" s="2">
        <v>1.9738699109405069</v>
      </c>
    </row>
    <row r="27" spans="1:28" x14ac:dyDescent="0.2">
      <c r="B27" s="2">
        <v>996</v>
      </c>
      <c r="C27" s="2">
        <f t="shared" si="6"/>
        <v>954</v>
      </c>
      <c r="D27" s="2">
        <v>0.87930370613654985</v>
      </c>
      <c r="E27" s="2" t="s">
        <v>5</v>
      </c>
      <c r="F27" s="2">
        <v>1.6972687828283994E-3</v>
      </c>
      <c r="G27" s="2">
        <v>1033.2440444913814</v>
      </c>
      <c r="H27" s="2" t="s">
        <v>5</v>
      </c>
      <c r="I27" s="2">
        <v>15.505632510484654</v>
      </c>
      <c r="J27" s="2">
        <v>-21.784658223911734</v>
      </c>
      <c r="K27" s="2">
        <v>-13.139271218644332</v>
      </c>
      <c r="L27" s="2" t="s">
        <v>5</v>
      </c>
      <c r="M27" s="2">
        <v>1.9302418163182691</v>
      </c>
    </row>
    <row r="28" spans="1:28" x14ac:dyDescent="0.2">
      <c r="B28" s="2">
        <v>997</v>
      </c>
      <c r="C28" s="2">
        <f t="shared" si="6"/>
        <v>953</v>
      </c>
      <c r="D28" s="2">
        <v>0.87740278488875345</v>
      </c>
      <c r="E28" s="2" t="s">
        <v>5</v>
      </c>
      <c r="F28" s="2">
        <v>1.6767068521766309E-3</v>
      </c>
      <c r="G28" s="2">
        <v>1050.6289706832326</v>
      </c>
      <c r="H28" s="2" t="s">
        <v>5</v>
      </c>
      <c r="I28" s="2">
        <v>15.350972638230933</v>
      </c>
      <c r="J28" s="2">
        <v>-20.627553621820226</v>
      </c>
      <c r="K28" s="2">
        <v>-15.391822665251631</v>
      </c>
      <c r="L28" s="2" t="s">
        <v>5</v>
      </c>
      <c r="M28" s="2">
        <v>1.9109887511802484</v>
      </c>
    </row>
    <row r="29" spans="1:28" x14ac:dyDescent="0.2">
      <c r="B29" s="2">
        <v>998</v>
      </c>
      <c r="C29" s="2">
        <f t="shared" si="6"/>
        <v>952</v>
      </c>
      <c r="D29" s="2">
        <v>0.87735431429762234</v>
      </c>
      <c r="E29" s="2" t="s">
        <v>5</v>
      </c>
      <c r="F29" s="2">
        <v>1.6743731604979559E-3</v>
      </c>
      <c r="G29" s="2">
        <v>1051.072752057687</v>
      </c>
      <c r="H29" s="2" t="s">
        <v>5</v>
      </c>
      <c r="I29" s="2">
        <v>15.330453591087482</v>
      </c>
      <c r="J29" s="2">
        <v>-20.688727602991342</v>
      </c>
      <c r="K29" s="2">
        <v>-15.565302875069854</v>
      </c>
      <c r="L29" s="2" t="s">
        <v>5</v>
      </c>
      <c r="M29" s="2">
        <v>1.9084344069572368</v>
      </c>
    </row>
    <row r="30" spans="1:28" x14ac:dyDescent="0.2">
      <c r="B30" s="2">
        <v>999</v>
      </c>
      <c r="C30" s="2">
        <f t="shared" si="6"/>
        <v>951</v>
      </c>
      <c r="D30" s="2">
        <v>0.881140792325799</v>
      </c>
      <c r="E30" s="2" t="s">
        <v>5</v>
      </c>
      <c r="F30" s="2">
        <v>1.7280331391840527E-3</v>
      </c>
      <c r="G30" s="2">
        <v>1016.4785983465355</v>
      </c>
      <c r="H30" s="2" t="s">
        <v>5</v>
      </c>
      <c r="I30" s="2">
        <v>15.75377093872296</v>
      </c>
      <c r="J30" s="2">
        <v>-21.744308966744175</v>
      </c>
      <c r="K30" s="2">
        <v>-11.436275005534903</v>
      </c>
      <c r="L30" s="2" t="s">
        <v>5</v>
      </c>
      <c r="M30" s="2">
        <v>1.9611316990816583</v>
      </c>
    </row>
    <row r="31" spans="1:28" x14ac:dyDescent="0.2">
      <c r="B31" s="2">
        <v>1000</v>
      </c>
      <c r="C31" s="2">
        <f t="shared" si="6"/>
        <v>950</v>
      </c>
      <c r="D31" s="2">
        <v>0.87641214946229218</v>
      </c>
      <c r="E31" s="2" t="s">
        <v>5</v>
      </c>
      <c r="F31" s="2">
        <v>1.667896845822005E-3</v>
      </c>
      <c r="G31" s="2">
        <v>1059.7037881810325</v>
      </c>
      <c r="H31" s="2" t="s">
        <v>5</v>
      </c>
      <c r="I31" s="2">
        <v>15.287573741085646</v>
      </c>
      <c r="J31" s="2">
        <v>-20.983940784457534</v>
      </c>
      <c r="K31" s="2">
        <v>-16.860333718006991</v>
      </c>
      <c r="L31" s="2" t="s">
        <v>5</v>
      </c>
      <c r="M31" s="2">
        <v>1.9030964448009022</v>
      </c>
    </row>
  </sheetData>
  <mergeCells count="3">
    <mergeCell ref="D3:F3"/>
    <mergeCell ref="G3:I3"/>
    <mergeCell ref="K3:M3"/>
  </mergeCells>
  <pageMargins left="0.7" right="0.7" top="0.75" bottom="0.75" header="0.3" footer="0.3"/>
  <pageSetup paperSize="9" orientation="portrait" horizontalDpi="4294967292" verticalDpi="429496729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opLeftCell="A4" workbookViewId="0">
      <selection activeCell="T20" sqref="T20"/>
    </sheetView>
  </sheetViews>
  <sheetFormatPr baseColWidth="10" defaultColWidth="8.6640625" defaultRowHeight="16" x14ac:dyDescent="0.2"/>
  <cols>
    <col min="1" max="1" width="17.1640625" bestFit="1" customWidth="1"/>
    <col min="2" max="3" width="9.1640625" bestFit="1" customWidth="1"/>
    <col min="4" max="4" width="8" bestFit="1" customWidth="1"/>
    <col min="5" max="5" width="1.6640625" bestFit="1" customWidth="1"/>
    <col min="6" max="7" width="8" bestFit="1" customWidth="1"/>
    <col min="8" max="8" width="1.6640625" bestFit="1" customWidth="1"/>
    <col min="9" max="9" width="8" bestFit="1" customWidth="1"/>
    <col min="10" max="10" width="11" customWidth="1"/>
    <col min="11" max="11" width="8" bestFit="1" customWidth="1"/>
    <col min="12" max="12" width="1.6640625" bestFit="1" customWidth="1"/>
    <col min="13" max="13" width="8" bestFit="1" customWidth="1"/>
    <col min="16" max="16" width="9.6640625" bestFit="1" customWidth="1"/>
    <col min="17" max="18" width="7.6640625" bestFit="1" customWidth="1"/>
    <col min="19" max="19" width="17.1640625" bestFit="1" customWidth="1"/>
    <col min="20" max="20" width="14.1640625" bestFit="1" customWidth="1"/>
    <col min="21" max="21" width="7.6640625" bestFit="1" customWidth="1"/>
    <col min="22" max="22" width="8.1640625" bestFit="1" customWidth="1"/>
    <col min="23" max="23" width="6.1640625" bestFit="1" customWidth="1"/>
    <col min="24" max="24" width="6.6640625" bestFit="1" customWidth="1"/>
    <col min="25" max="25" width="7.5" bestFit="1" customWidth="1"/>
    <col min="26" max="26" width="7.6640625" bestFit="1" customWidth="1"/>
    <col min="27" max="29" width="7.5" bestFit="1" customWidth="1"/>
    <col min="30" max="30" width="5.1640625" bestFit="1" customWidth="1"/>
    <col min="31" max="31" width="7.6640625" bestFit="1" customWidth="1"/>
    <col min="32" max="32" width="6.1640625" bestFit="1" customWidth="1"/>
    <col min="33" max="33" width="5.6640625" bestFit="1" customWidth="1"/>
    <col min="34" max="34" width="6.6640625" bestFit="1" customWidth="1"/>
  </cols>
  <sheetData>
    <row r="1" spans="1:34" x14ac:dyDescent="0.2">
      <c r="A1" s="1" t="s">
        <v>183</v>
      </c>
    </row>
    <row r="3" spans="1:34" x14ac:dyDescent="0.2">
      <c r="A3" s="52"/>
      <c r="B3" s="52" t="s">
        <v>17</v>
      </c>
      <c r="C3" s="53" t="s">
        <v>15</v>
      </c>
      <c r="D3" s="345" t="s">
        <v>1</v>
      </c>
      <c r="E3" s="345"/>
      <c r="F3" s="345"/>
      <c r="G3" s="345" t="s">
        <v>2</v>
      </c>
      <c r="H3" s="345"/>
      <c r="I3" s="345"/>
      <c r="J3" s="52" t="s">
        <v>3</v>
      </c>
      <c r="K3" s="346" t="s">
        <v>16</v>
      </c>
      <c r="L3" s="345"/>
      <c r="M3" s="345"/>
      <c r="P3" s="60"/>
      <c r="Q3" s="60"/>
      <c r="R3" s="60"/>
      <c r="S3" s="60"/>
      <c r="T3" s="60"/>
      <c r="U3" s="60"/>
      <c r="V3" s="61"/>
      <c r="W3" s="61"/>
      <c r="X3" s="61"/>
      <c r="Y3" s="61"/>
      <c r="Z3" s="60"/>
      <c r="AA3" s="61"/>
      <c r="AB3" s="60"/>
      <c r="AC3" s="60"/>
      <c r="AD3" s="60"/>
      <c r="AE3" s="60"/>
      <c r="AF3" s="60"/>
      <c r="AG3" s="60"/>
      <c r="AH3" s="61"/>
    </row>
    <row r="4" spans="1:34" x14ac:dyDescent="0.2">
      <c r="A4" s="62">
        <v>60217</v>
      </c>
      <c r="B4" s="62">
        <v>991</v>
      </c>
      <c r="C4" s="30">
        <f>1950-B4</f>
        <v>959</v>
      </c>
      <c r="D4" s="34">
        <v>0.87693282840510534</v>
      </c>
      <c r="E4" s="2" t="s">
        <v>5</v>
      </c>
      <c r="F4">
        <v>1.7600318225357613E-3</v>
      </c>
      <c r="G4" s="12">
        <f>-8033*LN(D4)</f>
        <v>1054.9327772010297</v>
      </c>
      <c r="H4" s="2" t="s">
        <v>5</v>
      </c>
      <c r="I4" s="4">
        <f>F4/D4*8033</f>
        <v>16.122484154394623</v>
      </c>
      <c r="J4" s="15">
        <v>-25.334721920455937</v>
      </c>
      <c r="K4" s="9">
        <f>(EXP(C4/8267)*EXP(-G4/8033)-1)*1000</f>
        <v>-15.204718106147318</v>
      </c>
      <c r="L4" s="2" t="s">
        <v>5</v>
      </c>
      <c r="M4" s="9">
        <f>I4/8.033</f>
        <v>2.0070315143028288</v>
      </c>
      <c r="N4">
        <f>1/F4^2</f>
        <v>322818.90463852225</v>
      </c>
      <c r="P4" s="31"/>
      <c r="Q4" s="31"/>
      <c r="R4" s="31"/>
      <c r="S4" s="31"/>
      <c r="T4" s="31"/>
      <c r="U4" s="31"/>
      <c r="V4" s="32"/>
      <c r="W4" s="33"/>
      <c r="X4" s="33"/>
      <c r="Y4" s="54"/>
      <c r="Z4" s="35"/>
      <c r="AA4" s="54"/>
      <c r="AB4" s="55"/>
      <c r="AC4" s="56"/>
      <c r="AD4" s="57"/>
      <c r="AE4" s="58"/>
      <c r="AF4" s="58"/>
      <c r="AG4" s="59"/>
      <c r="AH4" s="55"/>
    </row>
    <row r="5" spans="1:34" x14ac:dyDescent="0.2">
      <c r="A5" s="300">
        <v>60218</v>
      </c>
      <c r="B5" s="300">
        <v>992</v>
      </c>
      <c r="C5" s="309">
        <f t="shared" ref="C5:C16" si="0">1950-B5</f>
        <v>958</v>
      </c>
      <c r="D5" s="310">
        <v>0.87175194513198206</v>
      </c>
      <c r="E5" s="306" t="s">
        <v>5</v>
      </c>
      <c r="F5" s="307">
        <v>1.7105323690574886E-3</v>
      </c>
      <c r="G5" s="301">
        <f t="shared" ref="G5:G16" si="1">-8033*LN(D5)</f>
        <v>1102.5321590161304</v>
      </c>
      <c r="H5" s="306" t="s">
        <v>5</v>
      </c>
      <c r="I5" s="304">
        <f t="shared" ref="I5:I16" si="2">F5/D5*8033</f>
        <v>15.76217477617269</v>
      </c>
      <c r="J5" s="311">
        <v>-23.380396543800863</v>
      </c>
      <c r="K5" s="305">
        <f t="shared" ref="K5:K16" si="3">(EXP(C5/8267)*EXP(-G5/8033)-1)*1000</f>
        <v>-21.141261060143357</v>
      </c>
      <c r="L5" s="306" t="s">
        <v>5</v>
      </c>
      <c r="M5" s="305">
        <f t="shared" ref="M5:M16" si="4">I5/8.033</f>
        <v>1.9621778633353282</v>
      </c>
      <c r="N5">
        <f t="shared" ref="N5:N16" si="5">1/F5^2</f>
        <v>341772.72897107428</v>
      </c>
      <c r="P5" s="31"/>
      <c r="Q5" s="31"/>
      <c r="R5" s="31"/>
      <c r="S5" s="31"/>
      <c r="T5" s="31"/>
      <c r="U5" s="31"/>
      <c r="V5" s="32"/>
      <c r="W5" s="33"/>
      <c r="X5" s="33"/>
      <c r="Y5" s="54"/>
      <c r="Z5" s="35"/>
      <c r="AA5" s="54"/>
      <c r="AB5" s="55"/>
      <c r="AC5" s="56"/>
      <c r="AD5" s="57"/>
      <c r="AE5" s="58"/>
      <c r="AF5" s="58"/>
      <c r="AG5" s="59"/>
      <c r="AH5" s="55"/>
    </row>
    <row r="6" spans="1:34" x14ac:dyDescent="0.2">
      <c r="A6" s="300">
        <v>60218</v>
      </c>
      <c r="B6" s="300">
        <v>992</v>
      </c>
      <c r="C6" s="309">
        <f t="shared" si="0"/>
        <v>958</v>
      </c>
      <c r="D6" s="310">
        <v>0.87175731818674074</v>
      </c>
      <c r="E6" s="306" t="s">
        <v>5</v>
      </c>
      <c r="F6" s="307">
        <v>1.7187940737634602E-3</v>
      </c>
      <c r="G6" s="301">
        <f t="shared" si="1"/>
        <v>1102.4826476659075</v>
      </c>
      <c r="H6" s="306" t="s">
        <v>5</v>
      </c>
      <c r="I6" s="304">
        <f t="shared" si="2"/>
        <v>15.838206925822718</v>
      </c>
      <c r="J6" s="311">
        <v>-23.018969082605146</v>
      </c>
      <c r="K6" s="305">
        <f t="shared" si="3"/>
        <v>-21.135227851230344</v>
      </c>
      <c r="L6" s="306" t="s">
        <v>5</v>
      </c>
      <c r="M6" s="305">
        <f t="shared" si="4"/>
        <v>1.9716428390168952</v>
      </c>
      <c r="N6">
        <f t="shared" si="5"/>
        <v>338495.03647143662</v>
      </c>
      <c r="P6" s="31"/>
      <c r="Q6" s="31"/>
      <c r="R6" s="31"/>
      <c r="S6" s="31"/>
      <c r="T6" s="31"/>
      <c r="U6" s="31"/>
      <c r="V6" s="32"/>
      <c r="W6" s="33"/>
      <c r="X6" s="33"/>
      <c r="Y6" s="54"/>
      <c r="Z6" s="35"/>
      <c r="AA6" s="54"/>
      <c r="AB6" s="55"/>
      <c r="AC6" s="56"/>
      <c r="AD6" s="57"/>
      <c r="AE6" s="58"/>
      <c r="AF6" s="58"/>
      <c r="AG6" s="59"/>
      <c r="AH6" s="55"/>
    </row>
    <row r="7" spans="1:34" x14ac:dyDescent="0.2">
      <c r="A7" s="62">
        <v>60219</v>
      </c>
      <c r="B7" s="62">
        <v>993</v>
      </c>
      <c r="C7" s="30">
        <f t="shared" si="0"/>
        <v>957</v>
      </c>
      <c r="D7" s="34">
        <v>0.87690189875597124</v>
      </c>
      <c r="E7" s="2" t="s">
        <v>5</v>
      </c>
      <c r="F7">
        <v>1.6945528211573669E-3</v>
      </c>
      <c r="G7" s="12">
        <f t="shared" si="1"/>
        <v>1055.2161081987254</v>
      </c>
      <c r="H7" s="2" t="s">
        <v>5</v>
      </c>
      <c r="I7" s="4">
        <f t="shared" si="2"/>
        <v>15.523221960938235</v>
      </c>
      <c r="J7" s="15">
        <v>-22.511241885357691</v>
      </c>
      <c r="K7" s="9">
        <f t="shared" si="3"/>
        <v>-15.47766218960367</v>
      </c>
      <c r="L7" s="2" t="s">
        <v>5</v>
      </c>
      <c r="M7" s="9">
        <f t="shared" si="4"/>
        <v>1.9324314653228229</v>
      </c>
      <c r="N7">
        <f t="shared" si="5"/>
        <v>348248.9200519342</v>
      </c>
      <c r="P7" s="31"/>
      <c r="Q7" s="31"/>
      <c r="R7" s="31"/>
      <c r="S7" s="31"/>
      <c r="T7" s="31"/>
      <c r="U7" s="31"/>
      <c r="V7" s="32"/>
      <c r="W7" s="33"/>
      <c r="X7" s="33"/>
      <c r="Y7" s="54"/>
      <c r="Z7" s="35"/>
      <c r="AA7" s="54"/>
      <c r="AB7" s="55"/>
      <c r="AC7" s="56"/>
      <c r="AD7" s="57"/>
      <c r="AE7" s="58"/>
      <c r="AF7" s="58"/>
      <c r="AG7" s="59"/>
      <c r="AH7" s="55"/>
    </row>
    <row r="8" spans="1:34" x14ac:dyDescent="0.2">
      <c r="A8" s="62">
        <v>60219</v>
      </c>
      <c r="B8" s="62">
        <v>993</v>
      </c>
      <c r="C8" s="30">
        <f t="shared" si="0"/>
        <v>957</v>
      </c>
      <c r="D8" s="34">
        <v>0.8776425563101774</v>
      </c>
      <c r="E8" s="2" t="s">
        <v>5</v>
      </c>
      <c r="F8">
        <v>1.7322668993681309E-3</v>
      </c>
      <c r="G8" s="12">
        <f t="shared" si="1"/>
        <v>1048.4340600503645</v>
      </c>
      <c r="H8" s="2" t="s">
        <v>5</v>
      </c>
      <c r="I8" s="4">
        <f t="shared" si="2"/>
        <v>15.855315928534161</v>
      </c>
      <c r="J8" s="15">
        <v>-21.464171218022464</v>
      </c>
      <c r="K8" s="9">
        <f t="shared" si="3"/>
        <v>-14.646105195807113</v>
      </c>
      <c r="L8" s="2" t="s">
        <v>5</v>
      </c>
      <c r="M8" s="9">
        <f t="shared" si="4"/>
        <v>1.973772678766857</v>
      </c>
      <c r="N8">
        <f t="shared" si="5"/>
        <v>333250.17512365396</v>
      </c>
      <c r="P8" s="31"/>
      <c r="Q8" s="31"/>
      <c r="R8" s="31"/>
      <c r="S8" s="31"/>
      <c r="T8" s="31"/>
      <c r="U8" s="31"/>
      <c r="V8" s="32"/>
      <c r="W8" s="33"/>
      <c r="X8" s="33"/>
      <c r="Y8" s="54"/>
      <c r="Z8" s="35"/>
      <c r="AA8" s="54"/>
      <c r="AB8" s="55"/>
      <c r="AC8" s="56"/>
      <c r="AD8" s="57"/>
      <c r="AE8" s="58"/>
      <c r="AF8" s="58"/>
      <c r="AG8" s="59"/>
      <c r="AH8" s="55"/>
    </row>
    <row r="9" spans="1:34" x14ac:dyDescent="0.2">
      <c r="A9" s="300">
        <v>60220</v>
      </c>
      <c r="B9" s="300">
        <v>994</v>
      </c>
      <c r="C9" s="309">
        <f t="shared" si="0"/>
        <v>956</v>
      </c>
      <c r="D9" s="310">
        <v>0.88042552393407869</v>
      </c>
      <c r="E9" s="306" t="s">
        <v>5</v>
      </c>
      <c r="F9" s="307">
        <v>1.7249945842760675E-3</v>
      </c>
      <c r="G9" s="301">
        <f t="shared" si="1"/>
        <v>1023.0020556281834</v>
      </c>
      <c r="H9" s="306" t="s">
        <v>5</v>
      </c>
      <c r="I9" s="304">
        <f t="shared" si="2"/>
        <v>15.738845727202222</v>
      </c>
      <c r="J9" s="311">
        <v>-22.352702035331127</v>
      </c>
      <c r="K9" s="305">
        <f t="shared" si="3"/>
        <v>-11.641151397439709</v>
      </c>
      <c r="L9" s="306" t="s">
        <v>5</v>
      </c>
      <c r="M9" s="305">
        <f t="shared" si="4"/>
        <v>1.9592737118389423</v>
      </c>
      <c r="N9">
        <f t="shared" si="5"/>
        <v>336065.96232044767</v>
      </c>
      <c r="P9" s="31"/>
      <c r="Q9" s="31"/>
      <c r="R9" s="31"/>
      <c r="S9" s="31"/>
      <c r="T9" s="31"/>
      <c r="U9" s="31"/>
      <c r="V9" s="32"/>
      <c r="W9" s="33"/>
      <c r="X9" s="33"/>
      <c r="Y9" s="54"/>
      <c r="Z9" s="35"/>
      <c r="AA9" s="54"/>
      <c r="AB9" s="55"/>
      <c r="AC9" s="56"/>
      <c r="AD9" s="57"/>
      <c r="AE9" s="58"/>
      <c r="AF9" s="58"/>
      <c r="AG9" s="59"/>
      <c r="AH9" s="55"/>
    </row>
    <row r="10" spans="1:34" x14ac:dyDescent="0.2">
      <c r="A10" s="300">
        <v>60220</v>
      </c>
      <c r="B10" s="300">
        <v>994</v>
      </c>
      <c r="C10" s="309">
        <f t="shared" si="0"/>
        <v>956</v>
      </c>
      <c r="D10" s="310">
        <v>0.88319101826618884</v>
      </c>
      <c r="E10" s="306" t="s">
        <v>5</v>
      </c>
      <c r="F10" s="307">
        <v>1.7552671994207378E-3</v>
      </c>
      <c r="G10" s="301">
        <f>-8033*LN(D10)</f>
        <v>997.80923888318864</v>
      </c>
      <c r="H10" s="306" t="s">
        <v>5</v>
      </c>
      <c r="I10" s="304">
        <f t="shared" si="2"/>
        <v>15.964905803307326</v>
      </c>
      <c r="J10" s="311">
        <v>-21.742631548436808</v>
      </c>
      <c r="K10" s="305">
        <f t="shared" si="3"/>
        <v>-8.5366289595987244</v>
      </c>
      <c r="L10" s="306" t="s">
        <v>5</v>
      </c>
      <c r="M10" s="305">
        <f t="shared" si="4"/>
        <v>1.9874151379692926</v>
      </c>
      <c r="N10">
        <f t="shared" si="5"/>
        <v>324573.84883630782</v>
      </c>
      <c r="P10" s="31"/>
      <c r="Q10" s="31"/>
      <c r="R10" s="31"/>
      <c r="S10" s="31"/>
      <c r="T10" s="31"/>
      <c r="U10" s="31"/>
      <c r="V10" s="32"/>
      <c r="W10" s="33"/>
      <c r="X10" s="33"/>
      <c r="Y10" s="54"/>
      <c r="Z10" s="35"/>
      <c r="AA10" s="54"/>
      <c r="AB10" s="55"/>
      <c r="AC10" s="56"/>
      <c r="AD10" s="57"/>
      <c r="AE10" s="58"/>
      <c r="AF10" s="58"/>
      <c r="AG10" s="59"/>
      <c r="AH10" s="55"/>
    </row>
    <row r="11" spans="1:34" x14ac:dyDescent="0.2">
      <c r="A11" s="62">
        <v>60221</v>
      </c>
      <c r="B11" s="62">
        <v>995</v>
      </c>
      <c r="C11" s="30">
        <f t="shared" si="0"/>
        <v>955</v>
      </c>
      <c r="D11" s="34">
        <v>0.88407533914632286</v>
      </c>
      <c r="E11" s="2" t="s">
        <v>5</v>
      </c>
      <c r="F11">
        <v>1.7794275607440884E-3</v>
      </c>
      <c r="G11" s="12">
        <f t="shared" si="1"/>
        <v>989.76998640353611</v>
      </c>
      <c r="H11" s="2" t="s">
        <v>5</v>
      </c>
      <c r="I11" s="4">
        <f t="shared" si="2"/>
        <v>16.168465471800076</v>
      </c>
      <c r="J11" s="15">
        <v>-25.334472362256498</v>
      </c>
      <c r="K11" s="9">
        <f t="shared" si="3"/>
        <v>-7.6639402868707851</v>
      </c>
      <c r="L11" s="2" t="s">
        <v>5</v>
      </c>
      <c r="M11" s="9">
        <f t="shared" si="4"/>
        <v>2.0127555672600619</v>
      </c>
      <c r="N11">
        <f t="shared" si="5"/>
        <v>315819.81459994888</v>
      </c>
      <c r="P11" s="31"/>
      <c r="Q11" s="31"/>
      <c r="R11" s="31"/>
      <c r="S11" s="31"/>
      <c r="T11" s="31"/>
      <c r="U11" s="31"/>
      <c r="V11" s="32"/>
      <c r="W11" s="33"/>
      <c r="X11" s="33"/>
      <c r="Y11" s="54"/>
      <c r="Z11" s="35"/>
      <c r="AA11" s="54"/>
      <c r="AB11" s="55"/>
      <c r="AC11" s="56"/>
      <c r="AD11" s="57"/>
      <c r="AE11" s="58"/>
      <c r="AF11" s="58"/>
      <c r="AG11" s="59"/>
      <c r="AH11" s="55"/>
    </row>
    <row r="12" spans="1:34" x14ac:dyDescent="0.2">
      <c r="A12" s="62">
        <v>60222</v>
      </c>
      <c r="B12" s="62">
        <v>996</v>
      </c>
      <c r="C12" s="30">
        <f t="shared" si="0"/>
        <v>954</v>
      </c>
      <c r="D12" s="34">
        <v>0.88474244479910025</v>
      </c>
      <c r="E12" s="2" t="s">
        <v>5</v>
      </c>
      <c r="F12">
        <v>1.7947056293768342E-3</v>
      </c>
      <c r="G12" s="12">
        <f t="shared" si="1"/>
        <v>983.71073031567641</v>
      </c>
      <c r="H12" s="2" t="s">
        <v>5</v>
      </c>
      <c r="I12" s="4">
        <f t="shared" si="2"/>
        <v>16.294991164414824</v>
      </c>
      <c r="J12" s="15">
        <v>-21.959668902261864</v>
      </c>
      <c r="K12" s="9">
        <f t="shared" si="3"/>
        <v>-7.0352623731018138</v>
      </c>
      <c r="L12" s="2" t="s">
        <v>5</v>
      </c>
      <c r="M12" s="9">
        <f t="shared" si="4"/>
        <v>2.0285063070353324</v>
      </c>
      <c r="N12">
        <f t="shared" si="5"/>
        <v>310465.64513086627</v>
      </c>
      <c r="P12" s="31"/>
      <c r="Q12" s="31"/>
      <c r="R12" s="31"/>
      <c r="S12" s="31"/>
      <c r="T12" s="31"/>
      <c r="U12" s="31"/>
      <c r="V12" s="32"/>
      <c r="W12" s="33"/>
      <c r="X12" s="33"/>
      <c r="Y12" s="54"/>
      <c r="Z12" s="35"/>
      <c r="AA12" s="54"/>
      <c r="AB12" s="55"/>
      <c r="AC12" s="56"/>
      <c r="AD12" s="57"/>
      <c r="AE12" s="58"/>
      <c r="AF12" s="58"/>
      <c r="AG12" s="59"/>
      <c r="AH12" s="55"/>
    </row>
    <row r="13" spans="1:34" x14ac:dyDescent="0.2">
      <c r="A13" s="62">
        <v>60223</v>
      </c>
      <c r="B13" s="62">
        <v>997</v>
      </c>
      <c r="C13" s="30">
        <f t="shared" si="0"/>
        <v>953</v>
      </c>
      <c r="D13" s="34">
        <v>0.88332594449057467</v>
      </c>
      <c r="E13" s="2" t="s">
        <v>5</v>
      </c>
      <c r="F13">
        <v>1.7474934974465513E-3</v>
      </c>
      <c r="G13" s="12">
        <f t="shared" si="1"/>
        <v>996.58212090419397</v>
      </c>
      <c r="H13" s="2" t="s">
        <v>5</v>
      </c>
      <c r="I13" s="4">
        <f t="shared" si="2"/>
        <v>15.891772852979901</v>
      </c>
      <c r="J13" s="15">
        <v>-21.2545829903118</v>
      </c>
      <c r="K13" s="9">
        <f t="shared" si="3"/>
        <v>-8.7449422586075585</v>
      </c>
      <c r="L13" s="2" t="s">
        <v>5</v>
      </c>
      <c r="M13" s="9">
        <f t="shared" si="4"/>
        <v>1.9783110734445291</v>
      </c>
      <c r="N13">
        <f t="shared" si="5"/>
        <v>327467.99688508094</v>
      </c>
      <c r="P13" s="31"/>
      <c r="Q13" s="31"/>
      <c r="R13" s="31"/>
      <c r="S13" s="31"/>
      <c r="T13" s="31"/>
      <c r="U13" s="31"/>
      <c r="V13" s="32"/>
      <c r="W13" s="33"/>
      <c r="X13" s="33"/>
      <c r="Y13" s="54"/>
      <c r="Z13" s="35"/>
      <c r="AA13" s="54"/>
      <c r="AB13" s="55"/>
      <c r="AC13" s="56"/>
      <c r="AD13" s="57"/>
      <c r="AE13" s="58"/>
      <c r="AF13" s="58"/>
      <c r="AG13" s="59"/>
      <c r="AH13" s="55"/>
    </row>
    <row r="14" spans="1:34" x14ac:dyDescent="0.2">
      <c r="A14" s="62">
        <v>60224</v>
      </c>
      <c r="B14" s="62">
        <v>998</v>
      </c>
      <c r="C14" s="30">
        <f t="shared" si="0"/>
        <v>952</v>
      </c>
      <c r="D14" s="34">
        <v>0.87845744225686839</v>
      </c>
      <c r="E14" s="2" t="s">
        <v>5</v>
      </c>
      <c r="F14">
        <v>1.68951169851562E-3</v>
      </c>
      <c r="G14" s="12">
        <f t="shared" si="1"/>
        <v>1040.9789273301906</v>
      </c>
      <c r="H14" s="2" t="s">
        <v>5</v>
      </c>
      <c r="I14" s="4">
        <f t="shared" si="2"/>
        <v>15.449635715201161</v>
      </c>
      <c r="J14" s="9">
        <v>-21.251746264664749</v>
      </c>
      <c r="K14" s="9">
        <f t="shared" si="3"/>
        <v>-14.327539042655268</v>
      </c>
      <c r="L14" s="2" t="s">
        <v>5</v>
      </c>
      <c r="M14" s="9">
        <f t="shared" si="4"/>
        <v>1.9232709716421215</v>
      </c>
      <c r="N14">
        <f t="shared" si="5"/>
        <v>350330.21327241347</v>
      </c>
      <c r="P14" s="31"/>
      <c r="Q14" s="31"/>
      <c r="R14" s="31"/>
      <c r="S14" s="31"/>
      <c r="T14" s="31"/>
      <c r="U14" s="31"/>
      <c r="V14" s="32"/>
      <c r="W14" s="33"/>
      <c r="X14" s="33"/>
      <c r="Y14" s="54"/>
      <c r="Z14" s="35"/>
      <c r="AA14" s="54"/>
      <c r="AB14" s="55"/>
      <c r="AC14" s="56"/>
      <c r="AD14" s="57"/>
      <c r="AE14" s="58"/>
      <c r="AF14" s="58"/>
      <c r="AG14" s="59"/>
      <c r="AH14" s="55"/>
    </row>
    <row r="15" spans="1:34" x14ac:dyDescent="0.2">
      <c r="A15" s="62">
        <v>60225</v>
      </c>
      <c r="B15" s="62">
        <v>999</v>
      </c>
      <c r="C15" s="30">
        <f t="shared" si="0"/>
        <v>951</v>
      </c>
      <c r="D15" s="34">
        <v>0.88147104521968045</v>
      </c>
      <c r="E15" s="2" t="s">
        <v>5</v>
      </c>
      <c r="F15">
        <v>1.8255200278957703E-3</v>
      </c>
      <c r="G15" s="12">
        <f t="shared" si="1"/>
        <v>1013.4683819493868</v>
      </c>
      <c r="H15" s="2" t="s">
        <v>5</v>
      </c>
      <c r="I15" s="4">
        <f t="shared" si="2"/>
        <v>16.63628370280961</v>
      </c>
      <c r="J15" s="9">
        <v>-23.214658392892161</v>
      </c>
      <c r="K15" s="9">
        <f t="shared" si="3"/>
        <v>-11.06575983496394</v>
      </c>
      <c r="L15" s="2" t="s">
        <v>5</v>
      </c>
      <c r="M15" s="9">
        <f t="shared" si="4"/>
        <v>2.070992618300711</v>
      </c>
      <c r="N15">
        <f t="shared" si="5"/>
        <v>300072.91421493131</v>
      </c>
      <c r="P15" s="31"/>
      <c r="Q15" s="31"/>
      <c r="R15" s="31"/>
      <c r="S15" s="31"/>
      <c r="T15" s="31"/>
      <c r="U15" s="31"/>
      <c r="V15" s="32"/>
      <c r="W15" s="33"/>
      <c r="X15" s="33"/>
      <c r="Y15" s="54"/>
      <c r="Z15" s="35"/>
      <c r="AA15" s="54"/>
      <c r="AB15" s="55"/>
      <c r="AC15" s="56"/>
      <c r="AD15" s="57"/>
      <c r="AE15" s="58"/>
      <c r="AF15" s="58"/>
      <c r="AG15" s="59"/>
      <c r="AH15" s="55"/>
    </row>
    <row r="16" spans="1:34" x14ac:dyDescent="0.2">
      <c r="A16" s="62">
        <v>60226</v>
      </c>
      <c r="B16" s="62">
        <v>1000</v>
      </c>
      <c r="C16" s="30">
        <f t="shared" si="0"/>
        <v>950</v>
      </c>
      <c r="D16" s="34">
        <v>0.87993115425922386</v>
      </c>
      <c r="E16" s="2" t="s">
        <v>5</v>
      </c>
      <c r="F16">
        <v>1.8538756433208708E-3</v>
      </c>
      <c r="G16" s="12">
        <f t="shared" si="1"/>
        <v>1027.513950009255</v>
      </c>
      <c r="H16" s="2" t="s">
        <v>5</v>
      </c>
      <c r="I16" s="4">
        <f t="shared" si="2"/>
        <v>16.92425932496235</v>
      </c>
      <c r="J16" s="9">
        <v>-22.726654140786117</v>
      </c>
      <c r="K16" s="9">
        <f t="shared" si="3"/>
        <v>-12.912792365661785</v>
      </c>
      <c r="L16" s="2" t="s">
        <v>5</v>
      </c>
      <c r="M16" s="9">
        <f t="shared" si="4"/>
        <v>2.1068416936340535</v>
      </c>
      <c r="N16">
        <f t="shared" si="5"/>
        <v>290963.69466706499</v>
      </c>
      <c r="P16" s="31"/>
      <c r="Q16" s="31"/>
      <c r="R16" s="31"/>
      <c r="S16" s="31"/>
      <c r="T16" s="31"/>
      <c r="U16" s="31"/>
      <c r="V16" s="32"/>
      <c r="W16" s="33"/>
      <c r="X16" s="33"/>
      <c r="Y16" s="54"/>
      <c r="Z16" s="35"/>
      <c r="AA16" s="54"/>
      <c r="AB16" s="55"/>
      <c r="AC16" s="56"/>
      <c r="AD16" s="57"/>
      <c r="AE16" s="58"/>
      <c r="AF16" s="58"/>
      <c r="AG16" s="59"/>
      <c r="AH16" s="55"/>
    </row>
    <row r="17" spans="2:13" x14ac:dyDescent="0.2">
      <c r="D17" s="158"/>
    </row>
    <row r="19" spans="2:13" x14ac:dyDescent="0.2">
      <c r="B19" s="1" t="s">
        <v>330</v>
      </c>
    </row>
    <row r="20" spans="2:13" x14ac:dyDescent="0.2">
      <c r="B20" t="s">
        <v>17</v>
      </c>
      <c r="C20" t="s">
        <v>15</v>
      </c>
      <c r="D20" t="s">
        <v>1</v>
      </c>
      <c r="G20" t="s">
        <v>2</v>
      </c>
      <c r="J20" t="s">
        <v>3</v>
      </c>
      <c r="K20" t="s">
        <v>16</v>
      </c>
    </row>
    <row r="21" spans="2:13" x14ac:dyDescent="0.2">
      <c r="B21">
        <v>991</v>
      </c>
      <c r="C21">
        <f>1950-B21</f>
        <v>959</v>
      </c>
      <c r="D21">
        <v>0.87693282840510534</v>
      </c>
      <c r="E21" t="s">
        <v>5</v>
      </c>
      <c r="F21">
        <v>1.7600318225357613E-3</v>
      </c>
      <c r="G21" s="12">
        <f>-8033*LN(D21)</f>
        <v>1054.9327772010297</v>
      </c>
      <c r="H21" t="s">
        <v>5</v>
      </c>
      <c r="I21" s="4">
        <f>F21/D21*8033</f>
        <v>16.122484154394623</v>
      </c>
      <c r="K21" s="9">
        <f>(EXP(C21/8267)*EXP(-G21/8033)-1)*1000</f>
        <v>-15.204718106147318</v>
      </c>
      <c r="L21" t="s">
        <v>5</v>
      </c>
      <c r="M21" s="9">
        <f>I21/8.033</f>
        <v>2.0070315143028288</v>
      </c>
    </row>
    <row r="22" spans="2:13" x14ac:dyDescent="0.2">
      <c r="B22">
        <v>992</v>
      </c>
      <c r="C22">
        <f>1950-B22</f>
        <v>958</v>
      </c>
      <c r="D22">
        <f>(D5*N5+D6*N6)/(N5+N6)</f>
        <v>0.87175461871503113</v>
      </c>
      <c r="E22" t="s">
        <v>5</v>
      </c>
      <c r="F22">
        <f>SQRT(1/(N5+N6))</f>
        <v>1.2124394358957499E-3</v>
      </c>
      <c r="G22" s="12">
        <f t="shared" ref="G22:G30" si="6">-8033*LN(D22)</f>
        <v>1102.5075225816272</v>
      </c>
      <c r="H22" t="s">
        <v>5</v>
      </c>
      <c r="I22" s="4">
        <f t="shared" ref="I22:I30" si="7">F22/D22*8033</f>
        <v>11.172325078020979</v>
      </c>
      <c r="K22" s="9">
        <f t="shared" ref="K22:K30" si="8">(EXP(C22/8267)*EXP(-G22/8033)-1)*1000</f>
        <v>-21.138258990407333</v>
      </c>
      <c r="L22" t="s">
        <v>5</v>
      </c>
      <c r="M22" s="9">
        <f t="shared" ref="M22:M30" si="9">I22/8.033</f>
        <v>1.3908035700262642</v>
      </c>
    </row>
    <row r="23" spans="2:13" x14ac:dyDescent="0.2">
      <c r="B23">
        <v>993</v>
      </c>
      <c r="C23">
        <f t="shared" ref="C23:C30" si="10">1950-B23</f>
        <v>957</v>
      </c>
      <c r="D23">
        <f>(D7*N7+D8*N8)/(N7+N8)</f>
        <v>0.87726407716734855</v>
      </c>
      <c r="E23" t="s">
        <v>5</v>
      </c>
      <c r="F23">
        <f>SQRT(1/(N7+N8))</f>
        <v>1.2113436254283792E-3</v>
      </c>
      <c r="G23" s="12">
        <f t="shared" si="6"/>
        <v>1051.8989999434432</v>
      </c>
      <c r="H23" t="s">
        <v>5</v>
      </c>
      <c r="I23" s="4">
        <f t="shared" si="7"/>
        <v>11.092125616822583</v>
      </c>
      <c r="K23" s="9">
        <f t="shared" si="8"/>
        <v>-15.071034336728072</v>
      </c>
      <c r="L23" t="s">
        <v>5</v>
      </c>
      <c r="M23" s="9">
        <f t="shared" si="9"/>
        <v>1.3808198203439044</v>
      </c>
    </row>
    <row r="24" spans="2:13" x14ac:dyDescent="0.2">
      <c r="B24">
        <v>994</v>
      </c>
      <c r="C24">
        <f t="shared" si="10"/>
        <v>956</v>
      </c>
      <c r="D24">
        <f>(D9*N9+D10*N10)/(N9+N10)</f>
        <v>0.88178421761882075</v>
      </c>
      <c r="E24" t="s">
        <v>5</v>
      </c>
      <c r="F24">
        <f>SQRT(1/(N9+N10))</f>
        <v>1.2303187120981775E-3</v>
      </c>
      <c r="G24" s="12">
        <f t="shared" si="6"/>
        <v>1010.6148939017205</v>
      </c>
      <c r="H24" t="s">
        <v>5</v>
      </c>
      <c r="I24" s="4">
        <f t="shared" si="7"/>
        <v>11.208127812690071</v>
      </c>
      <c r="K24" s="9">
        <f t="shared" si="8"/>
        <v>-10.115892429645722</v>
      </c>
      <c r="L24" t="s">
        <v>5</v>
      </c>
      <c r="M24" s="9">
        <f t="shared" si="9"/>
        <v>1.3952605269127438</v>
      </c>
    </row>
    <row r="25" spans="2:13" x14ac:dyDescent="0.2">
      <c r="B25">
        <v>995</v>
      </c>
      <c r="C25">
        <f t="shared" si="10"/>
        <v>955</v>
      </c>
      <c r="D25">
        <v>0.88407533914632297</v>
      </c>
      <c r="E25" t="s">
        <v>5</v>
      </c>
      <c r="F25">
        <v>1.7794275607440899E-3</v>
      </c>
      <c r="G25" s="12">
        <f t="shared" si="6"/>
        <v>989.76998640353509</v>
      </c>
      <c r="H25" t="s">
        <v>5</v>
      </c>
      <c r="I25" s="4">
        <f t="shared" si="7"/>
        <v>16.168465471800086</v>
      </c>
      <c r="K25" s="9">
        <f t="shared" si="8"/>
        <v>-7.6639402868706741</v>
      </c>
      <c r="L25" t="s">
        <v>5</v>
      </c>
      <c r="M25" s="9">
        <f t="shared" si="9"/>
        <v>2.0127555672600632</v>
      </c>
    </row>
    <row r="26" spans="2:13" x14ac:dyDescent="0.2">
      <c r="B26">
        <v>996</v>
      </c>
      <c r="C26">
        <f t="shared" si="10"/>
        <v>954</v>
      </c>
      <c r="D26">
        <v>0.88474244479910025</v>
      </c>
      <c r="E26" t="s">
        <v>5</v>
      </c>
      <c r="F26">
        <v>1.7947056293768342E-3</v>
      </c>
      <c r="G26" s="12">
        <f t="shared" si="6"/>
        <v>983.71073031567641</v>
      </c>
      <c r="H26" t="s">
        <v>5</v>
      </c>
      <c r="I26" s="4">
        <f t="shared" si="7"/>
        <v>16.294991164414824</v>
      </c>
      <c r="K26" s="9">
        <f t="shared" si="8"/>
        <v>-7.0352623731018138</v>
      </c>
      <c r="L26" t="s">
        <v>5</v>
      </c>
      <c r="M26" s="9">
        <f t="shared" si="9"/>
        <v>2.0285063070353324</v>
      </c>
    </row>
    <row r="27" spans="2:13" x14ac:dyDescent="0.2">
      <c r="B27">
        <v>997</v>
      </c>
      <c r="C27">
        <f t="shared" si="10"/>
        <v>953</v>
      </c>
      <c r="D27">
        <v>0.88332594449057467</v>
      </c>
      <c r="E27" t="s">
        <v>5</v>
      </c>
      <c r="F27">
        <v>1.7474934974465513E-3</v>
      </c>
      <c r="G27" s="12">
        <f t="shared" si="6"/>
        <v>996.58212090419397</v>
      </c>
      <c r="H27" t="s">
        <v>5</v>
      </c>
      <c r="I27" s="4">
        <f t="shared" si="7"/>
        <v>15.891772852979901</v>
      </c>
      <c r="K27" s="9">
        <f t="shared" si="8"/>
        <v>-8.7449422586075585</v>
      </c>
      <c r="L27" t="s">
        <v>5</v>
      </c>
      <c r="M27" s="9">
        <f t="shared" si="9"/>
        <v>1.9783110734445291</v>
      </c>
    </row>
    <row r="28" spans="2:13" x14ac:dyDescent="0.2">
      <c r="B28">
        <v>998</v>
      </c>
      <c r="C28">
        <f t="shared" si="10"/>
        <v>952</v>
      </c>
      <c r="D28">
        <v>0.87845744225686839</v>
      </c>
      <c r="E28" t="s">
        <v>5</v>
      </c>
      <c r="F28">
        <v>1.68951169851562E-3</v>
      </c>
      <c r="G28" s="12">
        <f t="shared" si="6"/>
        <v>1040.9789273301906</v>
      </c>
      <c r="H28" t="s">
        <v>5</v>
      </c>
      <c r="I28" s="4">
        <f t="shared" si="7"/>
        <v>15.449635715201161</v>
      </c>
      <c r="K28" s="9">
        <f t="shared" si="8"/>
        <v>-14.327539042655268</v>
      </c>
      <c r="L28" t="s">
        <v>5</v>
      </c>
      <c r="M28" s="9">
        <f t="shared" si="9"/>
        <v>1.9232709716421215</v>
      </c>
    </row>
    <row r="29" spans="2:13" x14ac:dyDescent="0.2">
      <c r="B29">
        <v>999</v>
      </c>
      <c r="C29">
        <f t="shared" si="10"/>
        <v>951</v>
      </c>
      <c r="D29">
        <v>0.88147104521968045</v>
      </c>
      <c r="E29" t="s">
        <v>5</v>
      </c>
      <c r="F29">
        <v>1.8255200278957703E-3</v>
      </c>
      <c r="G29" s="12">
        <f t="shared" si="6"/>
        <v>1013.4683819493868</v>
      </c>
      <c r="H29" t="s">
        <v>5</v>
      </c>
      <c r="I29" s="4">
        <f t="shared" si="7"/>
        <v>16.63628370280961</v>
      </c>
      <c r="K29" s="9">
        <f t="shared" si="8"/>
        <v>-11.06575983496394</v>
      </c>
      <c r="L29" t="s">
        <v>5</v>
      </c>
      <c r="M29" s="9">
        <f t="shared" si="9"/>
        <v>2.070992618300711</v>
      </c>
    </row>
    <row r="30" spans="2:13" x14ac:dyDescent="0.2">
      <c r="B30">
        <v>1000</v>
      </c>
      <c r="C30">
        <f t="shared" si="10"/>
        <v>950</v>
      </c>
      <c r="D30">
        <v>0.87993115425922386</v>
      </c>
      <c r="E30" t="s">
        <v>5</v>
      </c>
      <c r="F30">
        <v>1.8538756433208708E-3</v>
      </c>
      <c r="G30" s="12">
        <f t="shared" si="6"/>
        <v>1027.513950009255</v>
      </c>
      <c r="H30" t="s">
        <v>5</v>
      </c>
      <c r="I30" s="4">
        <f t="shared" si="7"/>
        <v>16.92425932496235</v>
      </c>
      <c r="K30" s="9">
        <f t="shared" si="8"/>
        <v>-12.912792365661785</v>
      </c>
      <c r="L30" t="s">
        <v>5</v>
      </c>
      <c r="M30" s="9">
        <f t="shared" si="9"/>
        <v>2.1068416936340535</v>
      </c>
    </row>
  </sheetData>
  <mergeCells count="3">
    <mergeCell ref="D3:F3"/>
    <mergeCell ref="G3:I3"/>
    <mergeCell ref="K3:M3"/>
  </mergeCells>
  <pageMargins left="0.7" right="0.7" top="0.75" bottom="0.75" header="0.3" footer="0.3"/>
  <pageSetup paperSize="9" orientation="portrait" horizontalDpi="4294967292" verticalDpi="429496729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workbookViewId="0">
      <selection activeCell="D4" sqref="D4:M14"/>
    </sheetView>
  </sheetViews>
  <sheetFormatPr baseColWidth="10" defaultColWidth="8.6640625" defaultRowHeight="16" x14ac:dyDescent="0.2"/>
  <cols>
    <col min="1" max="1" width="12" customWidth="1"/>
  </cols>
  <sheetData>
    <row r="3" spans="1:13" x14ac:dyDescent="0.2">
      <c r="A3" s="315"/>
      <c r="B3" s="315" t="s">
        <v>17</v>
      </c>
      <c r="C3" s="316" t="s">
        <v>15</v>
      </c>
      <c r="D3" s="345" t="s">
        <v>1</v>
      </c>
      <c r="E3" s="345"/>
      <c r="F3" s="345"/>
      <c r="G3" s="345" t="s">
        <v>2</v>
      </c>
      <c r="H3" s="345"/>
      <c r="I3" s="345"/>
      <c r="J3" s="315" t="s">
        <v>3</v>
      </c>
      <c r="K3" s="346" t="s">
        <v>16</v>
      </c>
      <c r="L3" s="345"/>
      <c r="M3" s="345"/>
    </row>
    <row r="4" spans="1:13" x14ac:dyDescent="0.2">
      <c r="A4" s="156" t="s">
        <v>656</v>
      </c>
      <c r="B4" s="62">
        <v>990</v>
      </c>
      <c r="C4" s="30">
        <f>1950-B4</f>
        <v>960</v>
      </c>
      <c r="D4" s="56">
        <v>0.87147639864051174</v>
      </c>
      <c r="E4" s="2" t="s">
        <v>5</v>
      </c>
      <c r="F4" s="8">
        <v>1.7895131657102497E-3</v>
      </c>
      <c r="G4" s="12">
        <f>-8033*LN(D4)</f>
        <v>1105.0716599281286</v>
      </c>
      <c r="H4" s="2" t="s">
        <v>5</v>
      </c>
      <c r="I4" s="4">
        <f>F4/D4*8033</f>
        <v>16.495179080667519</v>
      </c>
      <c r="J4" s="15">
        <v>-17.879043748282086</v>
      </c>
      <c r="K4" s="9">
        <f>(EXP(C4/8267)*EXP(-G4/8033)-1)*1000</f>
        <v>-21.213897352073463</v>
      </c>
      <c r="L4" s="2" t="s">
        <v>5</v>
      </c>
      <c r="M4" s="9">
        <f>I4/8.033</f>
        <v>2.0534269987137459</v>
      </c>
    </row>
    <row r="5" spans="1:13" x14ac:dyDescent="0.2">
      <c r="A5" s="156" t="s">
        <v>657</v>
      </c>
      <c r="B5" s="62">
        <v>991</v>
      </c>
      <c r="C5" s="30">
        <f t="shared" ref="C5:C14" si="0">1950-B5</f>
        <v>959</v>
      </c>
      <c r="D5" s="56">
        <v>0.87555936881271579</v>
      </c>
      <c r="E5" s="2" t="s">
        <v>5</v>
      </c>
      <c r="F5" s="8">
        <v>1.8176810374258131E-3</v>
      </c>
      <c r="G5" s="12">
        <f t="shared" ref="G5:G14" si="1">-8033*LN(D5)</f>
        <v>1067.5239923654171</v>
      </c>
      <c r="H5" s="2" t="s">
        <v>5</v>
      </c>
      <c r="I5" s="4">
        <f t="shared" ref="I5:I14" si="2">F5/D5*8033</f>
        <v>16.676689546982438</v>
      </c>
      <c r="J5" s="15">
        <v>-19.196885795132012</v>
      </c>
      <c r="K5" s="9">
        <f t="shared" ref="K5:K14" si="3">(EXP(C5/8267)*EXP(-G5/8033)-1)*1000</f>
        <v>-16.747112782963146</v>
      </c>
      <c r="L5" s="2" t="s">
        <v>5</v>
      </c>
      <c r="M5" s="9">
        <f t="shared" ref="M5:M14" si="4">I5/8.033</f>
        <v>2.0760226001471977</v>
      </c>
    </row>
    <row r="6" spans="1:13" x14ac:dyDescent="0.2">
      <c r="A6" s="156" t="s">
        <v>658</v>
      </c>
      <c r="B6" s="62">
        <v>992</v>
      </c>
      <c r="C6" s="139">
        <f t="shared" si="0"/>
        <v>958</v>
      </c>
      <c r="D6" s="56">
        <v>0.87342779416297844</v>
      </c>
      <c r="E6" s="2" t="s">
        <v>5</v>
      </c>
      <c r="F6" s="8">
        <v>1.8317537338422701E-3</v>
      </c>
      <c r="G6" s="12">
        <f t="shared" si="1"/>
        <v>1087.1044078214677</v>
      </c>
      <c r="H6" s="2" t="s">
        <v>5</v>
      </c>
      <c r="I6" s="4">
        <f t="shared" si="2"/>
        <v>16.846816465299348</v>
      </c>
      <c r="J6" s="15">
        <v>-18.144316322915579</v>
      </c>
      <c r="K6" s="9">
        <f t="shared" si="3"/>
        <v>-19.259510777514087</v>
      </c>
      <c r="L6" s="2" t="s">
        <v>5</v>
      </c>
      <c r="M6" s="9">
        <f t="shared" si="4"/>
        <v>2.0972011036100273</v>
      </c>
    </row>
    <row r="7" spans="1:13" x14ac:dyDescent="0.2">
      <c r="A7" s="156" t="s">
        <v>659</v>
      </c>
      <c r="B7" s="62">
        <v>993</v>
      </c>
      <c r="C7" s="139">
        <f t="shared" si="0"/>
        <v>957</v>
      </c>
      <c r="D7" s="140">
        <v>0.87196453106364824</v>
      </c>
      <c r="E7" s="141" t="s">
        <v>5</v>
      </c>
      <c r="F7" s="142">
        <v>1.7809757657648959E-3</v>
      </c>
      <c r="G7" s="143">
        <f t="shared" si="1"/>
        <v>1100.5734658216256</v>
      </c>
      <c r="H7" s="141" t="s">
        <v>5</v>
      </c>
      <c r="I7" s="144">
        <f t="shared" si="2"/>
        <v>16.407293894096608</v>
      </c>
      <c r="J7" s="145">
        <v>-18.624517595318689</v>
      </c>
      <c r="K7" s="146">
        <f t="shared" si="3"/>
        <v>-21.020983272579286</v>
      </c>
      <c r="L7" s="141" t="s">
        <v>5</v>
      </c>
      <c r="M7" s="146">
        <f t="shared" si="4"/>
        <v>2.0424864800319442</v>
      </c>
    </row>
    <row r="8" spans="1:13" x14ac:dyDescent="0.2">
      <c r="A8" s="156" t="s">
        <v>660</v>
      </c>
      <c r="B8" s="62">
        <v>994</v>
      </c>
      <c r="C8" s="139">
        <f t="shared" si="0"/>
        <v>956</v>
      </c>
      <c r="D8" s="140">
        <v>0.87553910011072067</v>
      </c>
      <c r="E8" s="141" t="s">
        <v>5</v>
      </c>
      <c r="F8" s="142">
        <v>1.8019979426684256E-3</v>
      </c>
      <c r="G8" s="143">
        <f t="shared" si="1"/>
        <v>1067.7099539044439</v>
      </c>
      <c r="H8" s="141" t="s">
        <v>5</v>
      </c>
      <c r="I8" s="144">
        <f t="shared" si="2"/>
        <v>16.533184493559336</v>
      </c>
      <c r="J8" s="145">
        <v>-19.151802902591442</v>
      </c>
      <c r="K8" s="146">
        <f t="shared" si="3"/>
        <v>-17.126612793717744</v>
      </c>
      <c r="L8" s="141" t="s">
        <v>5</v>
      </c>
      <c r="M8" s="146">
        <f t="shared" si="4"/>
        <v>2.0581581592878546</v>
      </c>
    </row>
    <row r="9" spans="1:13" x14ac:dyDescent="0.2">
      <c r="A9" s="258" t="s">
        <v>661</v>
      </c>
      <c r="B9" s="62">
        <v>995</v>
      </c>
      <c r="C9" s="139">
        <f t="shared" si="0"/>
        <v>955</v>
      </c>
      <c r="D9" s="140">
        <v>0.87621596149182523</v>
      </c>
      <c r="E9" s="141" t="s">
        <v>5</v>
      </c>
      <c r="F9" s="142">
        <v>1.7805909884795932E-3</v>
      </c>
      <c r="G9" s="143">
        <f>-8033*LN(D9)</f>
        <v>1061.5022050425371</v>
      </c>
      <c r="H9" s="141" t="s">
        <v>5</v>
      </c>
      <c r="I9" s="144">
        <f>F9/D9*8033</f>
        <v>16.324157558261987</v>
      </c>
      <c r="J9" s="145">
        <v>-18.683639243262775</v>
      </c>
      <c r="K9" s="146">
        <f>(EXP(C9/8267)*EXP(-G9/8033)-1)*1000</f>
        <v>-16.485749365939274</v>
      </c>
      <c r="L9" s="141" t="s">
        <v>5</v>
      </c>
      <c r="M9" s="146">
        <f>I9/8.033</f>
        <v>2.0321371291251076</v>
      </c>
    </row>
    <row r="10" spans="1:13" x14ac:dyDescent="0.2">
      <c r="A10" s="258" t="s">
        <v>662</v>
      </c>
      <c r="B10" s="62">
        <v>996</v>
      </c>
      <c r="C10" s="139">
        <f t="shared" si="0"/>
        <v>954</v>
      </c>
      <c r="D10" s="140">
        <v>0.87810797891664305</v>
      </c>
      <c r="E10" s="141" t="s">
        <v>5</v>
      </c>
      <c r="F10" s="142">
        <v>1.7822715002367062E-3</v>
      </c>
      <c r="G10" s="143">
        <f>-8033*LN(D10)</f>
        <v>1044.1752091369808</v>
      </c>
      <c r="H10" s="141" t="s">
        <v>5</v>
      </c>
      <c r="I10" s="144">
        <f t="shared" si="2"/>
        <v>16.304358125825143</v>
      </c>
      <c r="J10" s="145">
        <v>-17.113645082976525</v>
      </c>
      <c r="K10" s="146">
        <f>(EXP(C10/8267)*EXP(-G10/8033)-1)*1000</f>
        <v>-14.481260598907086</v>
      </c>
      <c r="L10" s="141" t="s">
        <v>5</v>
      </c>
      <c r="M10" s="146">
        <f t="shared" si="4"/>
        <v>2.0296723672133878</v>
      </c>
    </row>
    <row r="11" spans="1:13" x14ac:dyDescent="0.2">
      <c r="A11" s="258" t="s">
        <v>663</v>
      </c>
      <c r="B11" s="62">
        <v>997</v>
      </c>
      <c r="C11" s="139">
        <f t="shared" si="0"/>
        <v>953</v>
      </c>
      <c r="D11" s="140">
        <v>0.88023260070673137</v>
      </c>
      <c r="E11" s="141" t="s">
        <v>5</v>
      </c>
      <c r="F11" s="142">
        <v>1.8250211505007306E-3</v>
      </c>
      <c r="G11" s="143">
        <f t="shared" si="1"/>
        <v>1024.7624794944572</v>
      </c>
      <c r="H11" s="141" t="s">
        <v>5</v>
      </c>
      <c r="I11" s="144">
        <f t="shared" si="2"/>
        <v>16.65513739232296</v>
      </c>
      <c r="J11" s="145">
        <v>-18.833537526319887</v>
      </c>
      <c r="K11" s="146">
        <f t="shared" si="3"/>
        <v>-12.216246017081378</v>
      </c>
      <c r="L11" s="141" t="s">
        <v>5</v>
      </c>
      <c r="M11" s="146">
        <f t="shared" si="4"/>
        <v>2.0733396479924013</v>
      </c>
    </row>
    <row r="12" spans="1:13" x14ac:dyDescent="0.2">
      <c r="A12" s="258" t="s">
        <v>664</v>
      </c>
      <c r="B12" s="62">
        <v>998</v>
      </c>
      <c r="C12" s="139">
        <f t="shared" si="0"/>
        <v>952</v>
      </c>
      <c r="D12" s="140">
        <v>0.87950095163793685</v>
      </c>
      <c r="E12" s="141" t="s">
        <v>5</v>
      </c>
      <c r="F12" s="142">
        <v>1.8476668228147894E-3</v>
      </c>
      <c r="G12" s="143">
        <f t="shared" si="1"/>
        <v>1031.4422831504835</v>
      </c>
      <c r="H12" s="141" t="s">
        <v>5</v>
      </c>
      <c r="I12" s="144">
        <f t="shared" si="2"/>
        <v>16.875828911872876</v>
      </c>
      <c r="J12" s="145">
        <v>-18.204239541538712</v>
      </c>
      <c r="K12" s="146">
        <f t="shared" si="3"/>
        <v>-13.156670187554841</v>
      </c>
      <c r="L12" s="141" t="s">
        <v>5</v>
      </c>
      <c r="M12" s="146">
        <f t="shared" si="4"/>
        <v>2.1008127613435676</v>
      </c>
    </row>
    <row r="13" spans="1:13" x14ac:dyDescent="0.2">
      <c r="A13" s="258" t="s">
        <v>665</v>
      </c>
      <c r="B13" s="62">
        <v>999</v>
      </c>
      <c r="C13" s="139">
        <f t="shared" si="0"/>
        <v>951</v>
      </c>
      <c r="D13" s="140">
        <v>0.87986727321170088</v>
      </c>
      <c r="E13" s="141" t="s">
        <v>5</v>
      </c>
      <c r="F13" s="142">
        <v>1.8597215013963176E-3</v>
      </c>
      <c r="G13" s="143">
        <f t="shared" si="1"/>
        <v>1028.0971491381631</v>
      </c>
      <c r="H13" s="141" t="s">
        <v>5</v>
      </c>
      <c r="I13" s="144">
        <f t="shared" si="2"/>
        <v>16.978859511600657</v>
      </c>
      <c r="J13" s="145">
        <v>-18.726317805711325</v>
      </c>
      <c r="K13" s="146">
        <f t="shared" si="3"/>
        <v>-12.865053255559534</v>
      </c>
      <c r="L13" s="141" t="s">
        <v>5</v>
      </c>
      <c r="M13" s="146">
        <f t="shared" si="4"/>
        <v>2.1136386793975674</v>
      </c>
    </row>
    <row r="14" spans="1:13" x14ac:dyDescent="0.2">
      <c r="A14" s="258" t="s">
        <v>666</v>
      </c>
      <c r="B14" s="62">
        <v>1000</v>
      </c>
      <c r="C14" s="30">
        <f t="shared" si="0"/>
        <v>950</v>
      </c>
      <c r="D14" s="56">
        <v>0.87629646293837393</v>
      </c>
      <c r="E14" s="2" t="s">
        <v>5</v>
      </c>
      <c r="F14" s="8">
        <v>1.8127157727204771E-3</v>
      </c>
      <c r="G14" s="12">
        <f t="shared" si="1"/>
        <v>1060.7642152724609</v>
      </c>
      <c r="H14" s="2" t="s">
        <v>5</v>
      </c>
      <c r="I14" s="4">
        <f t="shared" si="2"/>
        <v>16.617145473161226</v>
      </c>
      <c r="J14" s="15">
        <v>-17.443328258297086</v>
      </c>
      <c r="K14" s="9">
        <f t="shared" si="3"/>
        <v>-16.99010828878178</v>
      </c>
      <c r="L14" s="2" t="s">
        <v>5</v>
      </c>
      <c r="M14" s="9">
        <f t="shared" si="4"/>
        <v>2.0686101672054309</v>
      </c>
    </row>
  </sheetData>
  <mergeCells count="3">
    <mergeCell ref="D3:F3"/>
    <mergeCell ref="G3:I3"/>
    <mergeCell ref="K3:M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opLeftCell="G1" workbookViewId="0">
      <selection activeCell="AB4" sqref="AB4:AB14"/>
    </sheetView>
  </sheetViews>
  <sheetFormatPr baseColWidth="10" defaultColWidth="8.6640625" defaultRowHeight="16" x14ac:dyDescent="0.2"/>
  <cols>
    <col min="1" max="1" width="17.1640625" bestFit="1" customWidth="1"/>
    <col min="2" max="3" width="9.1640625" bestFit="1" customWidth="1"/>
    <col min="4" max="4" width="8" bestFit="1" customWidth="1"/>
    <col min="5" max="5" width="1.6640625" bestFit="1" customWidth="1"/>
    <col min="6" max="7" width="8" bestFit="1" customWidth="1"/>
    <col min="8" max="8" width="1.6640625" bestFit="1" customWidth="1"/>
    <col min="9" max="9" width="8" bestFit="1" customWidth="1"/>
    <col min="10" max="10" width="8.5" bestFit="1" customWidth="1"/>
    <col min="11" max="11" width="8" bestFit="1" customWidth="1"/>
    <col min="12" max="12" width="1.6640625" bestFit="1" customWidth="1"/>
    <col min="13" max="13" width="8" bestFit="1" customWidth="1"/>
    <col min="16" max="16" width="9.6640625" bestFit="1" customWidth="1"/>
    <col min="17" max="18" width="7.6640625" bestFit="1" customWidth="1"/>
    <col min="19" max="19" width="17.1640625" bestFit="1" customWidth="1"/>
    <col min="20" max="20" width="14.1640625" bestFit="1" customWidth="1"/>
    <col min="21" max="21" width="8.1640625" bestFit="1" customWidth="1"/>
    <col min="22" max="24" width="9.1640625" hidden="1" customWidth="1"/>
    <col min="25" max="25" width="7.6640625" hidden="1" customWidth="1"/>
    <col min="26" max="28" width="7.5" bestFit="1" customWidth="1"/>
    <col min="29" max="29" width="7.1640625" bestFit="1" customWidth="1"/>
    <col min="30" max="30" width="7.6640625" bestFit="1" customWidth="1"/>
    <col min="31" max="31" width="6.1640625" bestFit="1" customWidth="1"/>
    <col min="32" max="32" width="5.6640625" bestFit="1" customWidth="1"/>
    <col min="33" max="33" width="6.6640625" bestFit="1" customWidth="1"/>
  </cols>
  <sheetData>
    <row r="1" spans="1:33" x14ac:dyDescent="0.2">
      <c r="A1" s="68" t="s">
        <v>248</v>
      </c>
    </row>
    <row r="2" spans="1:33" ht="19.25" customHeight="1" x14ac:dyDescent="0.2">
      <c r="A2" s="68"/>
    </row>
    <row r="3" spans="1:33" ht="36" customHeight="1" x14ac:dyDescent="0.2">
      <c r="A3" s="64"/>
      <c r="B3" s="64" t="s">
        <v>17</v>
      </c>
      <c r="C3" s="65" t="s">
        <v>15</v>
      </c>
      <c r="D3" s="345" t="s">
        <v>1</v>
      </c>
      <c r="E3" s="345"/>
      <c r="F3" s="345"/>
      <c r="G3" s="345" t="s">
        <v>2</v>
      </c>
      <c r="H3" s="345"/>
      <c r="I3" s="345"/>
      <c r="J3" s="64" t="s">
        <v>3</v>
      </c>
      <c r="K3" s="346" t="s">
        <v>16</v>
      </c>
      <c r="L3" s="345"/>
      <c r="M3" s="345"/>
      <c r="P3" s="60" t="s">
        <v>166</v>
      </c>
      <c r="Q3" s="60" t="s">
        <v>167</v>
      </c>
      <c r="R3" s="60" t="s">
        <v>168</v>
      </c>
      <c r="S3" s="60" t="s">
        <v>169</v>
      </c>
      <c r="T3" s="60" t="s">
        <v>170</v>
      </c>
      <c r="U3" s="61" t="s">
        <v>171</v>
      </c>
      <c r="V3" s="61" t="s">
        <v>172</v>
      </c>
      <c r="W3" s="61" t="s">
        <v>173</v>
      </c>
      <c r="X3" s="61" t="s">
        <v>174</v>
      </c>
      <c r="Y3" s="60" t="s">
        <v>175</v>
      </c>
      <c r="Z3" s="61" t="s">
        <v>176</v>
      </c>
      <c r="AA3" s="60" t="s">
        <v>177</v>
      </c>
      <c r="AB3" s="60" t="s">
        <v>153</v>
      </c>
      <c r="AC3" s="60" t="s">
        <v>178</v>
      </c>
      <c r="AD3" s="60" t="s">
        <v>179</v>
      </c>
      <c r="AE3" s="60" t="s">
        <v>180</v>
      </c>
      <c r="AF3" s="60" t="s">
        <v>181</v>
      </c>
      <c r="AG3" s="61" t="s">
        <v>182</v>
      </c>
    </row>
    <row r="4" spans="1:33" x14ac:dyDescent="0.2">
      <c r="A4" s="62" t="str">
        <f>"ETH-"&amp;LEFT(P4,5)</f>
        <v>ETH-59810</v>
      </c>
      <c r="B4" s="62">
        <v>990</v>
      </c>
      <c r="C4" s="30">
        <f>1950-B4</f>
        <v>960</v>
      </c>
      <c r="D4" s="56">
        <f>AB4</f>
        <v>0.86779780287568786</v>
      </c>
      <c r="E4" s="2" t="s">
        <v>5</v>
      </c>
      <c r="F4" s="8">
        <f>AC4</f>
        <v>2.0681741239790053E-3</v>
      </c>
      <c r="G4" s="12">
        <f>-8033*LN(D4)</f>
        <v>1139.0515853653385</v>
      </c>
      <c r="H4" s="2" t="s">
        <v>5</v>
      </c>
      <c r="I4" s="4">
        <f>F4/D4*8033</f>
        <v>19.144601061294985</v>
      </c>
      <c r="J4" s="15">
        <f>AF4</f>
        <v>-21.177719741551805</v>
      </c>
      <c r="K4" s="9">
        <f>(EXP(C4/8267)*EXP(-G4/8033)-1)*1000</f>
        <v>-25.345458938234479</v>
      </c>
      <c r="L4" s="2" t="s">
        <v>5</v>
      </c>
      <c r="M4" s="9">
        <f>I4/8.033</f>
        <v>2.3832442501300868</v>
      </c>
      <c r="P4" s="67" t="s">
        <v>285</v>
      </c>
      <c r="Q4" s="67" t="s">
        <v>226</v>
      </c>
      <c r="R4" s="67" t="s">
        <v>155</v>
      </c>
      <c r="S4" s="67" t="s">
        <v>278</v>
      </c>
      <c r="T4" s="67" t="s">
        <v>278</v>
      </c>
      <c r="U4" s="32">
        <v>421587</v>
      </c>
      <c r="V4" s="33">
        <v>47.915436697978187</v>
      </c>
      <c r="W4" s="33">
        <v>19.132379653012549</v>
      </c>
      <c r="X4" s="54">
        <v>0.88224162667713635</v>
      </c>
      <c r="Y4" s="35">
        <v>0.15402815495904185</v>
      </c>
      <c r="Z4" s="54">
        <v>1.0359776754614378</v>
      </c>
      <c r="AA4" s="55">
        <v>0.19969756775471914</v>
      </c>
      <c r="AB4" s="34">
        <v>0.86779780287568786</v>
      </c>
      <c r="AC4" s="34">
        <v>2.0681741239790053E-3</v>
      </c>
      <c r="AD4" s="32">
        <v>1139.0410907200085</v>
      </c>
      <c r="AE4" s="32">
        <v>19.144424672621543</v>
      </c>
      <c r="AF4" s="36">
        <v>-21.177719741551805</v>
      </c>
      <c r="AG4" s="55">
        <v>0.79659121262964494</v>
      </c>
    </row>
    <row r="5" spans="1:33" x14ac:dyDescent="0.2">
      <c r="A5" s="62" t="str">
        <f t="shared" ref="A5:A14" si="0">"ETH-"&amp;LEFT(P5,5)</f>
        <v>ETH-59811</v>
      </c>
      <c r="B5" s="62">
        <v>991</v>
      </c>
      <c r="C5" s="30">
        <f t="shared" ref="C5:C14" si="1">1950-B5</f>
        <v>959</v>
      </c>
      <c r="D5" s="56">
        <f t="shared" ref="D5:D14" si="2">AB5</f>
        <v>0.86773453090580344</v>
      </c>
      <c r="E5" s="2" t="s">
        <v>5</v>
      </c>
      <c r="F5" s="8">
        <f t="shared" ref="F5:F14" si="3">AC5</f>
        <v>2.0648780060945515E-3</v>
      </c>
      <c r="G5" s="12">
        <f t="shared" ref="G5:G14" si="4">-8033*LN(D5)</f>
        <v>1139.637300450461</v>
      </c>
      <c r="H5" s="2" t="s">
        <v>5</v>
      </c>
      <c r="I5" s="4">
        <f t="shared" ref="I5:I14" si="5">F5/D5*8033</f>
        <v>19.115483402098405</v>
      </c>
      <c r="J5" s="15">
        <f t="shared" ref="J5:J14" si="6">AF5</f>
        <v>-21.594823800136666</v>
      </c>
      <c r="K5" s="9">
        <f t="shared" ref="K5:K14" si="7">(EXP(C5/8267)*EXP(-G5/8033)-1)*1000</f>
        <v>-25.534403214690137</v>
      </c>
      <c r="L5" s="2" t="s">
        <v>5</v>
      </c>
      <c r="M5" s="9">
        <f t="shared" ref="M5:M14" si="8">I5/8.033</f>
        <v>2.3796194948460609</v>
      </c>
      <c r="P5" s="67" t="s">
        <v>286</v>
      </c>
      <c r="Q5" s="67" t="s">
        <v>226</v>
      </c>
      <c r="R5" s="67" t="s">
        <v>156</v>
      </c>
      <c r="S5" s="67" t="s">
        <v>278</v>
      </c>
      <c r="T5" s="67" t="s">
        <v>278</v>
      </c>
      <c r="U5" s="32">
        <v>426188</v>
      </c>
      <c r="V5" s="33">
        <v>48.412839909355363</v>
      </c>
      <c r="W5" s="33">
        <v>19.331144111840775</v>
      </c>
      <c r="X5" s="54">
        <v>0.88265025600630975</v>
      </c>
      <c r="Y5" s="35">
        <v>0.15319465415072089</v>
      </c>
      <c r="Z5" s="54">
        <v>1.0363778004927975</v>
      </c>
      <c r="AA5" s="55">
        <v>0.21360129495135829</v>
      </c>
      <c r="AB5" s="34">
        <v>0.86773453090580344</v>
      </c>
      <c r="AC5" s="34">
        <v>2.0648780060945515E-3</v>
      </c>
      <c r="AD5" s="32">
        <v>1139.6268004086483</v>
      </c>
      <c r="AE5" s="32">
        <v>19.115307281700353</v>
      </c>
      <c r="AF5" s="36">
        <v>-21.594823800136666</v>
      </c>
      <c r="AG5" s="55">
        <v>1.0556510751093149</v>
      </c>
    </row>
    <row r="6" spans="1:33" s="147" customFormat="1" x14ac:dyDescent="0.2">
      <c r="A6" s="138" t="str">
        <f t="shared" si="0"/>
        <v>ETH-59812</v>
      </c>
      <c r="B6" s="62">
        <v>992</v>
      </c>
      <c r="C6" s="139">
        <f t="shared" si="1"/>
        <v>958</v>
      </c>
      <c r="D6" s="56">
        <f>AB6</f>
        <v>0.86954215901082121</v>
      </c>
      <c r="E6" s="2" t="s">
        <v>5</v>
      </c>
      <c r="F6" s="8">
        <f>AC6</f>
        <v>2.0652720327798617E-3</v>
      </c>
      <c r="G6" s="12">
        <f>-8033*LN(D6)</f>
        <v>1122.9206980899203</v>
      </c>
      <c r="H6" s="2" t="s">
        <v>5</v>
      </c>
      <c r="I6" s="4">
        <f>F6/D6*8033</f>
        <v>19.079385705913964</v>
      </c>
      <c r="J6" s="15">
        <f>AF6</f>
        <v>-21.000779025031168</v>
      </c>
      <c r="K6" s="9">
        <f>(EXP(C6/8267)*EXP(-G6/8033)-1)*1000</f>
        <v>-23.622549995562792</v>
      </c>
      <c r="L6" s="2" t="s">
        <v>5</v>
      </c>
      <c r="M6" s="9">
        <f>I6/8.033</f>
        <v>2.3751258192349018</v>
      </c>
      <c r="P6" s="130" t="s">
        <v>287</v>
      </c>
      <c r="Q6" s="130" t="s">
        <v>226</v>
      </c>
      <c r="R6" s="130" t="s">
        <v>157</v>
      </c>
      <c r="S6" s="130" t="s">
        <v>278</v>
      </c>
      <c r="T6" s="130" t="s">
        <v>278</v>
      </c>
      <c r="U6" s="131">
        <v>428410</v>
      </c>
      <c r="V6" s="132">
        <v>48.523530843442522</v>
      </c>
      <c r="W6" s="132">
        <v>19.37537377898159</v>
      </c>
      <c r="X6" s="133">
        <v>0.88529525266132936</v>
      </c>
      <c r="Y6" s="134">
        <v>0.15279694726110771</v>
      </c>
      <c r="Z6" s="133">
        <v>1.0372163819735909</v>
      </c>
      <c r="AA6" s="135">
        <v>0.20921136781021799</v>
      </c>
      <c r="AB6" s="136">
        <v>0.86954215901082121</v>
      </c>
      <c r="AC6" s="136">
        <v>2.0652720327798617E-3</v>
      </c>
      <c r="AD6" s="131">
        <v>1122.9103520664289</v>
      </c>
      <c r="AE6" s="131">
        <v>19.079209918101828</v>
      </c>
      <c r="AF6" s="137">
        <v>-21.000779025031168</v>
      </c>
      <c r="AG6" s="135">
        <v>0.84874548418678086</v>
      </c>
    </row>
    <row r="7" spans="1:33" s="147" customFormat="1" x14ac:dyDescent="0.2">
      <c r="A7" s="138" t="str">
        <f t="shared" si="0"/>
        <v>ETH-59813</v>
      </c>
      <c r="B7" s="62">
        <v>993</v>
      </c>
      <c r="C7" s="139">
        <f t="shared" si="1"/>
        <v>957</v>
      </c>
      <c r="D7" s="140">
        <f t="shared" si="2"/>
        <v>0.8753443476260212</v>
      </c>
      <c r="E7" s="141" t="s">
        <v>5</v>
      </c>
      <c r="F7" s="142">
        <f t="shared" si="3"/>
        <v>2.0868722110062958E-3</v>
      </c>
      <c r="G7" s="143">
        <f t="shared" si="4"/>
        <v>1069.4969908634887</v>
      </c>
      <c r="H7" s="141" t="s">
        <v>5</v>
      </c>
      <c r="I7" s="144">
        <f t="shared" si="5"/>
        <v>19.151142652006584</v>
      </c>
      <c r="J7" s="145">
        <f t="shared" si="6"/>
        <v>-21.226411074004247</v>
      </c>
      <c r="K7" s="146">
        <f t="shared" si="7"/>
        <v>-17.226368495169897</v>
      </c>
      <c r="L7" s="141" t="s">
        <v>5</v>
      </c>
      <c r="M7" s="146">
        <f t="shared" si="8"/>
        <v>2.3840585898178248</v>
      </c>
      <c r="P7" s="130" t="s">
        <v>288</v>
      </c>
      <c r="Q7" s="130" t="s">
        <v>226</v>
      </c>
      <c r="R7" s="130" t="s">
        <v>158</v>
      </c>
      <c r="S7" s="130" t="s">
        <v>278</v>
      </c>
      <c r="T7" s="130" t="s">
        <v>278</v>
      </c>
      <c r="U7" s="131">
        <v>420759</v>
      </c>
      <c r="V7" s="132">
        <v>47.435653634983204</v>
      </c>
      <c r="W7" s="132">
        <v>18.940658095399293</v>
      </c>
      <c r="X7" s="133">
        <v>0.88950623144350638</v>
      </c>
      <c r="Y7" s="134">
        <v>0.15417959706613332</v>
      </c>
      <c r="Z7" s="133">
        <v>1.0351583308206116</v>
      </c>
      <c r="AA7" s="135">
        <v>0.18080144996356587</v>
      </c>
      <c r="AB7" s="136">
        <v>0.8753443476260212</v>
      </c>
      <c r="AC7" s="136">
        <v>2.0868722110062958E-3</v>
      </c>
      <c r="AD7" s="131">
        <v>1069.4871370590213</v>
      </c>
      <c r="AE7" s="131">
        <v>19.150966203062236</v>
      </c>
      <c r="AF7" s="137">
        <v>-21.226411074004247</v>
      </c>
      <c r="AG7" s="135">
        <v>0.97034753358038295</v>
      </c>
    </row>
    <row r="8" spans="1:33" s="147" customFormat="1" x14ac:dyDescent="0.2">
      <c r="A8" s="138" t="str">
        <f t="shared" si="0"/>
        <v>ETH-59814</v>
      </c>
      <c r="B8" s="62">
        <v>994</v>
      </c>
      <c r="C8" s="139">
        <f t="shared" si="1"/>
        <v>956</v>
      </c>
      <c r="D8" s="140">
        <f t="shared" si="2"/>
        <v>0.87990530136734169</v>
      </c>
      <c r="E8" s="141" t="s">
        <v>5</v>
      </c>
      <c r="F8" s="142">
        <f t="shared" si="3"/>
        <v>2.0759184110644069E-3</v>
      </c>
      <c r="G8" s="143">
        <f t="shared" si="4"/>
        <v>1027.7499677140145</v>
      </c>
      <c r="H8" s="141" t="s">
        <v>5</v>
      </c>
      <c r="I8" s="144">
        <f t="shared" si="5"/>
        <v>18.951871945954519</v>
      </c>
      <c r="J8" s="145">
        <f t="shared" si="6"/>
        <v>-22.102314944488445</v>
      </c>
      <c r="K8" s="146">
        <f t="shared" si="7"/>
        <v>-12.225149206567032</v>
      </c>
      <c r="L8" s="141" t="s">
        <v>5</v>
      </c>
      <c r="M8" s="146">
        <f t="shared" si="8"/>
        <v>2.3592520784208291</v>
      </c>
      <c r="P8" s="130" t="s">
        <v>289</v>
      </c>
      <c r="Q8" s="130" t="s">
        <v>226</v>
      </c>
      <c r="R8" s="130" t="s">
        <v>159</v>
      </c>
      <c r="S8" s="130" t="s">
        <v>278</v>
      </c>
      <c r="T8" s="130" t="s">
        <v>278</v>
      </c>
      <c r="U8" s="131">
        <v>441286</v>
      </c>
      <c r="V8" s="132">
        <v>49.429763661501923</v>
      </c>
      <c r="W8" s="132">
        <v>19.737502427041004</v>
      </c>
      <c r="X8" s="133">
        <v>0.8950475048577643</v>
      </c>
      <c r="Y8" s="134">
        <v>0.15055171494856917</v>
      </c>
      <c r="Z8" s="133">
        <v>1.0374226431169717</v>
      </c>
      <c r="AA8" s="135">
        <v>0.20695429616991973</v>
      </c>
      <c r="AB8" s="136">
        <v>0.87990530136734169</v>
      </c>
      <c r="AC8" s="136">
        <v>2.0759184110644069E-3</v>
      </c>
      <c r="AD8" s="131">
        <v>1027.7404985455082</v>
      </c>
      <c r="AE8" s="131">
        <v>18.951697332989692</v>
      </c>
      <c r="AF8" s="137">
        <v>-22.102314944488445</v>
      </c>
      <c r="AG8" s="135">
        <v>0.90133301333022864</v>
      </c>
    </row>
    <row r="9" spans="1:33" s="147" customFormat="1" x14ac:dyDescent="0.2">
      <c r="A9" s="138" t="str">
        <f t="shared" si="0"/>
        <v>ETH-59815</v>
      </c>
      <c r="B9" s="62">
        <v>995</v>
      </c>
      <c r="C9" s="139">
        <f t="shared" si="1"/>
        <v>955</v>
      </c>
      <c r="D9" s="140">
        <f t="shared" si="2"/>
        <v>0.87767311751174448</v>
      </c>
      <c r="E9" s="141" t="s">
        <v>5</v>
      </c>
      <c r="F9" s="142">
        <f t="shared" si="3"/>
        <v>2.0717237619048722E-3</v>
      </c>
      <c r="G9" s="143">
        <f t="shared" si="4"/>
        <v>1048.1543404126098</v>
      </c>
      <c r="H9" s="141" t="s">
        <v>5</v>
      </c>
      <c r="I9" s="144">
        <f t="shared" si="5"/>
        <v>18.961680205682207</v>
      </c>
      <c r="J9" s="145">
        <f t="shared" si="6"/>
        <v>-21.701454333518221</v>
      </c>
      <c r="K9" s="146">
        <f t="shared" si="7"/>
        <v>-14.850155204258254</v>
      </c>
      <c r="L9" s="141" t="s">
        <v>5</v>
      </c>
      <c r="M9" s="146">
        <f t="shared" si="8"/>
        <v>2.3604730742788758</v>
      </c>
      <c r="P9" s="130" t="s">
        <v>290</v>
      </c>
      <c r="Q9" s="130" t="s">
        <v>226</v>
      </c>
      <c r="R9" s="130" t="s">
        <v>160</v>
      </c>
      <c r="S9" s="130" t="s">
        <v>278</v>
      </c>
      <c r="T9" s="130" t="s">
        <v>278</v>
      </c>
      <c r="U9" s="131">
        <v>440559</v>
      </c>
      <c r="V9" s="132">
        <v>49.440900728381983</v>
      </c>
      <c r="W9" s="132">
        <v>19.74195708558694</v>
      </c>
      <c r="X9" s="133">
        <v>0.893570181736414</v>
      </c>
      <c r="Y9" s="134">
        <v>0.15067585472115066</v>
      </c>
      <c r="Z9" s="133">
        <v>1.0378541013300442</v>
      </c>
      <c r="AA9" s="135">
        <v>0.20566818312598636</v>
      </c>
      <c r="AB9" s="136">
        <v>0.87767311751174448</v>
      </c>
      <c r="AC9" s="136">
        <v>2.0717237619048722E-3</v>
      </c>
      <c r="AD9" s="131">
        <v>1048.1446832485312</v>
      </c>
      <c r="AE9" s="131">
        <v>18.961505502349034</v>
      </c>
      <c r="AF9" s="137">
        <v>-21.701454333518221</v>
      </c>
      <c r="AG9" s="135">
        <v>0.92448638885950851</v>
      </c>
    </row>
    <row r="10" spans="1:33" s="147" customFormat="1" x14ac:dyDescent="0.2">
      <c r="A10" s="138" t="str">
        <f t="shared" si="0"/>
        <v>ETH-59816</v>
      </c>
      <c r="B10" s="62">
        <v>996</v>
      </c>
      <c r="C10" s="139">
        <f t="shared" si="1"/>
        <v>954</v>
      </c>
      <c r="D10" s="140">
        <f t="shared" si="2"/>
        <v>0.88023592200091882</v>
      </c>
      <c r="E10" s="141" t="s">
        <v>5</v>
      </c>
      <c r="F10" s="142">
        <f t="shared" si="3"/>
        <v>2.0885164163380885E-3</v>
      </c>
      <c r="G10" s="143">
        <f>-8033*LN(D10)</f>
        <v>1024.7321694311261</v>
      </c>
      <c r="H10" s="141" t="s">
        <v>5</v>
      </c>
      <c r="I10" s="144">
        <f t="shared" si="5"/>
        <v>19.059722459754777</v>
      </c>
      <c r="J10" s="145">
        <f t="shared" si="6"/>
        <v>-21.507009551130384</v>
      </c>
      <c r="K10" s="146">
        <f t="shared" si="7"/>
        <v>-12.09302608073315</v>
      </c>
      <c r="L10" s="141" t="s">
        <v>5</v>
      </c>
      <c r="M10" s="146">
        <f t="shared" si="8"/>
        <v>2.3726780106753118</v>
      </c>
      <c r="P10" s="130" t="s">
        <v>291</v>
      </c>
      <c r="Q10" s="130" t="s">
        <v>226</v>
      </c>
      <c r="R10" s="130" t="s">
        <v>161</v>
      </c>
      <c r="S10" s="130" t="s">
        <v>278</v>
      </c>
      <c r="T10" s="130" t="s">
        <v>278</v>
      </c>
      <c r="U10" s="131">
        <v>428881</v>
      </c>
      <c r="V10" s="132">
        <v>48.082080401817265</v>
      </c>
      <c r="W10" s="132">
        <v>19.198969625223402</v>
      </c>
      <c r="X10" s="133">
        <v>0.89448904525228823</v>
      </c>
      <c r="Y10" s="134">
        <v>0.15271301563008963</v>
      </c>
      <c r="Z10" s="133">
        <v>1.0358789280946301</v>
      </c>
      <c r="AA10" s="135">
        <v>0.17014174971394516</v>
      </c>
      <c r="AB10" s="136">
        <v>0.88023592200091882</v>
      </c>
      <c r="AC10" s="136">
        <v>2.0885164163380885E-3</v>
      </c>
      <c r="AD10" s="131">
        <v>1024.7227280670872</v>
      </c>
      <c r="AE10" s="131">
        <v>19.05954685310985</v>
      </c>
      <c r="AF10" s="137">
        <v>-21.507009551130384</v>
      </c>
      <c r="AG10" s="135">
        <v>0.82546119034431986</v>
      </c>
    </row>
    <row r="11" spans="1:33" s="147" customFormat="1" x14ac:dyDescent="0.2">
      <c r="A11" s="138" t="str">
        <f t="shared" si="0"/>
        <v>ETH-59817</v>
      </c>
      <c r="B11" s="62">
        <v>997</v>
      </c>
      <c r="C11" s="139">
        <f t="shared" si="1"/>
        <v>953</v>
      </c>
      <c r="D11" s="140">
        <f t="shared" si="2"/>
        <v>0.88026269459544038</v>
      </c>
      <c r="E11" s="141" t="s">
        <v>5</v>
      </c>
      <c r="F11" s="142">
        <f t="shared" si="3"/>
        <v>2.08192754423767E-3</v>
      </c>
      <c r="G11" s="143">
        <f t="shared" si="4"/>
        <v>1024.4878474534992</v>
      </c>
      <c r="H11" s="141" t="s">
        <v>5</v>
      </c>
      <c r="I11" s="144">
        <f t="shared" si="5"/>
        <v>18.999014800402779</v>
      </c>
      <c r="J11" s="145">
        <f t="shared" si="6"/>
        <v>-20.88648179555863</v>
      </c>
      <c r="K11" s="146">
        <f t="shared" si="7"/>
        <v>-12.182475108872492</v>
      </c>
      <c r="L11" s="141" t="s">
        <v>5</v>
      </c>
      <c r="M11" s="146">
        <f t="shared" si="8"/>
        <v>2.3651207270512611</v>
      </c>
      <c r="P11" s="130" t="s">
        <v>292</v>
      </c>
      <c r="Q11" s="130" t="s">
        <v>226</v>
      </c>
      <c r="R11" s="130" t="s">
        <v>162</v>
      </c>
      <c r="S11" s="130" t="s">
        <v>278</v>
      </c>
      <c r="T11" s="130" t="s">
        <v>278</v>
      </c>
      <c r="U11" s="131">
        <v>435056</v>
      </c>
      <c r="V11" s="132">
        <v>48.685679326320539</v>
      </c>
      <c r="W11" s="132">
        <v>19.440167361925841</v>
      </c>
      <c r="X11" s="133">
        <v>0.89634145089197381</v>
      </c>
      <c r="Y11" s="134">
        <v>0.1516255860258916</v>
      </c>
      <c r="Z11" s="133">
        <v>1.0374701977777374</v>
      </c>
      <c r="AA11" s="135">
        <v>0.17906086036872682</v>
      </c>
      <c r="AB11" s="136">
        <v>0.88026269459544038</v>
      </c>
      <c r="AC11" s="136">
        <v>2.08192754423767E-3</v>
      </c>
      <c r="AD11" s="131">
        <v>1024.4784083405195</v>
      </c>
      <c r="AE11" s="131">
        <v>18.998839753087527</v>
      </c>
      <c r="AF11" s="137">
        <v>-20.88648179555863</v>
      </c>
      <c r="AG11" s="135">
        <v>0.78715314892174115</v>
      </c>
    </row>
    <row r="12" spans="1:33" s="147" customFormat="1" x14ac:dyDescent="0.2">
      <c r="A12" s="138" t="str">
        <f t="shared" si="0"/>
        <v>ETH-59818</v>
      </c>
      <c r="B12" s="62">
        <v>998</v>
      </c>
      <c r="C12" s="139">
        <f t="shared" si="1"/>
        <v>952</v>
      </c>
      <c r="D12" s="140">
        <f t="shared" si="2"/>
        <v>0.87790700302554148</v>
      </c>
      <c r="E12" s="141" t="s">
        <v>5</v>
      </c>
      <c r="F12" s="142">
        <f t="shared" si="3"/>
        <v>2.0696776567084153E-3</v>
      </c>
      <c r="G12" s="143">
        <f t="shared" si="4"/>
        <v>1046.0139626292573</v>
      </c>
      <c r="H12" s="141" t="s">
        <v>5</v>
      </c>
      <c r="I12" s="144">
        <f t="shared" si="5"/>
        <v>18.937906360287911</v>
      </c>
      <c r="J12" s="145">
        <f t="shared" si="6"/>
        <v>-21.554997482911343</v>
      </c>
      <c r="K12" s="146">
        <f t="shared" si="7"/>
        <v>-14.945158935948722</v>
      </c>
      <c r="L12" s="141" t="s">
        <v>5</v>
      </c>
      <c r="M12" s="146">
        <f t="shared" si="8"/>
        <v>2.3575135516354928</v>
      </c>
      <c r="P12" s="130" t="s">
        <v>293</v>
      </c>
      <c r="Q12" s="130" t="s">
        <v>226</v>
      </c>
      <c r="R12" s="130" t="s">
        <v>163</v>
      </c>
      <c r="S12" s="130" t="s">
        <v>278</v>
      </c>
      <c r="T12" s="130" t="s">
        <v>278</v>
      </c>
      <c r="U12" s="131">
        <v>444254</v>
      </c>
      <c r="V12" s="132">
        <v>49.77837604509579</v>
      </c>
      <c r="W12" s="132">
        <v>19.876810617263402</v>
      </c>
      <c r="X12" s="133">
        <v>0.89489968091741212</v>
      </c>
      <c r="Y12" s="134">
        <v>0.15004806855635913</v>
      </c>
      <c r="Z12" s="133">
        <v>1.0385278298421319</v>
      </c>
      <c r="AA12" s="135">
        <v>0.21023205233379463</v>
      </c>
      <c r="AB12" s="136">
        <v>0.87790700302554148</v>
      </c>
      <c r="AC12" s="136">
        <v>2.0696776567084153E-3</v>
      </c>
      <c r="AD12" s="131">
        <v>1046.0043251855375</v>
      </c>
      <c r="AE12" s="131">
        <v>18.937731875994928</v>
      </c>
      <c r="AF12" s="137">
        <v>-21.554997482911343</v>
      </c>
      <c r="AG12" s="135">
        <v>1.1178231204116869</v>
      </c>
    </row>
    <row r="13" spans="1:33" s="147" customFormat="1" x14ac:dyDescent="0.2">
      <c r="A13" s="138" t="str">
        <f t="shared" si="0"/>
        <v>ETH-59819</v>
      </c>
      <c r="B13" s="62">
        <v>999</v>
      </c>
      <c r="C13" s="139">
        <f t="shared" si="1"/>
        <v>951</v>
      </c>
      <c r="D13" s="140">
        <f t="shared" si="2"/>
        <v>0.88033060853941136</v>
      </c>
      <c r="E13" s="141" t="s">
        <v>5</v>
      </c>
      <c r="F13" s="142">
        <f t="shared" si="3"/>
        <v>2.0731066313687714E-3</v>
      </c>
      <c r="G13" s="143">
        <f t="shared" si="4"/>
        <v>1023.8681101056198</v>
      </c>
      <c r="H13" s="141" t="s">
        <v>5</v>
      </c>
      <c r="I13" s="144">
        <f t="shared" si="5"/>
        <v>18.917058441731772</v>
      </c>
      <c r="J13" s="145">
        <f t="shared" si="6"/>
        <v>-20.595538157031857</v>
      </c>
      <c r="K13" s="146">
        <f t="shared" si="7"/>
        <v>-12.34523110968655</v>
      </c>
      <c r="L13" s="141" t="s">
        <v>5</v>
      </c>
      <c r="M13" s="146">
        <f t="shared" si="8"/>
        <v>2.3549182673635967</v>
      </c>
      <c r="P13" s="130" t="s">
        <v>294</v>
      </c>
      <c r="Q13" s="130" t="s">
        <v>226</v>
      </c>
      <c r="R13" s="130" t="s">
        <v>164</v>
      </c>
      <c r="S13" s="130" t="s">
        <v>278</v>
      </c>
      <c r="T13" s="130" t="s">
        <v>278</v>
      </c>
      <c r="U13" s="131">
        <v>444567</v>
      </c>
      <c r="V13" s="132">
        <v>49.627505153431649</v>
      </c>
      <c r="W13" s="132">
        <v>19.816518864598745</v>
      </c>
      <c r="X13" s="133">
        <v>0.89844660592800962</v>
      </c>
      <c r="Y13" s="134">
        <v>0.14999525600886932</v>
      </c>
      <c r="Z13" s="133">
        <v>1.0393438424172305</v>
      </c>
      <c r="AA13" s="135">
        <v>0.22389496202852902</v>
      </c>
      <c r="AB13" s="136">
        <v>0.88033060853941136</v>
      </c>
      <c r="AC13" s="136">
        <v>2.0731066313687714E-3</v>
      </c>
      <c r="AD13" s="131">
        <v>1023.8586767025866</v>
      </c>
      <c r="AE13" s="131">
        <v>18.916884149520968</v>
      </c>
      <c r="AF13" s="137">
        <v>-20.595538157031857</v>
      </c>
      <c r="AG13" s="135">
        <v>0.87577533828584497</v>
      </c>
    </row>
    <row r="14" spans="1:33" x14ac:dyDescent="0.2">
      <c r="A14" s="62" t="str">
        <f t="shared" si="0"/>
        <v>ETH-59820</v>
      </c>
      <c r="B14" s="62">
        <v>1000</v>
      </c>
      <c r="C14" s="30">
        <f t="shared" si="1"/>
        <v>950</v>
      </c>
      <c r="D14" s="56">
        <f t="shared" si="2"/>
        <v>0.87928634624807955</v>
      </c>
      <c r="E14" s="2" t="s">
        <v>5</v>
      </c>
      <c r="F14" s="8">
        <f t="shared" si="3"/>
        <v>2.0731651247628156E-3</v>
      </c>
      <c r="G14" s="12">
        <f t="shared" si="4"/>
        <v>1033.4026397067896</v>
      </c>
      <c r="H14" s="2" t="s">
        <v>5</v>
      </c>
      <c r="I14" s="4">
        <f t="shared" si="5"/>
        <v>18.940059194915619</v>
      </c>
      <c r="J14" s="15">
        <f t="shared" si="6"/>
        <v>-22.139151907128895</v>
      </c>
      <c r="K14" s="9">
        <f t="shared" si="7"/>
        <v>-13.636123658229193</v>
      </c>
      <c r="L14" s="2" t="s">
        <v>5</v>
      </c>
      <c r="M14" s="9">
        <f t="shared" si="8"/>
        <v>2.3577815504687689</v>
      </c>
      <c r="P14" s="67" t="s">
        <v>295</v>
      </c>
      <c r="Q14" s="67" t="s">
        <v>226</v>
      </c>
      <c r="R14" s="67" t="s">
        <v>165</v>
      </c>
      <c r="S14" s="67" t="s">
        <v>278</v>
      </c>
      <c r="T14" s="67" t="s">
        <v>278</v>
      </c>
      <c r="U14" s="32">
        <v>443353</v>
      </c>
      <c r="V14" s="33">
        <v>49.678486083909817</v>
      </c>
      <c r="W14" s="33">
        <v>19.83689312397566</v>
      </c>
      <c r="X14" s="54">
        <v>0.89490070564267332</v>
      </c>
      <c r="Y14" s="35">
        <v>0.15020042495090208</v>
      </c>
      <c r="Z14" s="54">
        <v>1.0377497622109879</v>
      </c>
      <c r="AA14" s="55">
        <v>0.18867092649336245</v>
      </c>
      <c r="AB14" s="34">
        <v>0.87928634624807955</v>
      </c>
      <c r="AC14" s="34">
        <v>2.0731651247628156E-3</v>
      </c>
      <c r="AD14" s="32">
        <v>1033.3931184574221</v>
      </c>
      <c r="AE14" s="32">
        <v>18.939884690787508</v>
      </c>
      <c r="AF14" s="36">
        <v>-22.139151907128895</v>
      </c>
      <c r="AG14" s="55">
        <v>1.0177048742808708</v>
      </c>
    </row>
    <row r="16" spans="1:33" x14ac:dyDescent="0.2">
      <c r="AD16" s="8"/>
    </row>
    <row r="17" spans="30:30" x14ac:dyDescent="0.2">
      <c r="AD17" s="8"/>
    </row>
    <row r="18" spans="30:30" x14ac:dyDescent="0.2">
      <c r="AD18" s="8"/>
    </row>
    <row r="19" spans="30:30" x14ac:dyDescent="0.2">
      <c r="AD19" s="8"/>
    </row>
    <row r="20" spans="30:30" x14ac:dyDescent="0.2">
      <c r="AD20" s="8"/>
    </row>
    <row r="21" spans="30:30" x14ac:dyDescent="0.2">
      <c r="AD21" s="8"/>
    </row>
    <row r="22" spans="30:30" x14ac:dyDescent="0.2">
      <c r="AD22" s="8"/>
    </row>
    <row r="23" spans="30:30" x14ac:dyDescent="0.2">
      <c r="AD23" s="8"/>
    </row>
    <row r="24" spans="30:30" x14ac:dyDescent="0.2">
      <c r="AD24" s="8"/>
    </row>
    <row r="25" spans="30:30" x14ac:dyDescent="0.2">
      <c r="AD25" s="8"/>
    </row>
    <row r="26" spans="30:30" x14ac:dyDescent="0.2">
      <c r="AD26" s="8"/>
    </row>
    <row r="27" spans="30:30" x14ac:dyDescent="0.2">
      <c r="AD27" s="8"/>
    </row>
    <row r="28" spans="30:30" x14ac:dyDescent="0.2">
      <c r="AD28" s="8"/>
    </row>
    <row r="29" spans="30:30" x14ac:dyDescent="0.2">
      <c r="AD29" s="8"/>
    </row>
    <row r="30" spans="30:30" x14ac:dyDescent="0.2">
      <c r="AD30" s="8"/>
    </row>
  </sheetData>
  <mergeCells count="3">
    <mergeCell ref="D3:F3"/>
    <mergeCell ref="G3:I3"/>
    <mergeCell ref="K3:M3"/>
  </mergeCells>
  <pageMargins left="0.7" right="0.7" top="0.75" bottom="0.75" header="0.3" footer="0.3"/>
  <pageSetup paperSize="9" orientation="portrait" horizontalDpi="4294967292" verticalDpi="429496729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opLeftCell="B3" zoomScale="90" zoomScaleNormal="90" zoomScalePageLayoutView="90" workbookViewId="0">
      <selection activeCell="AN71" sqref="AN71"/>
    </sheetView>
  </sheetViews>
  <sheetFormatPr baseColWidth="10" defaultColWidth="8.6640625" defaultRowHeight="16" x14ac:dyDescent="0.2"/>
  <cols>
    <col min="1" max="1" width="17.1640625" bestFit="1" customWidth="1"/>
    <col min="2" max="3" width="9.1640625" bestFit="1" customWidth="1"/>
    <col min="4" max="4" width="9.5" bestFit="1" customWidth="1"/>
    <col min="5" max="5" width="1.6640625" bestFit="1" customWidth="1"/>
    <col min="6" max="7" width="8" bestFit="1" customWidth="1"/>
    <col min="8" max="8" width="1.6640625" bestFit="1" customWidth="1"/>
    <col min="9" max="9" width="8" bestFit="1" customWidth="1"/>
    <col min="10" max="10" width="8.5" bestFit="1" customWidth="1"/>
    <col min="11" max="11" width="8" bestFit="1" customWidth="1"/>
    <col min="12" max="12" width="1.6640625" bestFit="1" customWidth="1"/>
    <col min="13" max="13" width="8" bestFit="1" customWidth="1"/>
    <col min="16" max="16" width="9.6640625" bestFit="1" customWidth="1"/>
    <col min="17" max="18" width="7.6640625" bestFit="1" customWidth="1"/>
    <col min="19" max="19" width="17.1640625" bestFit="1" customWidth="1"/>
    <col min="20" max="29" width="8.6640625" customWidth="1"/>
    <col min="30" max="30" width="7.6640625" bestFit="1" customWidth="1"/>
    <col min="31" max="31" width="6.1640625" bestFit="1" customWidth="1"/>
    <col min="32" max="32" width="5.6640625" bestFit="1" customWidth="1"/>
    <col min="33" max="33" width="6.6640625" bestFit="1" customWidth="1"/>
  </cols>
  <sheetData>
    <row r="1" spans="1:33" x14ac:dyDescent="0.2">
      <c r="A1" s="68" t="s">
        <v>214</v>
      </c>
    </row>
    <row r="2" spans="1:33" ht="19.25" customHeight="1" x14ac:dyDescent="0.2">
      <c r="A2" s="68" t="s">
        <v>215</v>
      </c>
    </row>
    <row r="3" spans="1:33" ht="36" customHeight="1" x14ac:dyDescent="0.2">
      <c r="A3" s="64"/>
      <c r="B3" s="64" t="s">
        <v>17</v>
      </c>
      <c r="C3" s="65" t="s">
        <v>15</v>
      </c>
      <c r="D3" s="345" t="s">
        <v>1</v>
      </c>
      <c r="E3" s="345"/>
      <c r="F3" s="345"/>
      <c r="G3" s="345" t="s">
        <v>2</v>
      </c>
      <c r="H3" s="345"/>
      <c r="I3" s="345"/>
      <c r="J3" s="64" t="s">
        <v>3</v>
      </c>
      <c r="K3" s="346" t="s">
        <v>16</v>
      </c>
      <c r="L3" s="345"/>
      <c r="M3" s="345"/>
      <c r="P3" s="60" t="s">
        <v>166</v>
      </c>
      <c r="Q3" s="60" t="s">
        <v>167</v>
      </c>
      <c r="R3" s="60" t="s">
        <v>168</v>
      </c>
      <c r="S3" s="60" t="s">
        <v>169</v>
      </c>
      <c r="T3" s="60" t="s">
        <v>170</v>
      </c>
      <c r="U3" s="61" t="s">
        <v>171</v>
      </c>
      <c r="V3" s="61" t="s">
        <v>172</v>
      </c>
      <c r="W3" s="61" t="s">
        <v>173</v>
      </c>
      <c r="X3" s="61" t="s">
        <v>174</v>
      </c>
      <c r="Y3" s="60" t="s">
        <v>175</v>
      </c>
      <c r="Z3" s="61" t="s">
        <v>176</v>
      </c>
      <c r="AA3" s="60" t="s">
        <v>177</v>
      </c>
      <c r="AB3" s="60" t="s">
        <v>153</v>
      </c>
      <c r="AC3" s="60" t="s">
        <v>178</v>
      </c>
      <c r="AD3" s="60" t="s">
        <v>179</v>
      </c>
      <c r="AE3" s="60" t="s">
        <v>180</v>
      </c>
      <c r="AF3" s="60" t="s">
        <v>181</v>
      </c>
      <c r="AG3" s="61" t="s">
        <v>182</v>
      </c>
    </row>
    <row r="4" spans="1:33" s="6" customFormat="1" x14ac:dyDescent="0.2">
      <c r="A4" s="79" t="str">
        <f t="shared" ref="A4:A17" si="0">"ETH-"&amp;P4</f>
        <v>ETH-60338.1.1</v>
      </c>
      <c r="B4" s="80">
        <v>990</v>
      </c>
      <c r="C4" s="81">
        <f t="shared" ref="C4:C27" si="1">1950-B4</f>
        <v>960</v>
      </c>
      <c r="D4" s="93">
        <f>AB4</f>
        <v>0.87259824788400819</v>
      </c>
      <c r="E4" s="82" t="s">
        <v>5</v>
      </c>
      <c r="F4" s="83">
        <f>AC4</f>
        <v>1.9634334282113359E-3</v>
      </c>
      <c r="G4" s="84">
        <f>-8033*LN(D4)</f>
        <v>1094.7374506282604</v>
      </c>
      <c r="H4" s="82" t="s">
        <v>5</v>
      </c>
      <c r="I4" s="85">
        <f>F4/D4*8033</f>
        <v>18.075054318603467</v>
      </c>
      <c r="J4" s="86">
        <f>AF4</f>
        <v>-22.722267344030932</v>
      </c>
      <c r="K4" s="7">
        <f>(EXP(C4/8267)*EXP(-G4/8033)-1)*1000</f>
        <v>-19.953908612833526</v>
      </c>
      <c r="L4" s="82" t="s">
        <v>5</v>
      </c>
      <c r="M4" s="7">
        <f>I4/8.033</f>
        <v>2.2501001268023737</v>
      </c>
      <c r="N4" s="6">
        <f>1/F4^2</f>
        <v>259398.6063736213</v>
      </c>
      <c r="P4" s="87" t="s">
        <v>249</v>
      </c>
      <c r="Q4" s="87" t="s">
        <v>250</v>
      </c>
      <c r="R4" s="87" t="s">
        <v>251</v>
      </c>
      <c r="S4" s="87" t="s">
        <v>214</v>
      </c>
      <c r="T4" s="87" t="s">
        <v>215</v>
      </c>
      <c r="U4" s="88">
        <v>361525</v>
      </c>
      <c r="V4" s="89">
        <v>49.842490644284581</v>
      </c>
      <c r="W4" s="89">
        <v>19.90242870183129</v>
      </c>
      <c r="X4" s="90">
        <v>0.89815511150447225</v>
      </c>
      <c r="Y4" s="91">
        <v>0.16633253229912268</v>
      </c>
      <c r="Z4" s="90">
        <v>1.04888929624839</v>
      </c>
      <c r="AA4" s="92">
        <v>0.20033561161236926</v>
      </c>
      <c r="AB4" s="93">
        <v>0.87259824788400819</v>
      </c>
      <c r="AC4" s="93">
        <v>1.9634334282113359E-3</v>
      </c>
      <c r="AD4" s="88">
        <v>1094.7273642709597</v>
      </c>
      <c r="AE4" s="88">
        <v>18.074887784192882</v>
      </c>
      <c r="AF4" s="94">
        <v>-22.722267344030932</v>
      </c>
      <c r="AG4" s="92">
        <v>0.99139043498780466</v>
      </c>
    </row>
    <row r="5" spans="1:33" s="6" customFormat="1" x14ac:dyDescent="0.2">
      <c r="A5" s="79" t="str">
        <f t="shared" si="0"/>
        <v>ETH-60339.1.1</v>
      </c>
      <c r="B5" s="80">
        <v>991</v>
      </c>
      <c r="C5" s="81">
        <f t="shared" si="1"/>
        <v>959</v>
      </c>
      <c r="D5" s="93">
        <f>AB5</f>
        <v>0.87206269659342484</v>
      </c>
      <c r="E5" s="82" t="s">
        <v>5</v>
      </c>
      <c r="F5" s="83">
        <f>AC5</f>
        <v>1.9741180705193477E-3</v>
      </c>
      <c r="G5" s="84">
        <f>-8033*LN(D5)</f>
        <v>1099.6691637682827</v>
      </c>
      <c r="H5" s="82" t="s">
        <v>5</v>
      </c>
      <c r="I5" s="85">
        <f>F5/D5*8033</f>
        <v>18.184576088885635</v>
      </c>
      <c r="J5" s="86">
        <f>AF5</f>
        <v>-23.250961515718259</v>
      </c>
      <c r="K5" s="7">
        <f>(EXP(C5/8267)*EXP(-G5/8033)-1)*1000</f>
        <v>-20.673874551193183</v>
      </c>
      <c r="L5" s="82" t="s">
        <v>5</v>
      </c>
      <c r="M5" s="7">
        <f>I5/8.033</f>
        <v>2.2637341079155529</v>
      </c>
      <c r="N5" s="6">
        <f t="shared" ref="N5:N27" si="2">1/F5^2</f>
        <v>256598.2866112123</v>
      </c>
      <c r="P5" s="87" t="s">
        <v>252</v>
      </c>
      <c r="Q5" s="87" t="s">
        <v>250</v>
      </c>
      <c r="R5" s="87" t="s">
        <v>253</v>
      </c>
      <c r="S5" s="87" t="s">
        <v>214</v>
      </c>
      <c r="T5" s="87" t="s">
        <v>215</v>
      </c>
      <c r="U5" s="88">
        <v>355585</v>
      </c>
      <c r="V5" s="89">
        <v>49.14283138842179</v>
      </c>
      <c r="W5" s="89">
        <v>19.622841634204665</v>
      </c>
      <c r="X5" s="90">
        <v>0.8964082389645327</v>
      </c>
      <c r="Y5" s="91">
        <v>0.1677157487588562</v>
      </c>
      <c r="Z5" s="90">
        <v>1.0472568993660483</v>
      </c>
      <c r="AA5" s="92">
        <v>0.19938161995684245</v>
      </c>
      <c r="AB5" s="93">
        <v>0.87206269659342484</v>
      </c>
      <c r="AC5" s="93">
        <v>1.9741180705193477E-3</v>
      </c>
      <c r="AD5" s="88">
        <v>1099.6590319726708</v>
      </c>
      <c r="AE5" s="88">
        <v>18.184408545396838</v>
      </c>
      <c r="AF5" s="94">
        <v>-23.250961515718259</v>
      </c>
      <c r="AG5" s="92">
        <v>1.3083214986783451</v>
      </c>
    </row>
    <row r="6" spans="1:33" s="103" customFormat="1" x14ac:dyDescent="0.2">
      <c r="A6" s="79" t="str">
        <f t="shared" si="0"/>
        <v>ETH-60340.1.1</v>
      </c>
      <c r="B6" s="95">
        <v>991.8</v>
      </c>
      <c r="C6" s="96">
        <f t="shared" si="1"/>
        <v>958.2</v>
      </c>
      <c r="D6" s="110"/>
      <c r="E6" s="97"/>
      <c r="F6" s="98"/>
      <c r="G6" s="99"/>
      <c r="H6" s="97"/>
      <c r="I6" s="100"/>
      <c r="J6" s="101"/>
      <c r="K6" s="102"/>
      <c r="L6" s="97"/>
      <c r="M6" s="102"/>
      <c r="N6" s="6"/>
      <c r="P6" s="104" t="s">
        <v>254</v>
      </c>
      <c r="Q6" s="104" t="s">
        <v>250</v>
      </c>
      <c r="R6" s="104" t="s">
        <v>255</v>
      </c>
      <c r="S6" s="104" t="s">
        <v>214</v>
      </c>
      <c r="T6" s="104" t="s">
        <v>215</v>
      </c>
      <c r="U6" s="105">
        <v>30059</v>
      </c>
      <c r="V6" s="106">
        <v>68.890878806827132</v>
      </c>
      <c r="W6" s="106">
        <v>27.514142244776878</v>
      </c>
      <c r="X6" s="107">
        <v>0.91836320552810291</v>
      </c>
      <c r="Y6" s="108">
        <v>0.5768700585976626</v>
      </c>
      <c r="Z6" s="107">
        <v>1.0712787762089682</v>
      </c>
      <c r="AA6" s="109">
        <v>0.15371579442046948</v>
      </c>
      <c r="AB6" s="110">
        <v>0.87712302589275748</v>
      </c>
      <c r="AC6" s="110">
        <v>5.2731227174575802E-3</v>
      </c>
      <c r="AD6" s="105">
        <v>1053.1809895149831</v>
      </c>
      <c r="AE6" s="105">
        <v>48.29266051004025</v>
      </c>
      <c r="AF6" s="111">
        <v>-26.958040916858938</v>
      </c>
      <c r="AG6" s="109">
        <v>1.5919490027941225</v>
      </c>
    </row>
    <row r="7" spans="1:33" s="6" customFormat="1" x14ac:dyDescent="0.2">
      <c r="A7" s="79" t="str">
        <f t="shared" si="0"/>
        <v>ETH-60341.1.1</v>
      </c>
      <c r="B7" s="80">
        <v>992.2</v>
      </c>
      <c r="C7" s="81">
        <f t="shared" si="1"/>
        <v>957.8</v>
      </c>
      <c r="D7" s="93">
        <f t="shared" ref="D7:D17" si="3">AB7</f>
        <v>0.87060357315970427</v>
      </c>
      <c r="E7" s="82" t="s">
        <v>5</v>
      </c>
      <c r="F7" s="83">
        <f t="shared" ref="F7:F17" si="4">AC7</f>
        <v>1.9913308908366639E-3</v>
      </c>
      <c r="G7" s="84">
        <f t="shared" ref="G7:G27" si="5">-8033*LN(D7)</f>
        <v>1113.1211269876264</v>
      </c>
      <c r="H7" s="82" t="s">
        <v>5</v>
      </c>
      <c r="I7" s="85">
        <f t="shared" ref="I7:I27" si="6">F7/D7*8033</f>
        <v>18.373874791295549</v>
      </c>
      <c r="J7" s="86">
        <f t="shared" ref="J7:J17" si="7">AF7</f>
        <v>-23.082889156634479</v>
      </c>
      <c r="K7" s="7">
        <f t="shared" ref="K7:K27" si="8">(EXP(C7/8267)*EXP(-G7/8033)-1)*1000</f>
        <v>-22.454376055537793</v>
      </c>
      <c r="L7" s="82" t="s">
        <v>5</v>
      </c>
      <c r="M7" s="7">
        <f t="shared" ref="M7:M27" si="9">I7/8.033</f>
        <v>2.2872992395488048</v>
      </c>
      <c r="N7" s="6">
        <f t="shared" si="2"/>
        <v>252181.45044614695</v>
      </c>
      <c r="P7" s="87" t="s">
        <v>256</v>
      </c>
      <c r="Q7" s="87" t="s">
        <v>250</v>
      </c>
      <c r="R7" s="87" t="s">
        <v>257</v>
      </c>
      <c r="S7" s="87" t="s">
        <v>214</v>
      </c>
      <c r="T7" s="87" t="s">
        <v>215</v>
      </c>
      <c r="U7" s="88">
        <v>341923</v>
      </c>
      <c r="V7" s="89">
        <v>47.442588004661417</v>
      </c>
      <c r="W7" s="89">
        <v>18.943430716744182</v>
      </c>
      <c r="X7" s="90">
        <v>0.89276699578558905</v>
      </c>
      <c r="Y7" s="91">
        <v>0.17103287926416272</v>
      </c>
      <c r="Z7" s="90">
        <v>1.0449533340334634</v>
      </c>
      <c r="AA7" s="92">
        <v>0.18323409988353864</v>
      </c>
      <c r="AB7" s="93">
        <v>0.87060357315970427</v>
      </c>
      <c r="AC7" s="93">
        <v>1.9913308908366639E-3</v>
      </c>
      <c r="AD7" s="88">
        <v>1113.1108712524278</v>
      </c>
      <c r="AE7" s="88">
        <v>18.373705503704233</v>
      </c>
      <c r="AF7" s="94">
        <v>-23.082889156634479</v>
      </c>
      <c r="AG7" s="92">
        <v>1.1062161503692303</v>
      </c>
    </row>
    <row r="8" spans="1:33" s="6" customFormat="1" x14ac:dyDescent="0.2">
      <c r="A8" s="79" t="str">
        <f t="shared" si="0"/>
        <v>ETH-60342.1.1</v>
      </c>
      <c r="B8" s="80">
        <v>992.8</v>
      </c>
      <c r="C8" s="81">
        <f t="shared" si="1"/>
        <v>957.2</v>
      </c>
      <c r="D8" s="93">
        <f t="shared" si="3"/>
        <v>0.87398570775510931</v>
      </c>
      <c r="E8" s="82" t="s">
        <v>5</v>
      </c>
      <c r="F8" s="83">
        <f t="shared" si="4"/>
        <v>1.9909901122422023E-3</v>
      </c>
      <c r="G8" s="84">
        <f t="shared" si="5"/>
        <v>1081.9748605987231</v>
      </c>
      <c r="H8" s="82" t="s">
        <v>5</v>
      </c>
      <c r="I8" s="85">
        <f t="shared" si="6"/>
        <v>18.299639719192093</v>
      </c>
      <c r="J8" s="86">
        <f t="shared" si="7"/>
        <v>-23.400995755828326</v>
      </c>
      <c r="K8" s="7">
        <f t="shared" si="8"/>
        <v>-18.728012348602661</v>
      </c>
      <c r="L8" s="82" t="s">
        <v>5</v>
      </c>
      <c r="M8" s="7">
        <f t="shared" si="9"/>
        <v>2.2780579757490469</v>
      </c>
      <c r="N8" s="6">
        <f t="shared" si="2"/>
        <v>252267.78477226643</v>
      </c>
      <c r="P8" s="87" t="s">
        <v>258</v>
      </c>
      <c r="Q8" s="87" t="s">
        <v>250</v>
      </c>
      <c r="R8" s="87" t="s">
        <v>259</v>
      </c>
      <c r="S8" s="87" t="s">
        <v>214</v>
      </c>
      <c r="T8" s="87" t="s">
        <v>215</v>
      </c>
      <c r="U8" s="88">
        <v>345574</v>
      </c>
      <c r="V8" s="89">
        <v>47.767241055728491</v>
      </c>
      <c r="W8" s="89">
        <v>19.073163204395261</v>
      </c>
      <c r="X8" s="90">
        <v>0.89596131821678304</v>
      </c>
      <c r="Y8" s="91">
        <v>0.1701273286232021</v>
      </c>
      <c r="Z8" s="90">
        <v>1.0455232691402294</v>
      </c>
      <c r="AA8" s="92">
        <v>0.27850598055988973</v>
      </c>
      <c r="AB8" s="93">
        <v>0.87398570775510931</v>
      </c>
      <c r="AC8" s="93">
        <v>1.9909901122422023E-3</v>
      </c>
      <c r="AD8" s="88">
        <v>1081.9648918294733</v>
      </c>
      <c r="AE8" s="88">
        <v>18.29947111556519</v>
      </c>
      <c r="AF8" s="94">
        <v>-23.400995755828326</v>
      </c>
      <c r="AG8" s="92">
        <v>0.88677007344018388</v>
      </c>
    </row>
    <row r="9" spans="1:33" s="6" customFormat="1" x14ac:dyDescent="0.2">
      <c r="A9" s="79" t="str">
        <f t="shared" si="0"/>
        <v>ETH-60343.1.1</v>
      </c>
      <c r="B9" s="80">
        <v>993.2</v>
      </c>
      <c r="C9" s="81">
        <f t="shared" si="1"/>
        <v>956.8</v>
      </c>
      <c r="D9" s="93">
        <f t="shared" si="3"/>
        <v>0.8766335476963879</v>
      </c>
      <c r="E9" s="82" t="s">
        <v>5</v>
      </c>
      <c r="F9" s="83">
        <f t="shared" si="4"/>
        <v>2.0268561460246863E-3</v>
      </c>
      <c r="G9" s="84">
        <f t="shared" si="5"/>
        <v>1057.6747571901926</v>
      </c>
      <c r="H9" s="82" t="s">
        <v>5</v>
      </c>
      <c r="I9" s="85">
        <f t="shared" si="6"/>
        <v>18.573023430145181</v>
      </c>
      <c r="J9" s="86">
        <f t="shared" si="7"/>
        <v>-25.121851875747335</v>
      </c>
      <c r="K9" s="7">
        <f t="shared" si="8"/>
        <v>-15.802757996535743</v>
      </c>
      <c r="L9" s="82" t="s">
        <v>5</v>
      </c>
      <c r="M9" s="7">
        <f t="shared" si="9"/>
        <v>2.312090555227833</v>
      </c>
      <c r="N9" s="6">
        <f t="shared" si="2"/>
        <v>243418.81709063827</v>
      </c>
      <c r="P9" s="87" t="s">
        <v>260</v>
      </c>
      <c r="Q9" s="87" t="s">
        <v>250</v>
      </c>
      <c r="R9" s="87" t="s">
        <v>261</v>
      </c>
      <c r="S9" s="87" t="s">
        <v>214</v>
      </c>
      <c r="T9" s="87" t="s">
        <v>215</v>
      </c>
      <c r="U9" s="88">
        <v>328651</v>
      </c>
      <c r="V9" s="89">
        <v>45.600697840999352</v>
      </c>
      <c r="W9" s="89">
        <v>18.207410394954085</v>
      </c>
      <c r="X9" s="90">
        <v>0.89272380839184429</v>
      </c>
      <c r="Y9" s="91">
        <v>0.17445143159668441</v>
      </c>
      <c r="Z9" s="90">
        <v>1.0400825998886576</v>
      </c>
      <c r="AA9" s="92">
        <v>0.1257526289819875</v>
      </c>
      <c r="AB9" s="93">
        <v>0.8766335476963879</v>
      </c>
      <c r="AC9" s="93">
        <v>2.0268561460246863E-3</v>
      </c>
      <c r="AD9" s="88">
        <v>1057.6650123098079</v>
      </c>
      <c r="AE9" s="88">
        <v>18.572852307699005</v>
      </c>
      <c r="AF9" s="94">
        <v>-25.121851875747335</v>
      </c>
      <c r="AG9" s="92">
        <v>0.98937545592676401</v>
      </c>
    </row>
    <row r="10" spans="1:33" s="6" customFormat="1" x14ac:dyDescent="0.2">
      <c r="A10" s="79" t="str">
        <f t="shared" si="0"/>
        <v>ETH-60344.1.1</v>
      </c>
      <c r="B10" s="80">
        <v>993.8</v>
      </c>
      <c r="C10" s="81">
        <f t="shared" si="1"/>
        <v>956.2</v>
      </c>
      <c r="D10" s="93">
        <f t="shared" si="3"/>
        <v>0.87606589116766187</v>
      </c>
      <c r="E10" s="82" t="s">
        <v>5</v>
      </c>
      <c r="F10" s="83">
        <f t="shared" si="4"/>
        <v>1.9762195030587448E-3</v>
      </c>
      <c r="G10" s="84">
        <f t="shared" si="5"/>
        <v>1062.878142269898</v>
      </c>
      <c r="H10" s="82" t="s">
        <v>5</v>
      </c>
      <c r="I10" s="85">
        <f t="shared" si="6"/>
        <v>18.120750308988733</v>
      </c>
      <c r="J10" s="86">
        <f t="shared" si="7"/>
        <v>-22.076489727405722</v>
      </c>
      <c r="K10" s="7">
        <f t="shared" si="8"/>
        <v>-16.511448417896869</v>
      </c>
      <c r="L10" s="82" t="s">
        <v>5</v>
      </c>
      <c r="M10" s="7">
        <f t="shared" si="9"/>
        <v>2.2557886603994439</v>
      </c>
      <c r="N10" s="6">
        <f t="shared" si="2"/>
        <v>256052.86410766415</v>
      </c>
      <c r="P10" s="87" t="s">
        <v>262</v>
      </c>
      <c r="Q10" s="87" t="s">
        <v>250</v>
      </c>
      <c r="R10" s="87" t="s">
        <v>263</v>
      </c>
      <c r="S10" s="87" t="s">
        <v>214</v>
      </c>
      <c r="T10" s="87" t="s">
        <v>215</v>
      </c>
      <c r="U10" s="88">
        <v>357796</v>
      </c>
      <c r="V10" s="89">
        <v>49.143604254163179</v>
      </c>
      <c r="W10" s="89">
        <v>19.623152443353611</v>
      </c>
      <c r="X10" s="90">
        <v>0.90201845072209064</v>
      </c>
      <c r="Y10" s="91">
        <v>0.16719686847140811</v>
      </c>
      <c r="Z10" s="90">
        <v>1.0485445054508717</v>
      </c>
      <c r="AA10" s="92">
        <v>0.19642758026599536</v>
      </c>
      <c r="AB10" s="93">
        <v>0.87606589116766187</v>
      </c>
      <c r="AC10" s="93">
        <v>1.9762195030587448E-3</v>
      </c>
      <c r="AD10" s="88">
        <v>1062.8683494481545</v>
      </c>
      <c r="AE10" s="88">
        <v>18.120583353558398</v>
      </c>
      <c r="AF10" s="94">
        <v>-22.076489727405722</v>
      </c>
      <c r="AG10" s="92">
        <v>0.97945379464140725</v>
      </c>
    </row>
    <row r="11" spans="1:33" s="6" customFormat="1" x14ac:dyDescent="0.2">
      <c r="A11" s="79" t="str">
        <f t="shared" si="0"/>
        <v>ETH-60345.1.1</v>
      </c>
      <c r="B11" s="80">
        <v>994.2</v>
      </c>
      <c r="C11" s="81">
        <f t="shared" si="1"/>
        <v>955.8</v>
      </c>
      <c r="D11" s="93">
        <f t="shared" si="3"/>
        <v>0.88040250381983531</v>
      </c>
      <c r="E11" s="82" t="s">
        <v>5</v>
      </c>
      <c r="F11" s="83">
        <f t="shared" si="4"/>
        <v>1.9820861576294747E-3</v>
      </c>
      <c r="G11" s="84">
        <f t="shared" si="5"/>
        <v>1023.2120938315885</v>
      </c>
      <c r="H11" s="82" t="s">
        <v>5</v>
      </c>
      <c r="I11" s="85">
        <f t="shared" si="6"/>
        <v>18.085021379602814</v>
      </c>
      <c r="J11" s="86">
        <f t="shared" si="7"/>
        <v>-22.868500744876343</v>
      </c>
      <c r="K11" s="7">
        <f t="shared" si="8"/>
        <v>-11.690903627790794</v>
      </c>
      <c r="L11" s="82" t="s">
        <v>5</v>
      </c>
      <c r="M11" s="7">
        <f t="shared" si="9"/>
        <v>2.2513408912738475</v>
      </c>
      <c r="N11" s="6">
        <f t="shared" si="2"/>
        <v>254539.35713508324</v>
      </c>
      <c r="P11" s="87" t="s">
        <v>264</v>
      </c>
      <c r="Q11" s="87" t="s">
        <v>250</v>
      </c>
      <c r="R11" s="87" t="s">
        <v>265</v>
      </c>
      <c r="S11" s="87" t="s">
        <v>214</v>
      </c>
      <c r="T11" s="87" t="s">
        <v>215</v>
      </c>
      <c r="U11" s="88">
        <v>360775</v>
      </c>
      <c r="V11" s="89">
        <v>49.332278528417419</v>
      </c>
      <c r="W11" s="89">
        <v>19.69855266290978</v>
      </c>
      <c r="X11" s="90">
        <v>0.90556237569879294</v>
      </c>
      <c r="Y11" s="91">
        <v>0.16650530351026704</v>
      </c>
      <c r="Z11" s="90">
        <v>1.0480253207305914</v>
      </c>
      <c r="AA11" s="92">
        <v>0.19569957327065654</v>
      </c>
      <c r="AB11" s="93">
        <v>0.88040250381983531</v>
      </c>
      <c r="AC11" s="93">
        <v>1.9820861576294747E-3</v>
      </c>
      <c r="AD11" s="88">
        <v>1023.2026664727576</v>
      </c>
      <c r="AE11" s="88">
        <v>18.084854753360769</v>
      </c>
      <c r="AF11" s="94">
        <v>-22.868500744876343</v>
      </c>
      <c r="AG11" s="92">
        <v>1.1226410801259123</v>
      </c>
    </row>
    <row r="12" spans="1:33" s="6" customFormat="1" x14ac:dyDescent="0.2">
      <c r="A12" s="79" t="str">
        <f t="shared" si="0"/>
        <v>ETH-60346.1.1</v>
      </c>
      <c r="B12" s="80">
        <v>995</v>
      </c>
      <c r="C12" s="81">
        <f t="shared" si="1"/>
        <v>955</v>
      </c>
      <c r="D12" s="93">
        <f t="shared" si="3"/>
        <v>0.88030088384796867</v>
      </c>
      <c r="E12" s="82" t="s">
        <v>5</v>
      </c>
      <c r="F12" s="83">
        <f t="shared" si="4"/>
        <v>2.0124597713976618E-3</v>
      </c>
      <c r="G12" s="84">
        <f t="shared" si="5"/>
        <v>1024.1393519269939</v>
      </c>
      <c r="H12" s="82" t="s">
        <v>5</v>
      </c>
      <c r="I12" s="85">
        <f t="shared" si="6"/>
        <v>18.364277078732734</v>
      </c>
      <c r="J12" s="86">
        <f t="shared" si="7"/>
        <v>-24.461218448212474</v>
      </c>
      <c r="K12" s="7">
        <f t="shared" si="8"/>
        <v>-11.900601951869705</v>
      </c>
      <c r="L12" s="82" t="s">
        <v>5</v>
      </c>
      <c r="M12" s="7">
        <f t="shared" si="9"/>
        <v>2.2861044539689699</v>
      </c>
      <c r="N12" s="6">
        <f t="shared" si="2"/>
        <v>246913.9258353303</v>
      </c>
      <c r="P12" s="87" t="s">
        <v>266</v>
      </c>
      <c r="Q12" s="87" t="s">
        <v>250</v>
      </c>
      <c r="R12" s="87" t="s">
        <v>267</v>
      </c>
      <c r="S12" s="87" t="s">
        <v>214</v>
      </c>
      <c r="T12" s="87" t="s">
        <v>215</v>
      </c>
      <c r="U12" s="88">
        <v>342294</v>
      </c>
      <c r="V12" s="89">
        <v>47.118016660760816</v>
      </c>
      <c r="W12" s="89">
        <v>18.813733960699704</v>
      </c>
      <c r="X12" s="90">
        <v>0.89993889132037419</v>
      </c>
      <c r="Y12" s="91">
        <v>0.17094020671148968</v>
      </c>
      <c r="Z12" s="90">
        <v>1.0430690596135681</v>
      </c>
      <c r="AA12" s="92">
        <v>0.17999795663871007</v>
      </c>
      <c r="AB12" s="93">
        <v>0.88030088384796867</v>
      </c>
      <c r="AC12" s="93">
        <v>2.0124597713976618E-3</v>
      </c>
      <c r="AD12" s="88">
        <v>1024.1299160248757</v>
      </c>
      <c r="AE12" s="88">
        <v>18.364107879569886</v>
      </c>
      <c r="AF12" s="94">
        <v>-24.461218448212474</v>
      </c>
      <c r="AG12" s="92">
        <v>1.170275792260832</v>
      </c>
    </row>
    <row r="13" spans="1:33" s="6" customFormat="1" x14ac:dyDescent="0.2">
      <c r="A13" s="79" t="str">
        <f t="shared" si="0"/>
        <v>ETH-60347.1.1</v>
      </c>
      <c r="B13" s="80">
        <v>996</v>
      </c>
      <c r="C13" s="81">
        <f t="shared" si="1"/>
        <v>954</v>
      </c>
      <c r="D13" s="93">
        <f t="shared" si="3"/>
        <v>0.87400607826018872</v>
      </c>
      <c r="E13" s="82" t="s">
        <v>5</v>
      </c>
      <c r="F13" s="83">
        <f t="shared" si="4"/>
        <v>2.1045946287489401E-3</v>
      </c>
      <c r="G13" s="84">
        <f t="shared" si="5"/>
        <v>1081.7876328684563</v>
      </c>
      <c r="H13" s="82" t="s">
        <v>5</v>
      </c>
      <c r="I13" s="85">
        <f t="shared" si="6"/>
        <v>19.34335363707541</v>
      </c>
      <c r="J13" s="86">
        <f t="shared" si="7"/>
        <v>-22.106157540806247</v>
      </c>
      <c r="K13" s="7">
        <f t="shared" si="8"/>
        <v>-19.084908511416423</v>
      </c>
      <c r="L13" s="82" t="s">
        <v>5</v>
      </c>
      <c r="M13" s="7">
        <f t="shared" si="9"/>
        <v>2.407986261306537</v>
      </c>
      <c r="N13" s="6">
        <f t="shared" si="2"/>
        <v>225768.36332830609</v>
      </c>
      <c r="P13" s="87" t="s">
        <v>268</v>
      </c>
      <c r="Q13" s="87" t="s">
        <v>250</v>
      </c>
      <c r="R13" s="87" t="s">
        <v>269</v>
      </c>
      <c r="S13" s="87" t="s">
        <v>214</v>
      </c>
      <c r="T13" s="87" t="s">
        <v>215</v>
      </c>
      <c r="U13" s="88">
        <v>286327</v>
      </c>
      <c r="V13" s="89">
        <v>39.91200060938553</v>
      </c>
      <c r="W13" s="89">
        <v>15.934209419235826</v>
      </c>
      <c r="X13" s="90">
        <v>0.88876540690177808</v>
      </c>
      <c r="Y13" s="91">
        <v>0.18689842250195579</v>
      </c>
      <c r="Z13" s="90">
        <v>1.0353630616745162</v>
      </c>
      <c r="AA13" s="92">
        <v>0.23718937685086758</v>
      </c>
      <c r="AB13" s="93">
        <v>0.87400607826018872</v>
      </c>
      <c r="AC13" s="93">
        <v>2.1045946287489401E-3</v>
      </c>
      <c r="AD13" s="88">
        <v>1081.7776658242283</v>
      </c>
      <c r="AE13" s="88">
        <v>19.343175417196239</v>
      </c>
      <c r="AF13" s="94">
        <v>-22.106157540806247</v>
      </c>
      <c r="AG13" s="92">
        <v>0.86846456457140508</v>
      </c>
    </row>
    <row r="14" spans="1:33" s="6" customFormat="1" x14ac:dyDescent="0.2">
      <c r="A14" s="79" t="str">
        <f t="shared" si="0"/>
        <v>ETH-60348.1.1</v>
      </c>
      <c r="B14" s="80">
        <v>997</v>
      </c>
      <c r="C14" s="81">
        <f t="shared" si="1"/>
        <v>953</v>
      </c>
      <c r="D14" s="93">
        <f t="shared" si="3"/>
        <v>0.8813633582107443</v>
      </c>
      <c r="E14" s="82" t="s">
        <v>5</v>
      </c>
      <c r="F14" s="83">
        <f t="shared" si="4"/>
        <v>2.0310514553152125E-3</v>
      </c>
      <c r="G14" s="84">
        <f t="shared" si="5"/>
        <v>1014.4498124707978</v>
      </c>
      <c r="H14" s="82" t="s">
        <v>5</v>
      </c>
      <c r="I14" s="85">
        <f t="shared" si="6"/>
        <v>18.511589106301251</v>
      </c>
      <c r="J14" s="86">
        <f t="shared" si="7"/>
        <v>-24.665918086996584</v>
      </c>
      <c r="K14" s="7">
        <f t="shared" si="8"/>
        <v>-10.94732699356249</v>
      </c>
      <c r="L14" s="82" t="s">
        <v>5</v>
      </c>
      <c r="M14" s="7">
        <f t="shared" si="9"/>
        <v>2.3044428116894378</v>
      </c>
      <c r="N14" s="6">
        <f t="shared" si="2"/>
        <v>242414.2511878873</v>
      </c>
      <c r="P14" s="87" t="s">
        <v>270</v>
      </c>
      <c r="Q14" s="87" t="s">
        <v>250</v>
      </c>
      <c r="R14" s="87" t="s">
        <v>271</v>
      </c>
      <c r="S14" s="87" t="s">
        <v>214</v>
      </c>
      <c r="T14" s="87" t="s">
        <v>215</v>
      </c>
      <c r="U14" s="88">
        <v>332573</v>
      </c>
      <c r="V14" s="89">
        <v>45.830270105014627</v>
      </c>
      <c r="W14" s="89">
        <v>18.299151712148802</v>
      </c>
      <c r="X14" s="90">
        <v>0.89890688231669047</v>
      </c>
      <c r="Y14" s="91">
        <v>0.17341994585320089</v>
      </c>
      <c r="Z14" s="90">
        <v>1.0409351482354872</v>
      </c>
      <c r="AA14" s="92">
        <v>0.1669512950067352</v>
      </c>
      <c r="AB14" s="93">
        <v>0.8813633582107443</v>
      </c>
      <c r="AC14" s="93">
        <v>2.0310514553152125E-3</v>
      </c>
      <c r="AD14" s="88">
        <v>1014.4404658431965</v>
      </c>
      <c r="AE14" s="88">
        <v>18.51141854987987</v>
      </c>
      <c r="AF14" s="94">
        <v>-24.665918086996584</v>
      </c>
      <c r="AG14" s="92">
        <v>1.1051165337288129</v>
      </c>
    </row>
    <row r="15" spans="1:33" s="6" customFormat="1" x14ac:dyDescent="0.2">
      <c r="A15" s="79" t="str">
        <f t="shared" si="0"/>
        <v>ETH-60349.1.1</v>
      </c>
      <c r="B15" s="80">
        <v>998</v>
      </c>
      <c r="C15" s="81">
        <f t="shared" si="1"/>
        <v>952</v>
      </c>
      <c r="D15" s="93">
        <f t="shared" si="3"/>
        <v>0.87453695168298395</v>
      </c>
      <c r="E15" s="82" t="s">
        <v>5</v>
      </c>
      <c r="F15" s="83">
        <f t="shared" si="4"/>
        <v>2.0179459587449486E-3</v>
      </c>
      <c r="G15" s="84">
        <f t="shared" si="5"/>
        <v>1076.9098503222817</v>
      </c>
      <c r="H15" s="82" t="s">
        <v>5</v>
      </c>
      <c r="I15" s="85">
        <f t="shared" si="6"/>
        <v>18.535706073257252</v>
      </c>
      <c r="J15" s="86">
        <f t="shared" si="7"/>
        <v>-22.496312721675405</v>
      </c>
      <c r="K15" s="7">
        <f t="shared" si="8"/>
        <v>-18.726522312912387</v>
      </c>
      <c r="L15" s="82" t="s">
        <v>5</v>
      </c>
      <c r="M15" s="7">
        <f t="shared" si="9"/>
        <v>2.307445048332784</v>
      </c>
      <c r="N15" s="6">
        <f t="shared" si="2"/>
        <v>245573.18164605086</v>
      </c>
      <c r="P15" s="87" t="s">
        <v>272</v>
      </c>
      <c r="Q15" s="87" t="s">
        <v>250</v>
      </c>
      <c r="R15" s="87" t="s">
        <v>273</v>
      </c>
      <c r="S15" s="87" t="s">
        <v>214</v>
      </c>
      <c r="T15" s="87" t="s">
        <v>215</v>
      </c>
      <c r="U15" s="88">
        <v>330432</v>
      </c>
      <c r="V15" s="89">
        <v>45.716663910182753</v>
      </c>
      <c r="W15" s="89">
        <v>18.253746947008135</v>
      </c>
      <c r="X15" s="90">
        <v>0.89544676293998682</v>
      </c>
      <c r="Y15" s="91">
        <v>0.17398078617432322</v>
      </c>
      <c r="Z15" s="90">
        <v>1.0431372043803511</v>
      </c>
      <c r="AA15" s="92">
        <v>0.21054381118163376</v>
      </c>
      <c r="AB15" s="93">
        <v>0.87453695168298395</v>
      </c>
      <c r="AC15" s="93">
        <v>2.0179459587449486E-3</v>
      </c>
      <c r="AD15" s="88">
        <v>1076.8999282194754</v>
      </c>
      <c r="AE15" s="88">
        <v>18.535535294634336</v>
      </c>
      <c r="AF15" s="94">
        <v>-22.496312721675405</v>
      </c>
      <c r="AG15" s="92">
        <v>0.91873927728215421</v>
      </c>
    </row>
    <row r="16" spans="1:33" s="6" customFormat="1" x14ac:dyDescent="0.2">
      <c r="A16" s="79" t="str">
        <f t="shared" si="0"/>
        <v>ETH-60350.1.1</v>
      </c>
      <c r="B16" s="80">
        <v>999</v>
      </c>
      <c r="C16" s="81">
        <f t="shared" si="1"/>
        <v>951</v>
      </c>
      <c r="D16" s="93">
        <f t="shared" si="3"/>
        <v>0.87873724290441624</v>
      </c>
      <c r="E16" s="82"/>
      <c r="F16" s="83">
        <f t="shared" si="4"/>
        <v>2.0272658196913186E-3</v>
      </c>
      <c r="G16" s="84">
        <f t="shared" si="5"/>
        <v>1038.4207149252384</v>
      </c>
      <c r="H16" s="82"/>
      <c r="I16" s="85">
        <f t="shared" si="6"/>
        <v>18.532304691849451</v>
      </c>
      <c r="J16" s="86">
        <f t="shared" si="7"/>
        <v>-23.969715189008255</v>
      </c>
      <c r="K16" s="7">
        <f t="shared" si="8"/>
        <v>-14.132849480243737</v>
      </c>
      <c r="L16" s="82" t="s">
        <v>5</v>
      </c>
      <c r="M16" s="7">
        <f t="shared" si="9"/>
        <v>2.3070216222892386</v>
      </c>
      <c r="N16" s="6">
        <f t="shared" si="2"/>
        <v>243320.44597193837</v>
      </c>
      <c r="P16" s="87" t="s">
        <v>274</v>
      </c>
      <c r="Q16" s="87" t="s">
        <v>250</v>
      </c>
      <c r="R16" s="87" t="s">
        <v>275</v>
      </c>
      <c r="S16" s="87" t="s">
        <v>214</v>
      </c>
      <c r="T16" s="87" t="s">
        <v>215</v>
      </c>
      <c r="U16" s="88">
        <v>331175</v>
      </c>
      <c r="V16" s="89">
        <v>45.713014948019008</v>
      </c>
      <c r="W16" s="89">
        <v>18.25229264469429</v>
      </c>
      <c r="X16" s="90">
        <v>0.89737602681980444</v>
      </c>
      <c r="Y16" s="91">
        <v>0.17378556281873564</v>
      </c>
      <c r="Z16" s="90">
        <v>1.0416237994032129</v>
      </c>
      <c r="AA16" s="92">
        <v>0.19455513664741511</v>
      </c>
      <c r="AB16" s="93">
        <v>0.87873724290441624</v>
      </c>
      <c r="AC16" s="93">
        <v>2.0272658196913186E-3</v>
      </c>
      <c r="AD16" s="88">
        <v>1038.411147441863</v>
      </c>
      <c r="AE16" s="88">
        <v>18.532133944565143</v>
      </c>
      <c r="AF16" s="94">
        <v>-23.969715189008255</v>
      </c>
      <c r="AG16" s="92">
        <v>1.0558903392263799</v>
      </c>
    </row>
    <row r="17" spans="1:36" s="6" customFormat="1" x14ac:dyDescent="0.2">
      <c r="A17" s="79" t="str">
        <f t="shared" si="0"/>
        <v>ETH-60351.1.1</v>
      </c>
      <c r="B17" s="80">
        <v>1000</v>
      </c>
      <c r="C17" s="81">
        <f t="shared" si="1"/>
        <v>950</v>
      </c>
      <c r="D17" s="93">
        <f t="shared" si="3"/>
        <v>0.87790210646826572</v>
      </c>
      <c r="E17" s="82" t="s">
        <v>5</v>
      </c>
      <c r="F17" s="83">
        <f t="shared" si="4"/>
        <v>2.1062873500904116E-3</v>
      </c>
      <c r="G17" s="84">
        <f t="shared" si="5"/>
        <v>1046.0587670950545</v>
      </c>
      <c r="H17" s="82" t="s">
        <v>5</v>
      </c>
      <c r="I17" s="85">
        <f t="shared" si="6"/>
        <v>19.272998844191623</v>
      </c>
      <c r="J17" s="86">
        <f t="shared" si="7"/>
        <v>-23.59925665225726</v>
      </c>
      <c r="K17" s="7">
        <f t="shared" si="8"/>
        <v>-15.18893307103275</v>
      </c>
      <c r="L17" s="82" t="s">
        <v>5</v>
      </c>
      <c r="M17" s="7">
        <f t="shared" si="9"/>
        <v>2.3992280398595325</v>
      </c>
      <c r="N17" s="6">
        <f t="shared" si="2"/>
        <v>225405.63089877143</v>
      </c>
      <c r="P17" s="87" t="s">
        <v>276</v>
      </c>
      <c r="Q17" s="87" t="s">
        <v>250</v>
      </c>
      <c r="R17" s="87" t="s">
        <v>165</v>
      </c>
      <c r="S17" s="87" t="s">
        <v>214</v>
      </c>
      <c r="T17" s="87" t="s">
        <v>215</v>
      </c>
      <c r="U17" s="88">
        <v>289644</v>
      </c>
      <c r="V17" s="89">
        <v>40.288540416664077</v>
      </c>
      <c r="W17" s="89">
        <v>16.084677193704227</v>
      </c>
      <c r="X17" s="90">
        <v>0.89039268190075127</v>
      </c>
      <c r="Y17" s="91">
        <v>0.18582533366343887</v>
      </c>
      <c r="Z17" s="90">
        <v>1.0342757597396364</v>
      </c>
      <c r="AA17" s="92">
        <v>0.22321142658778029</v>
      </c>
      <c r="AB17" s="93">
        <v>0.87790210646826572</v>
      </c>
      <c r="AC17" s="93">
        <v>2.1062873500904116E-3</v>
      </c>
      <c r="AD17" s="88">
        <v>1046.0491292385288</v>
      </c>
      <c r="AE17" s="88">
        <v>19.272821272525935</v>
      </c>
      <c r="AF17" s="94">
        <v>-23.59925665225726</v>
      </c>
      <c r="AG17" s="92">
        <v>0.86249768532017068</v>
      </c>
    </row>
    <row r="18" spans="1:36" ht="15" customHeight="1" x14ac:dyDescent="0.2">
      <c r="A18" s="62" t="str">
        <f t="shared" ref="A18:A27" si="10">"ETH-"&amp;P20</f>
        <v>ETH-60338.2.1</v>
      </c>
      <c r="B18" s="9">
        <v>990</v>
      </c>
      <c r="C18" s="30">
        <f t="shared" si="1"/>
        <v>960</v>
      </c>
      <c r="D18" s="34">
        <f t="shared" ref="D18:D27" si="11">V20</f>
        <v>0.86988084143842548</v>
      </c>
      <c r="E18" s="2" t="s">
        <v>5</v>
      </c>
      <c r="F18" s="8">
        <f t="shared" ref="F18:F27" si="12">W20</f>
        <v>1.6219778098140452E-3</v>
      </c>
      <c r="G18" s="12">
        <f t="shared" si="5"/>
        <v>1119.7924929614107</v>
      </c>
      <c r="H18" s="2" t="s">
        <v>5</v>
      </c>
      <c r="I18" s="4">
        <f t="shared" si="6"/>
        <v>14.978313264942171</v>
      </c>
      <c r="J18" s="129">
        <f t="shared" ref="J18:J27" si="13">Z20</f>
        <v>-22.320744803531632</v>
      </c>
      <c r="K18" s="9">
        <f t="shared" si="8"/>
        <v>-23.005924328154627</v>
      </c>
      <c r="L18" s="2" t="s">
        <v>5</v>
      </c>
      <c r="M18" s="9">
        <f t="shared" si="9"/>
        <v>1.8645976926356496</v>
      </c>
      <c r="N18" s="202">
        <f t="shared" si="2"/>
        <v>380110.777241854</v>
      </c>
    </row>
    <row r="19" spans="1:36" ht="15" customHeight="1" x14ac:dyDescent="0.2">
      <c r="A19" s="62" t="str">
        <f>"ETH-"&amp;P21</f>
        <v>ETH-60339.2.1</v>
      </c>
      <c r="B19" s="9">
        <v>991</v>
      </c>
      <c r="C19" s="30">
        <f t="shared" si="1"/>
        <v>959</v>
      </c>
      <c r="D19" s="34">
        <f t="shared" si="11"/>
        <v>0.86865925567240054</v>
      </c>
      <c r="E19" s="2" t="s">
        <v>5</v>
      </c>
      <c r="F19" s="8">
        <f t="shared" si="12"/>
        <v>1.6242345535588633E-3</v>
      </c>
      <c r="G19" s="12">
        <f t="shared" si="5"/>
        <v>1131.0812749569898</v>
      </c>
      <c r="H19" s="2" t="s">
        <v>5</v>
      </c>
      <c r="I19" s="4">
        <f t="shared" si="6"/>
        <v>15.020246527666048</v>
      </c>
      <c r="J19" s="129">
        <f t="shared" si="13"/>
        <v>-23.087865583445002</v>
      </c>
      <c r="K19" s="9">
        <f t="shared" si="8"/>
        <v>-24.49593760170643</v>
      </c>
      <c r="L19" s="2" t="s">
        <v>5</v>
      </c>
      <c r="M19" s="9">
        <f t="shared" si="9"/>
        <v>1.8698178174612285</v>
      </c>
      <c r="N19" s="202">
        <f t="shared" si="2"/>
        <v>379055.24411573482</v>
      </c>
      <c r="P19" s="60" t="s">
        <v>166</v>
      </c>
      <c r="Q19" s="60" t="s">
        <v>167</v>
      </c>
      <c r="R19" s="60" t="s">
        <v>168</v>
      </c>
      <c r="S19" s="60" t="s">
        <v>169</v>
      </c>
      <c r="T19" s="60" t="s">
        <v>170</v>
      </c>
      <c r="U19" s="60" t="s">
        <v>303</v>
      </c>
      <c r="V19" s="60" t="s">
        <v>153</v>
      </c>
      <c r="W19" s="60" t="s">
        <v>178</v>
      </c>
      <c r="X19" s="60" t="s">
        <v>179</v>
      </c>
      <c r="Y19" s="60" t="s">
        <v>180</v>
      </c>
      <c r="Z19" s="60" t="s">
        <v>181</v>
      </c>
      <c r="AA19" s="155" t="s">
        <v>171</v>
      </c>
      <c r="AB19" s="155" t="s">
        <v>172</v>
      </c>
      <c r="AC19" s="155" t="s">
        <v>173</v>
      </c>
      <c r="AD19" s="155" t="s">
        <v>174</v>
      </c>
      <c r="AE19" s="60" t="s">
        <v>175</v>
      </c>
      <c r="AF19" s="155" t="s">
        <v>176</v>
      </c>
      <c r="AG19" s="60" t="s">
        <v>177</v>
      </c>
      <c r="AH19" s="155" t="s">
        <v>182</v>
      </c>
      <c r="AI19" s="60" t="s">
        <v>296</v>
      </c>
      <c r="AJ19" s="60" t="s">
        <v>297</v>
      </c>
    </row>
    <row r="20" spans="1:36" x14ac:dyDescent="0.2">
      <c r="A20" s="62" t="str">
        <f t="shared" si="10"/>
        <v>ETH-61488.1.1</v>
      </c>
      <c r="B20" s="9">
        <v>992</v>
      </c>
      <c r="C20" s="30">
        <f t="shared" si="1"/>
        <v>958</v>
      </c>
      <c r="D20" s="34">
        <f t="shared" si="11"/>
        <v>0.86816941191242136</v>
      </c>
      <c r="E20" s="2" t="s">
        <v>5</v>
      </c>
      <c r="F20" s="8">
        <f t="shared" si="12"/>
        <v>1.6387492687270214E-3</v>
      </c>
      <c r="G20" s="12">
        <f t="shared" si="5"/>
        <v>1135.6124242887381</v>
      </c>
      <c r="H20" s="2" t="s">
        <v>5</v>
      </c>
      <c r="I20" s="4">
        <f t="shared" si="6"/>
        <v>15.163023132416143</v>
      </c>
      <c r="J20" s="129">
        <f t="shared" si="13"/>
        <v>-22.474303070978642</v>
      </c>
      <c r="K20" s="9">
        <f t="shared" si="8"/>
        <v>-25.163958077444981</v>
      </c>
      <c r="L20" s="2" t="s">
        <v>5</v>
      </c>
      <c r="M20" s="9">
        <f t="shared" si="9"/>
        <v>1.8875915762997815</v>
      </c>
      <c r="N20" s="202">
        <f t="shared" si="2"/>
        <v>372370.2515913744</v>
      </c>
      <c r="O20" s="152">
        <v>990</v>
      </c>
      <c r="P20" s="156" t="s">
        <v>317</v>
      </c>
      <c r="Q20" s="156" t="s">
        <v>250</v>
      </c>
      <c r="R20" s="156" t="s">
        <v>251</v>
      </c>
      <c r="S20" s="156" t="s">
        <v>214</v>
      </c>
      <c r="T20" s="156" t="s">
        <v>215</v>
      </c>
      <c r="U20" s="157">
        <v>60338</v>
      </c>
      <c r="V20" s="34">
        <v>0.86988084143842548</v>
      </c>
      <c r="W20" s="34">
        <v>1.6219778098140452E-3</v>
      </c>
      <c r="X20" s="32">
        <v>1119.7821757596196</v>
      </c>
      <c r="Y20" s="32">
        <v>14.978175262337743</v>
      </c>
      <c r="Z20" s="36">
        <v>-22.320744803531632</v>
      </c>
      <c r="AA20" s="32">
        <v>497622</v>
      </c>
      <c r="AB20" s="33">
        <v>59.294521831191609</v>
      </c>
      <c r="AC20" s="33">
        <v>27.852321011927295</v>
      </c>
      <c r="AD20" s="54">
        <v>0.98287780476182585</v>
      </c>
      <c r="AE20" s="35">
        <v>0.14178239407947041</v>
      </c>
      <c r="AF20" s="54">
        <v>1.0709775651168656</v>
      </c>
      <c r="AG20" s="55">
        <v>1.7294702627211854E-2</v>
      </c>
      <c r="AH20" s="55">
        <v>1.3219171050493499</v>
      </c>
      <c r="AI20" s="32">
        <v>-891</v>
      </c>
      <c r="AJ20" s="32">
        <v>-974</v>
      </c>
    </row>
    <row r="21" spans="1:36" x14ac:dyDescent="0.2">
      <c r="A21" s="62" t="str">
        <f t="shared" si="10"/>
        <v>ETH-61489.1.1</v>
      </c>
      <c r="B21" s="9">
        <v>993</v>
      </c>
      <c r="C21" s="30">
        <f t="shared" si="1"/>
        <v>957</v>
      </c>
      <c r="D21" s="34">
        <f t="shared" si="11"/>
        <v>0.87675383684137831</v>
      </c>
      <c r="E21" s="2" t="s">
        <v>5</v>
      </c>
      <c r="F21" s="8">
        <f t="shared" si="12"/>
        <v>1.6300197888157771E-3</v>
      </c>
      <c r="G21" s="12">
        <f t="shared" si="5"/>
        <v>1056.5725675523008</v>
      </c>
      <c r="H21" s="2" t="s">
        <v>5</v>
      </c>
      <c r="I21" s="4">
        <f t="shared" si="6"/>
        <v>14.934578456741997</v>
      </c>
      <c r="J21" s="129">
        <f t="shared" si="13"/>
        <v>-22.562780921563828</v>
      </c>
      <c r="K21" s="9">
        <f t="shared" si="8"/>
        <v>-15.643895450704438</v>
      </c>
      <c r="L21" s="2" t="s">
        <v>5</v>
      </c>
      <c r="M21" s="9">
        <f t="shared" si="9"/>
        <v>1.859153299731358</v>
      </c>
      <c r="N21" s="202">
        <f t="shared" si="2"/>
        <v>376369.347618128</v>
      </c>
      <c r="O21" s="152">
        <v>991</v>
      </c>
      <c r="P21" s="156" t="s">
        <v>318</v>
      </c>
      <c r="Q21" s="156" t="s">
        <v>250</v>
      </c>
      <c r="R21" s="156" t="s">
        <v>253</v>
      </c>
      <c r="S21" s="156" t="s">
        <v>214</v>
      </c>
      <c r="T21" s="156" t="s">
        <v>215</v>
      </c>
      <c r="U21" s="157">
        <v>60339</v>
      </c>
      <c r="V21" s="34">
        <v>0.86865925567240054</v>
      </c>
      <c r="W21" s="34">
        <v>1.6242345535588633E-3</v>
      </c>
      <c r="X21" s="32">
        <v>1131.0708537460694</v>
      </c>
      <c r="Y21" s="32">
        <v>15.020108138709743</v>
      </c>
      <c r="Z21" s="36">
        <v>-23.087865583445002</v>
      </c>
      <c r="AA21" s="32">
        <v>493356</v>
      </c>
      <c r="AB21" s="33">
        <v>58.785960543638623</v>
      </c>
      <c r="AC21" s="33">
        <v>27.708922779401764</v>
      </c>
      <c r="AD21" s="54">
        <v>0.97999602439054012</v>
      </c>
      <c r="AE21" s="35">
        <v>0.14239386556511222</v>
      </c>
      <c r="AF21" s="54">
        <v>1.070079426807492</v>
      </c>
      <c r="AG21" s="55">
        <v>1.7458228007695639E-2</v>
      </c>
      <c r="AH21" s="55">
        <v>1.3689500390068781</v>
      </c>
      <c r="AI21" s="32">
        <v>-886</v>
      </c>
      <c r="AJ21" s="32">
        <v>-970</v>
      </c>
    </row>
    <row r="22" spans="1:36" x14ac:dyDescent="0.2">
      <c r="A22" s="62" t="str">
        <f t="shared" si="10"/>
        <v>ETH-61490.1.1</v>
      </c>
      <c r="B22" s="9">
        <v>994</v>
      </c>
      <c r="C22" s="30">
        <f t="shared" si="1"/>
        <v>956</v>
      </c>
      <c r="D22" s="34">
        <f t="shared" si="11"/>
        <v>0.8783962555438839</v>
      </c>
      <c r="E22" s="2" t="s">
        <v>5</v>
      </c>
      <c r="F22" s="8">
        <f t="shared" si="12"/>
        <v>1.6304206112591406E-3</v>
      </c>
      <c r="G22" s="12">
        <f t="shared" si="5"/>
        <v>1041.5384649470318</v>
      </c>
      <c r="H22" s="2" t="s">
        <v>5</v>
      </c>
      <c r="I22" s="4">
        <f t="shared" si="6"/>
        <v>14.910319445903367</v>
      </c>
      <c r="J22" s="129">
        <f t="shared" si="13"/>
        <v>-23.27352158612095</v>
      </c>
      <c r="K22" s="9">
        <f t="shared" si="8"/>
        <v>-13.919192316422357</v>
      </c>
      <c r="L22" s="2" t="s">
        <v>5</v>
      </c>
      <c r="M22" s="9">
        <f t="shared" si="9"/>
        <v>1.8561333805431803</v>
      </c>
      <c r="N22" s="202">
        <f t="shared" si="2"/>
        <v>376184.31715775718</v>
      </c>
      <c r="O22" s="152">
        <v>992</v>
      </c>
      <c r="P22" s="156" t="s">
        <v>319</v>
      </c>
      <c r="Q22" s="156" t="s">
        <v>250</v>
      </c>
      <c r="R22" s="156" t="s">
        <v>320</v>
      </c>
      <c r="S22" s="156" t="s">
        <v>214</v>
      </c>
      <c r="T22" s="156" t="s">
        <v>215</v>
      </c>
      <c r="U22" s="157">
        <v>61488</v>
      </c>
      <c r="V22" s="34">
        <v>0.86816941191242136</v>
      </c>
      <c r="W22" s="34">
        <v>1.6387492687270214E-3</v>
      </c>
      <c r="X22" s="32">
        <v>1135.6019613300991</v>
      </c>
      <c r="Y22" s="32">
        <v>15.162883427988398</v>
      </c>
      <c r="Z22" s="36">
        <v>-22.474303070978642</v>
      </c>
      <c r="AA22" s="32">
        <v>478041</v>
      </c>
      <c r="AB22" s="33">
        <v>56.681207315190477</v>
      </c>
      <c r="AC22" s="33">
        <v>26.836055003391738</v>
      </c>
      <c r="AD22" s="54">
        <v>0.98042862989516899</v>
      </c>
      <c r="AE22" s="35">
        <v>0.14465609586976816</v>
      </c>
      <c r="AF22" s="54">
        <v>1.0703876333628137</v>
      </c>
      <c r="AG22" s="55">
        <v>2.2187651072288039E-2</v>
      </c>
      <c r="AH22" s="55">
        <v>1.3860975719402608</v>
      </c>
      <c r="AI22" s="32">
        <v>-881</v>
      </c>
      <c r="AJ22" s="32">
        <v>-971</v>
      </c>
    </row>
    <row r="23" spans="1:36" x14ac:dyDescent="0.2">
      <c r="A23" s="62" t="str">
        <f t="shared" si="10"/>
        <v>ETH-60346.2.1</v>
      </c>
      <c r="B23" s="9">
        <v>995</v>
      </c>
      <c r="C23" s="30">
        <f t="shared" si="1"/>
        <v>955</v>
      </c>
      <c r="D23" s="34">
        <f t="shared" si="11"/>
        <v>0.87743669773382726</v>
      </c>
      <c r="E23" s="2" t="s">
        <v>5</v>
      </c>
      <c r="F23" s="8">
        <f t="shared" si="12"/>
        <v>1.6221849486073383E-3</v>
      </c>
      <c r="G23" s="12">
        <f t="shared" si="5"/>
        <v>1050.3184899957289</v>
      </c>
      <c r="H23" s="2" t="s">
        <v>5</v>
      </c>
      <c r="I23" s="4">
        <f t="shared" si="6"/>
        <v>14.851227132188789</v>
      </c>
      <c r="J23" s="129">
        <f t="shared" si="13"/>
        <v>-23.033840892014435</v>
      </c>
      <c r="K23" s="9">
        <f t="shared" si="8"/>
        <v>-15.115526107017718</v>
      </c>
      <c r="L23" s="2" t="s">
        <v>5</v>
      </c>
      <c r="M23" s="9">
        <f t="shared" si="9"/>
        <v>1.8487771856328632</v>
      </c>
      <c r="N23" s="202">
        <f t="shared" si="2"/>
        <v>380013.709813316</v>
      </c>
      <c r="O23" s="152">
        <v>993</v>
      </c>
      <c r="P23" s="156" t="s">
        <v>321</v>
      </c>
      <c r="Q23" s="156" t="s">
        <v>250</v>
      </c>
      <c r="R23" s="156" t="s">
        <v>322</v>
      </c>
      <c r="S23" s="156" t="s">
        <v>214</v>
      </c>
      <c r="T23" s="156" t="s">
        <v>215</v>
      </c>
      <c r="U23" s="157">
        <v>61489</v>
      </c>
      <c r="V23" s="34">
        <v>0.87675383684137831</v>
      </c>
      <c r="W23" s="34">
        <v>1.6300197888157771E-3</v>
      </c>
      <c r="X23" s="32">
        <v>1056.5628328269343</v>
      </c>
      <c r="Y23" s="32">
        <v>14.934440857087978</v>
      </c>
      <c r="Z23" s="36">
        <v>-22.562780921563828</v>
      </c>
      <c r="AA23" s="32">
        <v>501822</v>
      </c>
      <c r="AB23" s="33">
        <v>59.157799595131301</v>
      </c>
      <c r="AC23" s="33">
        <v>27.886104359144582</v>
      </c>
      <c r="AD23" s="54">
        <v>0.9900267051580004</v>
      </c>
      <c r="AE23" s="35">
        <v>0.14118801221596822</v>
      </c>
      <c r="AF23" s="54">
        <v>1.070721543154306</v>
      </c>
      <c r="AG23" s="55">
        <v>2.2590422630823195E-2</v>
      </c>
      <c r="AH23" s="55">
        <v>1.2522647108885372</v>
      </c>
      <c r="AI23" s="32">
        <v>-972</v>
      </c>
      <c r="AJ23" s="32">
        <v>-1019</v>
      </c>
    </row>
    <row r="24" spans="1:36" x14ac:dyDescent="0.2">
      <c r="A24" s="62" t="str">
        <f t="shared" si="10"/>
        <v>ETH-60347.2.1</v>
      </c>
      <c r="B24" s="9">
        <v>996</v>
      </c>
      <c r="C24" s="30">
        <f t="shared" si="1"/>
        <v>954</v>
      </c>
      <c r="D24" s="34">
        <f t="shared" si="11"/>
        <v>0.87596107694509384</v>
      </c>
      <c r="E24" s="2" t="s">
        <v>5</v>
      </c>
      <c r="F24" s="8">
        <f t="shared" si="12"/>
        <v>1.6260116062083857E-3</v>
      </c>
      <c r="G24" s="12">
        <f t="shared" si="5"/>
        <v>1063.8392834694544</v>
      </c>
      <c r="H24" s="2" t="s">
        <v>5</v>
      </c>
      <c r="I24" s="4">
        <f t="shared" si="6"/>
        <v>14.911337474291322</v>
      </c>
      <c r="J24" s="129">
        <f t="shared" si="13"/>
        <v>-23.60310127311449</v>
      </c>
      <c r="K24" s="9">
        <f t="shared" si="8"/>
        <v>-16.890773068238385</v>
      </c>
      <c r="L24" s="2" t="s">
        <v>5</v>
      </c>
      <c r="M24" s="9">
        <f t="shared" si="9"/>
        <v>1.8562601113271908</v>
      </c>
      <c r="N24" s="202">
        <f t="shared" si="2"/>
        <v>378227.16510675038</v>
      </c>
      <c r="O24" s="152">
        <v>994</v>
      </c>
      <c r="P24" s="156" t="s">
        <v>323</v>
      </c>
      <c r="Q24" s="156" t="s">
        <v>250</v>
      </c>
      <c r="R24" s="156" t="s">
        <v>324</v>
      </c>
      <c r="S24" s="156" t="s">
        <v>214</v>
      </c>
      <c r="T24" s="156" t="s">
        <v>215</v>
      </c>
      <c r="U24" s="157">
        <v>61490</v>
      </c>
      <c r="V24" s="34">
        <v>0.8783962555438839</v>
      </c>
      <c r="W24" s="34">
        <v>1.6304206112591406E-3</v>
      </c>
      <c r="X24" s="32">
        <v>1041.5288687382845</v>
      </c>
      <c r="Y24" s="32">
        <v>14.910182069759607</v>
      </c>
      <c r="Z24" s="36">
        <v>-23.27352158612095</v>
      </c>
      <c r="AA24" s="32">
        <v>505320</v>
      </c>
      <c r="AB24" s="33">
        <v>59.747215149401853</v>
      </c>
      <c r="AC24" s="33">
        <v>28.04934813924444</v>
      </c>
      <c r="AD24" s="54">
        <v>0.99070004330703543</v>
      </c>
      <c r="AE24" s="35">
        <v>0.14069865154782685</v>
      </c>
      <c r="AF24" s="54">
        <v>1.0700129431503</v>
      </c>
      <c r="AG24" s="55">
        <v>1.977262892913894E-2</v>
      </c>
      <c r="AH24" s="55">
        <v>1.398347065600875</v>
      </c>
      <c r="AI24" s="32">
        <v>-985</v>
      </c>
      <c r="AJ24" s="32">
        <v>-1021</v>
      </c>
    </row>
    <row r="25" spans="1:36" x14ac:dyDescent="0.2">
      <c r="A25" s="62" t="str">
        <f t="shared" si="10"/>
        <v>ETH-60348.2.1</v>
      </c>
      <c r="B25" s="9">
        <v>997</v>
      </c>
      <c r="C25" s="30">
        <f t="shared" si="1"/>
        <v>953</v>
      </c>
      <c r="D25" s="34">
        <f t="shared" si="11"/>
        <v>0.87616601141489037</v>
      </c>
      <c r="E25" s="2" t="s">
        <v>5</v>
      </c>
      <c r="F25" s="8">
        <f t="shared" si="12"/>
        <v>1.8037894394398546E-3</v>
      </c>
      <c r="G25" s="12">
        <f t="shared" si="5"/>
        <v>1061.9601519677281</v>
      </c>
      <c r="H25" s="2" t="s">
        <v>5</v>
      </c>
      <c r="I25" s="4">
        <f t="shared" si="6"/>
        <v>16.537779802278802</v>
      </c>
      <c r="J25" s="129">
        <f t="shared" si="13"/>
        <v>-23.945209412519986</v>
      </c>
      <c r="K25" s="9">
        <f t="shared" si="8"/>
        <v>-16.779711211822203</v>
      </c>
      <c r="L25" s="2" t="s">
        <v>5</v>
      </c>
      <c r="M25" s="9">
        <f t="shared" si="9"/>
        <v>2.0587302131555836</v>
      </c>
      <c r="N25" s="202">
        <f t="shared" si="2"/>
        <v>307346.53415673814</v>
      </c>
      <c r="O25" s="152">
        <v>995</v>
      </c>
      <c r="P25" s="156" t="s">
        <v>325</v>
      </c>
      <c r="Q25" s="156" t="s">
        <v>250</v>
      </c>
      <c r="R25" s="156" t="s">
        <v>267</v>
      </c>
      <c r="S25" s="156" t="s">
        <v>214</v>
      </c>
      <c r="T25" s="156" t="s">
        <v>215</v>
      </c>
      <c r="U25" s="157">
        <v>60346</v>
      </c>
      <c r="V25" s="34">
        <v>0.87743669773382726</v>
      </c>
      <c r="W25" s="34">
        <v>1.6221849486073383E-3</v>
      </c>
      <c r="X25" s="32">
        <v>1050.3088128922705</v>
      </c>
      <c r="Y25" s="32">
        <v>14.851090300491725</v>
      </c>
      <c r="Z25" s="36">
        <v>-23.033840892014435</v>
      </c>
      <c r="AA25" s="32">
        <v>511983</v>
      </c>
      <c r="AB25" s="33">
        <v>60.733933808927681</v>
      </c>
      <c r="AC25" s="33">
        <v>28.460816579592304</v>
      </c>
      <c r="AD25" s="54">
        <v>0.99016855566976525</v>
      </c>
      <c r="AE25" s="35">
        <v>0.13978043320918024</v>
      </c>
      <c r="AF25" s="54">
        <v>1.0704519730390805</v>
      </c>
      <c r="AG25" s="55">
        <v>2.0696937716121345E-2</v>
      </c>
      <c r="AH25" s="55">
        <v>1.3472714951103824</v>
      </c>
      <c r="AI25" s="32">
        <v>-978</v>
      </c>
      <c r="AJ25" s="32">
        <v>-1019</v>
      </c>
    </row>
    <row r="26" spans="1:36" x14ac:dyDescent="0.2">
      <c r="A26" s="62" t="str">
        <f t="shared" si="10"/>
        <v>ETH-60349.2.1</v>
      </c>
      <c r="B26" s="9">
        <v>998</v>
      </c>
      <c r="C26" s="30">
        <f t="shared" si="1"/>
        <v>952</v>
      </c>
      <c r="D26" s="34">
        <f t="shared" si="11"/>
        <v>0.87563405840178166</v>
      </c>
      <c r="E26" s="2" t="s">
        <v>5</v>
      </c>
      <c r="F26" s="8">
        <f t="shared" si="12"/>
        <v>1.6391848392786706E-3</v>
      </c>
      <c r="G26" s="12">
        <f t="shared" si="5"/>
        <v>1066.8387665531159</v>
      </c>
      <c r="H26" s="2" t="s">
        <v>5</v>
      </c>
      <c r="I26" s="4">
        <f t="shared" si="6"/>
        <v>15.037756569175917</v>
      </c>
      <c r="J26" s="129">
        <f t="shared" si="13"/>
        <v>-22.887279216071143</v>
      </c>
      <c r="K26" s="9">
        <f t="shared" si="8"/>
        <v>-17.495514608461772</v>
      </c>
      <c r="L26" s="2" t="s">
        <v>5</v>
      </c>
      <c r="M26" s="9">
        <f t="shared" si="9"/>
        <v>1.8719975811248497</v>
      </c>
      <c r="N26" s="202">
        <f t="shared" si="2"/>
        <v>372172.38254979666</v>
      </c>
      <c r="O26" s="152">
        <v>996</v>
      </c>
      <c r="P26" s="156" t="s">
        <v>326</v>
      </c>
      <c r="Q26" s="156" t="s">
        <v>250</v>
      </c>
      <c r="R26" s="156" t="s">
        <v>269</v>
      </c>
      <c r="S26" s="156" t="s">
        <v>214</v>
      </c>
      <c r="T26" s="156" t="s">
        <v>215</v>
      </c>
      <c r="U26" s="157">
        <v>60347</v>
      </c>
      <c r="V26" s="34">
        <v>0.87596107694509384</v>
      </c>
      <c r="W26" s="34">
        <v>1.6260116062083857E-3</v>
      </c>
      <c r="X26" s="32">
        <v>1063.8294817922419</v>
      </c>
      <c r="Y26" s="32">
        <v>14.911200088767963</v>
      </c>
      <c r="Z26" s="36">
        <v>-23.60310127311449</v>
      </c>
      <c r="AA26" s="32">
        <v>504660</v>
      </c>
      <c r="AB26" s="33">
        <v>59.801878075749627</v>
      </c>
      <c r="AC26" s="33">
        <v>28.140453621817709</v>
      </c>
      <c r="AD26" s="54">
        <v>0.98711958398232846</v>
      </c>
      <c r="AE26" s="35">
        <v>0.1407905888062457</v>
      </c>
      <c r="AF26" s="54">
        <v>1.0696873999328131</v>
      </c>
      <c r="AG26" s="55">
        <v>2.1763934989742027E-2</v>
      </c>
      <c r="AH26" s="55">
        <v>1.2512567977522702</v>
      </c>
      <c r="AI26" s="32">
        <v>-905</v>
      </c>
      <c r="AJ26" s="32">
        <v>-1018</v>
      </c>
    </row>
    <row r="27" spans="1:36" x14ac:dyDescent="0.2">
      <c r="A27" s="62" t="str">
        <f t="shared" si="10"/>
        <v>ETH-60350.2.1</v>
      </c>
      <c r="B27" s="9">
        <v>999</v>
      </c>
      <c r="C27" s="30">
        <f t="shared" si="1"/>
        <v>951</v>
      </c>
      <c r="D27" s="34">
        <f t="shared" si="11"/>
        <v>0.87335336414474607</v>
      </c>
      <c r="E27" s="2" t="s">
        <v>5</v>
      </c>
      <c r="F27" s="8">
        <f t="shared" si="12"/>
        <v>1.649504229890829E-3</v>
      </c>
      <c r="G27" s="12">
        <f t="shared" si="5"/>
        <v>1087.7889770750105</v>
      </c>
      <c r="H27" s="2" t="s">
        <v>5</v>
      </c>
      <c r="I27" s="4">
        <f t="shared" si="6"/>
        <v>15.171943021813275</v>
      </c>
      <c r="J27" s="129">
        <f t="shared" si="13"/>
        <v>-22.559471437191725</v>
      </c>
      <c r="K27" s="9">
        <f t="shared" si="8"/>
        <v>-20.173095588393753</v>
      </c>
      <c r="L27" s="2" t="s">
        <v>5</v>
      </c>
      <c r="M27" s="9">
        <f t="shared" si="9"/>
        <v>1.8887019820507005</v>
      </c>
      <c r="N27" s="202">
        <f t="shared" si="2"/>
        <v>367530.286286494</v>
      </c>
      <c r="O27" s="152">
        <v>997</v>
      </c>
      <c r="P27" s="156" t="s">
        <v>327</v>
      </c>
      <c r="Q27" s="156" t="s">
        <v>250</v>
      </c>
      <c r="R27" s="156" t="s">
        <v>271</v>
      </c>
      <c r="S27" s="156" t="s">
        <v>214</v>
      </c>
      <c r="T27" s="156" t="s">
        <v>215</v>
      </c>
      <c r="U27" s="157">
        <v>60348</v>
      </c>
      <c r="V27" s="34">
        <v>0.87616601141489037</v>
      </c>
      <c r="W27" s="34">
        <v>1.8037894394398546E-3</v>
      </c>
      <c r="X27" s="32">
        <v>1061.950367603883</v>
      </c>
      <c r="Y27" s="32">
        <v>16.537627431538265</v>
      </c>
      <c r="Z27" s="36">
        <v>-23.945209412519986</v>
      </c>
      <c r="AA27" s="32">
        <v>359208</v>
      </c>
      <c r="AB27" s="33">
        <v>42.06842873846977</v>
      </c>
      <c r="AC27" s="33">
        <v>20.114930485354467</v>
      </c>
      <c r="AD27" s="54">
        <v>0.98226916968441935</v>
      </c>
      <c r="AE27" s="35">
        <v>0.16687083822012816</v>
      </c>
      <c r="AF27" s="54">
        <v>1.0661496889516922</v>
      </c>
      <c r="AG27" s="55">
        <v>8.040565741887562E-2</v>
      </c>
      <c r="AH27" s="55">
        <v>0.15345520693776207</v>
      </c>
      <c r="AI27" s="32">
        <v>-905</v>
      </c>
      <c r="AJ27" s="32">
        <v>-1019</v>
      </c>
    </row>
    <row r="28" spans="1:36" x14ac:dyDescent="0.2">
      <c r="A28" s="312" t="s">
        <v>330</v>
      </c>
      <c r="B28" s="12"/>
      <c r="C28" s="30"/>
      <c r="D28" s="56"/>
      <c r="E28" s="2"/>
      <c r="F28" s="8"/>
      <c r="G28" s="12"/>
      <c r="H28" s="2"/>
      <c r="I28" s="4"/>
      <c r="J28" s="129"/>
      <c r="K28" s="9"/>
      <c r="L28" s="2"/>
      <c r="M28" s="9"/>
      <c r="N28" s="202"/>
      <c r="O28" s="152">
        <v>998</v>
      </c>
      <c r="P28" s="156" t="s">
        <v>328</v>
      </c>
      <c r="Q28" s="156" t="s">
        <v>250</v>
      </c>
      <c r="R28" s="156" t="s">
        <v>273</v>
      </c>
      <c r="S28" s="156" t="s">
        <v>214</v>
      </c>
      <c r="T28" s="156" t="s">
        <v>215</v>
      </c>
      <c r="U28" s="157">
        <v>60349</v>
      </c>
      <c r="V28" s="34">
        <v>0.87563405840178166</v>
      </c>
      <c r="W28" s="34">
        <v>1.6391848392786706E-3</v>
      </c>
      <c r="X28" s="32">
        <v>1066.8289372401828</v>
      </c>
      <c r="Y28" s="32">
        <v>15.037618018890942</v>
      </c>
      <c r="Z28" s="36">
        <v>-22.887279216071143</v>
      </c>
      <c r="AA28" s="32">
        <v>490617</v>
      </c>
      <c r="AB28" s="33">
        <v>58.249642953838617</v>
      </c>
      <c r="AC28" s="33">
        <v>27.306519204821331</v>
      </c>
      <c r="AD28" s="54">
        <v>0.98800534358982917</v>
      </c>
      <c r="AE28" s="35">
        <v>0.14279066062359019</v>
      </c>
      <c r="AF28" s="54">
        <v>1.0701280282585037</v>
      </c>
      <c r="AG28" s="55">
        <v>2.4923954248054075E-2</v>
      </c>
      <c r="AH28" s="55">
        <v>1.3014269995217267</v>
      </c>
      <c r="AI28" s="32">
        <v>-903</v>
      </c>
      <c r="AJ28" s="32">
        <v>-1018</v>
      </c>
    </row>
    <row r="29" spans="1:36" x14ac:dyDescent="0.2">
      <c r="A29" s="298"/>
      <c r="B29" s="298" t="s">
        <v>17</v>
      </c>
      <c r="C29" s="299" t="s">
        <v>15</v>
      </c>
      <c r="D29" s="345" t="s">
        <v>1</v>
      </c>
      <c r="E29" s="345"/>
      <c r="F29" s="345"/>
      <c r="G29" s="345" t="s">
        <v>2</v>
      </c>
      <c r="H29" s="345"/>
      <c r="I29" s="345"/>
      <c r="J29" s="298" t="s">
        <v>3</v>
      </c>
      <c r="K29" s="346" t="s">
        <v>16</v>
      </c>
      <c r="L29" s="345"/>
      <c r="M29" s="345"/>
      <c r="N29" s="202"/>
      <c r="O29" s="152">
        <v>999</v>
      </c>
      <c r="P29" s="156" t="s">
        <v>329</v>
      </c>
      <c r="Q29" s="156" t="s">
        <v>250</v>
      </c>
      <c r="R29" s="156" t="s">
        <v>275</v>
      </c>
      <c r="S29" s="156" t="s">
        <v>214</v>
      </c>
      <c r="T29" s="156" t="s">
        <v>215</v>
      </c>
      <c r="U29" s="157">
        <v>60350</v>
      </c>
      <c r="V29" s="34">
        <v>0.87335336414474607</v>
      </c>
      <c r="W29" s="34">
        <v>1.649504229890829E-3</v>
      </c>
      <c r="X29" s="32">
        <v>1087.7789547374316</v>
      </c>
      <c r="Y29" s="32">
        <v>15.17180323520218</v>
      </c>
      <c r="Z29" s="36">
        <v>-22.559471437191725</v>
      </c>
      <c r="AA29" s="32">
        <v>476895</v>
      </c>
      <c r="AB29" s="33">
        <v>56.533806957848853</v>
      </c>
      <c r="AC29" s="33">
        <v>26.595993564174865</v>
      </c>
      <c r="AD29" s="54">
        <v>0.98601892912400979</v>
      </c>
      <c r="AE29" s="35">
        <v>0.14482972569911559</v>
      </c>
      <c r="AF29" s="54">
        <v>1.0701832305665027</v>
      </c>
      <c r="AG29" s="55">
        <v>3.8879323528301125E-2</v>
      </c>
      <c r="AH29" s="55">
        <v>1.3983395573951709</v>
      </c>
      <c r="AI29" s="32">
        <v>-896</v>
      </c>
      <c r="AJ29" s="32">
        <v>-1010</v>
      </c>
    </row>
    <row r="30" spans="1:36" x14ac:dyDescent="0.2">
      <c r="A30" s="62"/>
      <c r="B30" s="62">
        <v>990</v>
      </c>
      <c r="C30" s="30">
        <f>1950-B30</f>
        <v>960</v>
      </c>
      <c r="D30" s="56">
        <f>(D4*N4+D18*N18)/(N4+N18)</f>
        <v>0.87098307928355245</v>
      </c>
      <c r="E30" s="2" t="s">
        <v>5</v>
      </c>
      <c r="F30" s="8">
        <f>SQRT(1/(N4+N18))</f>
        <v>1.2504793932034707E-3</v>
      </c>
      <c r="G30" s="12">
        <f>-8033*LN(D30)</f>
        <v>1109.6202127645547</v>
      </c>
      <c r="H30" s="2" t="s">
        <v>5</v>
      </c>
      <c r="I30" s="4">
        <f>F30/D30*8033</f>
        <v>11.533060979630411</v>
      </c>
      <c r="J30" s="15"/>
      <c r="K30" s="9">
        <f>(EXP(C30/8267)*EXP(-G30/8033)-1)*1000</f>
        <v>-21.767961847121377</v>
      </c>
      <c r="L30" s="2" t="s">
        <v>5</v>
      </c>
      <c r="M30" s="9">
        <f>I30/8.033</f>
        <v>1.4357103173945489</v>
      </c>
      <c r="N30" s="202"/>
      <c r="O30" s="152"/>
      <c r="P30" s="156"/>
      <c r="Q30" s="156"/>
      <c r="R30" s="156"/>
      <c r="S30" s="156"/>
      <c r="T30" s="156"/>
      <c r="U30" s="157"/>
      <c r="V30" s="34"/>
      <c r="W30" s="34"/>
      <c r="X30" s="32"/>
      <c r="Y30" s="32"/>
      <c r="Z30" s="36"/>
      <c r="AA30" s="32"/>
      <c r="AB30" s="33"/>
      <c r="AC30" s="33"/>
      <c r="AD30" s="54"/>
      <c r="AE30" s="35"/>
      <c r="AF30" s="54"/>
      <c r="AG30" s="55"/>
      <c r="AH30" s="55"/>
      <c r="AI30" s="32"/>
      <c r="AJ30" s="32"/>
    </row>
    <row r="31" spans="1:36" x14ac:dyDescent="0.2">
      <c r="A31" s="62"/>
      <c r="B31" s="62">
        <v>991</v>
      </c>
      <c r="C31" s="30">
        <f t="shared" ref="C31:C40" si="14">1950-B31</f>
        <v>959</v>
      </c>
      <c r="D31" s="56">
        <f>(D5*N5+D19*N19)/(N5+N19)</f>
        <v>0.87003314422442124</v>
      </c>
      <c r="E31" s="2" t="s">
        <v>5</v>
      </c>
      <c r="F31" s="8">
        <f>SQRT(1/(N5+N19))</f>
        <v>1.2542663419321388E-3</v>
      </c>
      <c r="G31" s="12">
        <f t="shared" ref="G31:G39" si="15">-8033*LN(D31)</f>
        <v>1118.3861610471781</v>
      </c>
      <c r="H31" s="2" t="s">
        <v>5</v>
      </c>
      <c r="I31" s="4">
        <f t="shared" ref="I31:I39" si="16">F31/D31*8033</f>
        <v>11.580618039238669</v>
      </c>
      <c r="J31" s="15"/>
      <c r="K31" s="9">
        <f t="shared" ref="K31:K39" si="17">(EXP(C31/8267)*EXP(-G31/8033)-1)*1000</f>
        <v>-22.953061203363934</v>
      </c>
      <c r="L31" s="2" t="s">
        <v>5</v>
      </c>
      <c r="M31" s="9">
        <f t="shared" ref="M31:M39" si="18">I31/8.033</f>
        <v>1.4416305289728208</v>
      </c>
      <c r="N31" s="202"/>
      <c r="AD31" s="8"/>
    </row>
    <row r="32" spans="1:36" x14ac:dyDescent="0.2">
      <c r="A32" s="138"/>
      <c r="B32" s="62">
        <v>992</v>
      </c>
      <c r="C32" s="139">
        <f t="shared" si="14"/>
        <v>958</v>
      </c>
      <c r="D32" s="56">
        <f>(D7*N7+D20*N20)/(N7+N20)</f>
        <v>0.8691522774013104</v>
      </c>
      <c r="E32" s="2" t="s">
        <v>5</v>
      </c>
      <c r="F32" s="8">
        <f>SQRT(1/(N7+N20))</f>
        <v>1.2653649538976058E-3</v>
      </c>
      <c r="G32" s="12">
        <f>-8033*LN(D32)</f>
        <v>1126.5233081358317</v>
      </c>
      <c r="H32" s="2" t="s">
        <v>5</v>
      </c>
      <c r="I32" s="4">
        <f t="shared" si="16"/>
        <v>11.694931876668338</v>
      </c>
      <c r="J32" s="15"/>
      <c r="K32" s="9">
        <f t="shared" si="17"/>
        <v>-24.060333957792722</v>
      </c>
      <c r="L32" s="2" t="s">
        <v>5</v>
      </c>
      <c r="M32" s="9">
        <f t="shared" si="18"/>
        <v>1.4558610577204456</v>
      </c>
      <c r="N32" s="202"/>
      <c r="AD32" s="8"/>
    </row>
    <row r="33" spans="1:30" x14ac:dyDescent="0.2">
      <c r="A33" s="138"/>
      <c r="B33" s="62">
        <v>993</v>
      </c>
      <c r="C33" s="139">
        <f t="shared" si="14"/>
        <v>957</v>
      </c>
      <c r="D33" s="56">
        <f>(D8*N8+D21*N21+D9*N9)/(N8+N21+N9)</f>
        <v>0.875919497674984</v>
      </c>
      <c r="E33" s="141" t="s">
        <v>5</v>
      </c>
      <c r="F33" s="8">
        <f>SQRT(1/(N8+N21+N9))</f>
        <v>1.0708479887387495E-3</v>
      </c>
      <c r="G33" s="12">
        <f>-8033*LN(D33)</f>
        <v>1064.2205951658038</v>
      </c>
      <c r="H33" s="141" t="s">
        <v>5</v>
      </c>
      <c r="I33" s="4">
        <f t="shared" si="16"/>
        <v>9.8206763479653159</v>
      </c>
      <c r="J33" s="145"/>
      <c r="K33" s="9">
        <f t="shared" si="17"/>
        <v>-16.580631416028059</v>
      </c>
      <c r="L33" s="141" t="s">
        <v>5</v>
      </c>
      <c r="M33" s="9">
        <f t="shared" si="18"/>
        <v>1.2225415595624693</v>
      </c>
      <c r="N33" s="202"/>
      <c r="AD33" s="8"/>
    </row>
    <row r="34" spans="1:30" x14ac:dyDescent="0.2">
      <c r="A34" s="138"/>
      <c r="B34" s="62">
        <v>994</v>
      </c>
      <c r="C34" s="139">
        <f t="shared" si="14"/>
        <v>956</v>
      </c>
      <c r="D34" s="56">
        <f>(D10*N10+D22*N22+D11*N11)/(N10+N22+N11)</f>
        <v>0.87829924426448402</v>
      </c>
      <c r="E34" s="141" t="s">
        <v>5</v>
      </c>
      <c r="F34" s="8">
        <f>SQRT(1/(N10+N22+N11))</f>
        <v>1.0619226958100709E-3</v>
      </c>
      <c r="G34" s="12">
        <f t="shared" si="15"/>
        <v>1042.4256894071575</v>
      </c>
      <c r="H34" s="141" t="s">
        <v>5</v>
      </c>
      <c r="I34" s="4">
        <f t="shared" si="16"/>
        <v>9.7124357912728847</v>
      </c>
      <c r="J34" s="145"/>
      <c r="K34" s="9">
        <f t="shared" si="17"/>
        <v>-14.028096424495761</v>
      </c>
      <c r="L34" s="141" t="s">
        <v>5</v>
      </c>
      <c r="M34" s="9">
        <f t="shared" si="18"/>
        <v>1.2090670722361365</v>
      </c>
      <c r="N34" s="202"/>
    </row>
    <row r="35" spans="1:30" x14ac:dyDescent="0.2">
      <c r="A35" s="138"/>
      <c r="B35" s="62">
        <v>995</v>
      </c>
      <c r="C35" s="139">
        <f t="shared" si="14"/>
        <v>955</v>
      </c>
      <c r="D35" s="56">
        <f>(D12*N12+D23*N23)/(N12+N23)</f>
        <v>0.87856475047476923</v>
      </c>
      <c r="E35" s="141" t="s">
        <v>5</v>
      </c>
      <c r="F35" s="8">
        <f t="shared" ref="F35:F40" si="19">SQRT(1/(N12+N23))</f>
        <v>1.2629649344990193E-3</v>
      </c>
      <c r="G35" s="12">
        <f t="shared" si="15"/>
        <v>1039.997713866826</v>
      </c>
      <c r="H35" s="141" t="s">
        <v>5</v>
      </c>
      <c r="I35" s="4">
        <f t="shared" si="16"/>
        <v>11.547694479374607</v>
      </c>
      <c r="J35" s="145"/>
      <c r="K35" s="9">
        <f t="shared" si="17"/>
        <v>-13.849336040935857</v>
      </c>
      <c r="L35" s="141" t="s">
        <v>5</v>
      </c>
      <c r="M35" s="9">
        <f t="shared" si="18"/>
        <v>1.4375319904611736</v>
      </c>
      <c r="N35" s="202"/>
    </row>
    <row r="36" spans="1:30" x14ac:dyDescent="0.2">
      <c r="A36" s="138"/>
      <c r="B36" s="62">
        <v>996</v>
      </c>
      <c r="C36" s="139">
        <f t="shared" si="14"/>
        <v>954</v>
      </c>
      <c r="D36" s="56">
        <f>(D13*N13+D24*N24)/(N13+N24)</f>
        <v>0.87523031515527805</v>
      </c>
      <c r="E36" s="141" t="s">
        <v>5</v>
      </c>
      <c r="F36" s="8">
        <f t="shared" si="19"/>
        <v>1.286717294593238E-3</v>
      </c>
      <c r="G36" s="12">
        <f t="shared" si="15"/>
        <v>1070.543530446462</v>
      </c>
      <c r="H36" s="141" t="s">
        <v>5</v>
      </c>
      <c r="I36" s="4">
        <f t="shared" si="16"/>
        <v>11.809691516036775</v>
      </c>
      <c r="J36" s="145"/>
      <c r="K36" s="9">
        <f t="shared" si="17"/>
        <v>-17.710922133265971</v>
      </c>
      <c r="L36" s="141" t="s">
        <v>5</v>
      </c>
      <c r="M36" s="9">
        <f t="shared" si="18"/>
        <v>1.470147082788096</v>
      </c>
      <c r="N36" s="202"/>
    </row>
    <row r="37" spans="1:30" x14ac:dyDescent="0.2">
      <c r="A37" s="138"/>
      <c r="B37" s="62">
        <v>997</v>
      </c>
      <c r="C37" s="139">
        <f t="shared" si="14"/>
        <v>953</v>
      </c>
      <c r="D37" s="56">
        <f>(D14*N14+D25*N25)/(N14+N25)</f>
        <v>0.87845775532472714</v>
      </c>
      <c r="E37" s="141" t="s">
        <v>5</v>
      </c>
      <c r="F37" s="8">
        <f t="shared" si="19"/>
        <v>1.348693054228596E-3</v>
      </c>
      <c r="G37" s="12">
        <f t="shared" si="15"/>
        <v>1040.9760645009399</v>
      </c>
      <c r="H37" s="141" t="s">
        <v>5</v>
      </c>
      <c r="I37" s="4">
        <f t="shared" si="16"/>
        <v>12.333036209138413</v>
      </c>
      <c r="J37" s="145"/>
      <c r="K37" s="9">
        <f t="shared" si="17"/>
        <v>-14.207950746908171</v>
      </c>
      <c r="L37" s="141" t="s">
        <v>5</v>
      </c>
      <c r="M37" s="9">
        <f t="shared" si="18"/>
        <v>1.5352964283752539</v>
      </c>
      <c r="N37" s="202"/>
    </row>
    <row r="38" spans="1:30" x14ac:dyDescent="0.2">
      <c r="A38" s="138"/>
      <c r="B38" s="62">
        <v>998</v>
      </c>
      <c r="C38" s="139">
        <f t="shared" si="14"/>
        <v>952</v>
      </c>
      <c r="D38" s="56">
        <f>(D15*N15+D26*N26)/(N15+N26)</f>
        <v>0.87519792416924991</v>
      </c>
      <c r="E38" s="141" t="s">
        <v>5</v>
      </c>
      <c r="F38" s="8">
        <f t="shared" si="19"/>
        <v>1.2723165669727011E-3</v>
      </c>
      <c r="G38" s="12">
        <f t="shared" si="15"/>
        <v>1070.8408254568465</v>
      </c>
      <c r="H38" s="141" t="s">
        <v>5</v>
      </c>
      <c r="I38" s="4">
        <f t="shared" si="16"/>
        <v>11.677951581287362</v>
      </c>
      <c r="J38" s="145"/>
      <c r="K38" s="9">
        <f t="shared" si="17"/>
        <v>-17.984878670519123</v>
      </c>
      <c r="L38" s="141" t="s">
        <v>5</v>
      </c>
      <c r="M38" s="9">
        <f t="shared" si="18"/>
        <v>1.4537472402947047</v>
      </c>
      <c r="N38" s="202"/>
    </row>
    <row r="39" spans="1:30" x14ac:dyDescent="0.2">
      <c r="A39" s="138"/>
      <c r="B39" s="62">
        <v>999</v>
      </c>
      <c r="C39" s="139">
        <f t="shared" si="14"/>
        <v>951</v>
      </c>
      <c r="D39" s="56">
        <f>(D16*N16+D27*N27)/(N16+N27)</f>
        <v>0.87549792698421169</v>
      </c>
      <c r="E39" s="141" t="s">
        <v>5</v>
      </c>
      <c r="F39" s="8">
        <f t="shared" si="19"/>
        <v>1.2794769034064071E-3</v>
      </c>
      <c r="G39" s="12">
        <f t="shared" si="15"/>
        <v>1068.087722872421</v>
      </c>
      <c r="H39" s="141" t="s">
        <v>5</v>
      </c>
      <c r="I39" s="4">
        <f t="shared" si="16"/>
        <v>11.739648545448832</v>
      </c>
      <c r="J39" s="145"/>
      <c r="K39" s="9">
        <f t="shared" si="17"/>
        <v>-17.767081648815577</v>
      </c>
      <c r="L39" s="141" t="s">
        <v>5</v>
      </c>
      <c r="M39" s="9">
        <f t="shared" si="18"/>
        <v>1.4614276790052076</v>
      </c>
      <c r="N39" s="202"/>
    </row>
    <row r="40" spans="1:30" x14ac:dyDescent="0.2">
      <c r="A40" s="62"/>
      <c r="B40" s="62">
        <v>1000</v>
      </c>
      <c r="C40" s="30">
        <f t="shared" si="14"/>
        <v>950</v>
      </c>
      <c r="D40" s="56">
        <v>0.87790210646826572</v>
      </c>
      <c r="E40" s="2" t="s">
        <v>5</v>
      </c>
      <c r="F40" s="8">
        <f t="shared" si="19"/>
        <v>2.1062873500904116E-3</v>
      </c>
      <c r="G40" s="12">
        <v>1046.0587670950545</v>
      </c>
      <c r="H40" s="2" t="s">
        <v>5</v>
      </c>
      <c r="I40" s="4">
        <v>19.272998844191623</v>
      </c>
      <c r="J40" s="15">
        <v>-23.59925665225726</v>
      </c>
      <c r="K40" s="9">
        <v>-15.18893307103275</v>
      </c>
      <c r="L40" s="2" t="s">
        <v>5</v>
      </c>
      <c r="M40" s="9">
        <v>2.3992280398595325</v>
      </c>
      <c r="N40" s="202"/>
    </row>
  </sheetData>
  <mergeCells count="6">
    <mergeCell ref="D3:F3"/>
    <mergeCell ref="G3:I3"/>
    <mergeCell ref="K3:M3"/>
    <mergeCell ref="D29:F29"/>
    <mergeCell ref="G29:I29"/>
    <mergeCell ref="K29:M29"/>
  </mergeCells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22" workbookViewId="0">
      <selection activeCell="U22" sqref="U1:U1048576"/>
    </sheetView>
  </sheetViews>
  <sheetFormatPr baseColWidth="10" defaultColWidth="8.6640625" defaultRowHeight="16" x14ac:dyDescent="0.2"/>
  <cols>
    <col min="1" max="1" width="9.6640625" bestFit="1" customWidth="1"/>
    <col min="2" max="2" width="7.6640625" bestFit="1" customWidth="1"/>
    <col min="3" max="4" width="7" bestFit="1" customWidth="1"/>
    <col min="5" max="5" width="7.6640625" bestFit="1" customWidth="1"/>
    <col min="6" max="6" width="6.1640625" bestFit="1" customWidth="1"/>
    <col min="7" max="7" width="5.6640625" bestFit="1" customWidth="1"/>
    <col min="21" max="21" width="8.6640625" hidden="1" customWidth="1"/>
  </cols>
  <sheetData>
    <row r="1" spans="1:21" s="225" customFormat="1" ht="14" x14ac:dyDescent="0.2"/>
    <row r="2" spans="1:21" s="225" customFormat="1" ht="14" x14ac:dyDescent="0.2"/>
    <row r="3" spans="1:21" s="224" customFormat="1" x14ac:dyDescent="0.2"/>
    <row r="4" spans="1:21" s="60" customFormat="1" ht="42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21" t="s">
        <v>17</v>
      </c>
      <c r="J4" s="222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21" t="s">
        <v>3</v>
      </c>
      <c r="R4" s="346" t="s">
        <v>16</v>
      </c>
      <c r="S4" s="345"/>
      <c r="T4" s="345"/>
    </row>
    <row r="5" spans="1:21" s="154" customFormat="1" x14ac:dyDescent="0.2">
      <c r="A5" s="156" t="s">
        <v>442</v>
      </c>
      <c r="B5" s="156" t="s">
        <v>216</v>
      </c>
      <c r="C5" s="34">
        <v>0.85450016110427551</v>
      </c>
      <c r="D5" s="34">
        <v>1.8544708375568572E-3</v>
      </c>
      <c r="E5" s="32">
        <v>1263.0859389796167</v>
      </c>
      <c r="F5" s="32">
        <v>17.433381130961227</v>
      </c>
      <c r="G5" s="36">
        <v>-22.134906957001377</v>
      </c>
      <c r="I5" s="220">
        <v>770</v>
      </c>
      <c r="J5" s="9">
        <f>1950-I5</f>
        <v>1180</v>
      </c>
      <c r="K5" s="69">
        <f>C5</f>
        <v>0.85450016110427551</v>
      </c>
      <c r="L5" s="2" t="s">
        <v>5</v>
      </c>
      <c r="M5" s="13">
        <f>D5</f>
        <v>1.8544708375568572E-3</v>
      </c>
      <c r="N5" s="12">
        <f>-8033*LN(K5)</f>
        <v>1263.0975765219837</v>
      </c>
      <c r="O5" s="66" t="s">
        <v>5</v>
      </c>
      <c r="P5" s="12">
        <f>M5/K5*8033</f>
        <v>17.433541754799439</v>
      </c>
      <c r="Q5" s="5">
        <f>G5</f>
        <v>-22.134906957001377</v>
      </c>
      <c r="R5" s="9">
        <f>(EXP(J5/8267)*EXP(-N5/8033)-1)*1000</f>
        <v>-14.397754499617111</v>
      </c>
      <c r="S5" s="2" t="s">
        <v>5</v>
      </c>
      <c r="T5" s="14">
        <f t="shared" ref="T5:T15" si="0">P5/8.033</f>
        <v>2.1702404773807347</v>
      </c>
      <c r="U5" s="154">
        <f>1/M5^2</f>
        <v>290776.95447217085</v>
      </c>
    </row>
    <row r="6" spans="1:21" s="154" customFormat="1" x14ac:dyDescent="0.2">
      <c r="A6" s="156" t="s">
        <v>443</v>
      </c>
      <c r="B6" s="156" t="s">
        <v>217</v>
      </c>
      <c r="C6" s="34">
        <v>0.8562998565971115</v>
      </c>
      <c r="D6" s="34">
        <v>1.8603250461906389E-3</v>
      </c>
      <c r="E6" s="32">
        <v>1246.1852774434251</v>
      </c>
      <c r="F6" s="32">
        <v>17.451659362712185</v>
      </c>
      <c r="G6" s="36">
        <v>-24.236264361668592</v>
      </c>
      <c r="I6" s="220">
        <v>771</v>
      </c>
      <c r="J6" s="9">
        <f t="shared" ref="J6:J15" si="1">1950-I6</f>
        <v>1179</v>
      </c>
      <c r="K6" s="69">
        <f t="shared" ref="K6:K15" si="2">C6</f>
        <v>0.8562998565971115</v>
      </c>
      <c r="L6" s="2" t="s">
        <v>5</v>
      </c>
      <c r="M6" s="13">
        <f t="shared" ref="M6:M15" si="3">D6</f>
        <v>1.8603250461906389E-3</v>
      </c>
      <c r="N6" s="12">
        <f t="shared" ref="N6:N15" si="4">-8033*LN(K6)</f>
        <v>1246.1967592702081</v>
      </c>
      <c r="O6" s="66" t="s">
        <v>5</v>
      </c>
      <c r="P6" s="12">
        <f t="shared" ref="P6:P15" si="5">M6/K6*8033</f>
        <v>17.451820154958334</v>
      </c>
      <c r="Q6" s="5">
        <f t="shared" ref="Q6:Q15" si="6">G6</f>
        <v>-24.236264361668592</v>
      </c>
      <c r="R6" s="9">
        <f t="shared" ref="R6:R15" si="7">(EXP(J6/8267)*EXP(-N6/8033)-1)*1000</f>
        <v>-12.441405030967578</v>
      </c>
      <c r="S6" s="2" t="s">
        <v>5</v>
      </c>
      <c r="T6" s="14">
        <f t="shared" si="0"/>
        <v>2.1725158913181049</v>
      </c>
      <c r="U6" s="154">
        <f t="shared" ref="U6:U15" si="8">1/M6^2</f>
        <v>288949.75707154226</v>
      </c>
    </row>
    <row r="7" spans="1:21" s="154" customFormat="1" x14ac:dyDescent="0.2">
      <c r="A7" s="156" t="s">
        <v>444</v>
      </c>
      <c r="B7" s="156" t="s">
        <v>218</v>
      </c>
      <c r="C7" s="34">
        <v>0.85561100704827542</v>
      </c>
      <c r="D7" s="34">
        <v>1.8664730916785977E-3</v>
      </c>
      <c r="E7" s="32">
        <v>1252.6499571867791</v>
      </c>
      <c r="F7" s="32">
        <v>17.52343071855989</v>
      </c>
      <c r="G7" s="36">
        <v>-23.409467901861714</v>
      </c>
      <c r="I7" s="220">
        <v>772</v>
      </c>
      <c r="J7" s="9">
        <f t="shared" si="1"/>
        <v>1178</v>
      </c>
      <c r="K7" s="69">
        <f t="shared" si="2"/>
        <v>0.85561100704827542</v>
      </c>
      <c r="L7" s="2" t="s">
        <v>5</v>
      </c>
      <c r="M7" s="13">
        <f t="shared" si="3"/>
        <v>1.8664730916785977E-3</v>
      </c>
      <c r="N7" s="12">
        <f t="shared" si="4"/>
        <v>1252.6614985764011</v>
      </c>
      <c r="O7" s="66" t="s">
        <v>5</v>
      </c>
      <c r="P7" s="12">
        <f t="shared" si="5"/>
        <v>17.523592172077112</v>
      </c>
      <c r="Q7" s="5">
        <f t="shared" si="6"/>
        <v>-23.409467901861714</v>
      </c>
      <c r="R7" s="9">
        <f t="shared" si="7"/>
        <v>-13.355200138133959</v>
      </c>
      <c r="S7" s="2" t="s">
        <v>5</v>
      </c>
      <c r="T7" s="14">
        <f t="shared" si="0"/>
        <v>2.1814505380402234</v>
      </c>
      <c r="U7" s="154">
        <f>1/M7^2</f>
        <v>287049.32737089047</v>
      </c>
    </row>
    <row r="8" spans="1:21" s="154" customFormat="1" x14ac:dyDescent="0.2">
      <c r="A8" s="156" t="s">
        <v>445</v>
      </c>
      <c r="B8" s="156" t="s">
        <v>219</v>
      </c>
      <c r="C8" s="34">
        <v>0.85526866494982201</v>
      </c>
      <c r="D8" s="34">
        <v>1.8717887994666963E-3</v>
      </c>
      <c r="E8" s="32">
        <v>1255.8646879725434</v>
      </c>
      <c r="F8" s="32">
        <v>17.580371534090393</v>
      </c>
      <c r="G8" s="36">
        <v>-22.052251366643681</v>
      </c>
      <c r="I8" s="220">
        <v>773</v>
      </c>
      <c r="J8" s="9">
        <f t="shared" si="1"/>
        <v>1177</v>
      </c>
      <c r="K8" s="69">
        <f t="shared" si="2"/>
        <v>0.85526866494982201</v>
      </c>
      <c r="L8" s="2" t="s">
        <v>5</v>
      </c>
      <c r="M8" s="13">
        <f t="shared" si="3"/>
        <v>1.8717887994666963E-3</v>
      </c>
      <c r="N8" s="12">
        <f t="shared" si="4"/>
        <v>1255.8762589813421</v>
      </c>
      <c r="O8" s="66" t="s">
        <v>5</v>
      </c>
      <c r="P8" s="12">
        <f t="shared" si="5"/>
        <v>17.580533512236329</v>
      </c>
      <c r="Q8" s="5">
        <f t="shared" si="6"/>
        <v>-22.052251366643681</v>
      </c>
      <c r="R8" s="9">
        <f t="shared" si="7"/>
        <v>-13.869263128888809</v>
      </c>
      <c r="S8" s="2" t="s">
        <v>5</v>
      </c>
      <c r="T8" s="14">
        <f t="shared" si="0"/>
        <v>2.1885389657956345</v>
      </c>
      <c r="U8" s="154">
        <f t="shared" si="8"/>
        <v>285421.25514405733</v>
      </c>
    </row>
    <row r="9" spans="1:21" s="154" customFormat="1" x14ac:dyDescent="0.2">
      <c r="A9" s="156" t="s">
        <v>446</v>
      </c>
      <c r="B9" s="156" t="s">
        <v>298</v>
      </c>
      <c r="C9" s="34">
        <v>0.85544437973532306</v>
      </c>
      <c r="D9" s="34">
        <v>1.8356722655896681E-3</v>
      </c>
      <c r="E9" s="32">
        <v>1254.2144943573414</v>
      </c>
      <c r="F9" s="32">
        <v>17.237613335268485</v>
      </c>
      <c r="G9" s="36">
        <v>-21.619416557689284</v>
      </c>
      <c r="I9" s="220">
        <v>774</v>
      </c>
      <c r="J9" s="9">
        <f t="shared" si="1"/>
        <v>1176</v>
      </c>
      <c r="K9" s="69">
        <f t="shared" si="2"/>
        <v>0.85544437973532306</v>
      </c>
      <c r="L9" s="2" t="s">
        <v>5</v>
      </c>
      <c r="M9" s="13">
        <f t="shared" si="3"/>
        <v>1.8356722655896681E-3</v>
      </c>
      <c r="N9" s="12">
        <f t="shared" si="4"/>
        <v>1254.2260501619505</v>
      </c>
      <c r="O9" s="66" t="s">
        <v>5</v>
      </c>
      <c r="P9" s="12">
        <f t="shared" si="5"/>
        <v>17.237772155384604</v>
      </c>
      <c r="Q9" s="5">
        <f t="shared" si="6"/>
        <v>-21.619416557689284</v>
      </c>
      <c r="R9" s="9">
        <f t="shared" si="7"/>
        <v>-13.785965245450726</v>
      </c>
      <c r="S9" s="2" t="s">
        <v>5</v>
      </c>
      <c r="T9" s="14">
        <f t="shared" si="0"/>
        <v>2.145869806471381</v>
      </c>
      <c r="U9" s="154">
        <f t="shared" si="8"/>
        <v>296762.96888898208</v>
      </c>
    </row>
    <row r="10" spans="1:21" s="154" customFormat="1" x14ac:dyDescent="0.2">
      <c r="A10" s="156" t="s">
        <v>447</v>
      </c>
      <c r="B10" s="156" t="s">
        <v>299</v>
      </c>
      <c r="C10" s="34">
        <v>0.8663522109620303</v>
      </c>
      <c r="D10" s="34">
        <v>1.8833757556798807E-3</v>
      </c>
      <c r="E10" s="32">
        <v>1152.4336293681988</v>
      </c>
      <c r="F10" s="32">
        <v>17.462895415445661</v>
      </c>
      <c r="G10" s="36">
        <v>-22.643259252038582</v>
      </c>
      <c r="I10" s="220">
        <v>775</v>
      </c>
      <c r="J10" s="9">
        <f t="shared" si="1"/>
        <v>1175</v>
      </c>
      <c r="K10" s="69">
        <f t="shared" si="2"/>
        <v>0.8663522109620303</v>
      </c>
      <c r="L10" s="2" t="s">
        <v>5</v>
      </c>
      <c r="M10" s="13">
        <f t="shared" si="3"/>
        <v>1.8833757556798807E-3</v>
      </c>
      <c r="N10" s="12">
        <f t="shared" si="4"/>
        <v>1152.4442474067448</v>
      </c>
      <c r="O10" s="66" t="s">
        <v>5</v>
      </c>
      <c r="P10" s="12">
        <f t="shared" si="5"/>
        <v>17.463056311216071</v>
      </c>
      <c r="Q10" s="5">
        <f t="shared" si="6"/>
        <v>-22.643259252038582</v>
      </c>
      <c r="R10" s="9">
        <f t="shared" si="7"/>
        <v>-1.3314900947127839</v>
      </c>
      <c r="S10" s="2" t="s">
        <v>5</v>
      </c>
      <c r="T10" s="14">
        <f t="shared" si="0"/>
        <v>2.1739146410078516</v>
      </c>
      <c r="U10" s="154">
        <f t="shared" si="8"/>
        <v>281920.10529197985</v>
      </c>
    </row>
    <row r="11" spans="1:21" s="154" customFormat="1" x14ac:dyDescent="0.2">
      <c r="A11" s="156" t="s">
        <v>448</v>
      </c>
      <c r="B11" s="156" t="s">
        <v>220</v>
      </c>
      <c r="C11" s="34">
        <v>0.86680779279596287</v>
      </c>
      <c r="D11" s="34">
        <v>1.8713565368252208E-3</v>
      </c>
      <c r="E11" s="32">
        <v>1148.2105279467348</v>
      </c>
      <c r="F11" s="32">
        <v>17.342332039942185</v>
      </c>
      <c r="G11" s="36">
        <v>-23.588317726242813</v>
      </c>
      <c r="I11" s="220">
        <v>776</v>
      </c>
      <c r="J11" s="9">
        <f t="shared" si="1"/>
        <v>1174</v>
      </c>
      <c r="K11" s="69">
        <f t="shared" si="2"/>
        <v>0.86680779279596287</v>
      </c>
      <c r="L11" s="2" t="s">
        <v>5</v>
      </c>
      <c r="M11" s="13">
        <f t="shared" si="3"/>
        <v>1.8713565368252208E-3</v>
      </c>
      <c r="N11" s="12">
        <f t="shared" si="4"/>
        <v>1148.2211070754013</v>
      </c>
      <c r="O11" s="66" t="s">
        <v>5</v>
      </c>
      <c r="P11" s="12">
        <f t="shared" si="5"/>
        <v>17.342491824892384</v>
      </c>
      <c r="Q11" s="5">
        <f t="shared" si="6"/>
        <v>-23.588317726242813</v>
      </c>
      <c r="R11" s="9">
        <f t="shared" si="7"/>
        <v>-0.92718614652875786</v>
      </c>
      <c r="S11" s="2" t="s">
        <v>5</v>
      </c>
      <c r="T11" s="14">
        <f t="shared" si="0"/>
        <v>2.1589059908990893</v>
      </c>
      <c r="U11" s="154">
        <f t="shared" si="8"/>
        <v>285553.12867281353</v>
      </c>
    </row>
    <row r="12" spans="1:21" s="154" customFormat="1" x14ac:dyDescent="0.2">
      <c r="A12" s="156" t="s">
        <v>449</v>
      </c>
      <c r="B12" s="156" t="s">
        <v>221</v>
      </c>
      <c r="C12" s="34">
        <v>0.86509726171008505</v>
      </c>
      <c r="D12" s="34">
        <v>1.8676880803911117E-3</v>
      </c>
      <c r="E12" s="32">
        <v>1164.078111501756</v>
      </c>
      <c r="F12" s="32">
        <v>17.34255878789206</v>
      </c>
      <c r="G12" s="36">
        <v>-20.08364145616104</v>
      </c>
      <c r="I12" s="220">
        <v>777</v>
      </c>
      <c r="J12" s="9">
        <f t="shared" si="1"/>
        <v>1173</v>
      </c>
      <c r="K12" s="69">
        <f t="shared" si="2"/>
        <v>0.86509726171008505</v>
      </c>
      <c r="L12" s="2" t="s">
        <v>5</v>
      </c>
      <c r="M12" s="13">
        <f t="shared" si="3"/>
        <v>1.8676880803911117E-3</v>
      </c>
      <c r="N12" s="12">
        <f t="shared" si="4"/>
        <v>1164.0888368276605</v>
      </c>
      <c r="O12" s="66" t="s">
        <v>5</v>
      </c>
      <c r="P12" s="12">
        <f t="shared" si="5"/>
        <v>17.342718574931421</v>
      </c>
      <c r="Q12" s="5">
        <f t="shared" si="6"/>
        <v>-20.08364145616104</v>
      </c>
      <c r="R12" s="9">
        <f t="shared" si="7"/>
        <v>-3.0193297739712355</v>
      </c>
      <c r="S12" s="2" t="s">
        <v>5</v>
      </c>
      <c r="T12" s="14">
        <f t="shared" si="0"/>
        <v>2.1589342182162854</v>
      </c>
      <c r="U12" s="154">
        <f t="shared" si="8"/>
        <v>286675.9799621547</v>
      </c>
    </row>
    <row r="13" spans="1:21" s="154" customFormat="1" x14ac:dyDescent="0.2">
      <c r="A13" s="156" t="s">
        <v>450</v>
      </c>
      <c r="B13" s="156" t="s">
        <v>222</v>
      </c>
      <c r="C13" s="34">
        <v>0.86606016298083777</v>
      </c>
      <c r="D13" s="34">
        <v>1.9305040122595245E-3</v>
      </c>
      <c r="E13" s="32">
        <v>1155.1419912748372</v>
      </c>
      <c r="F13" s="32">
        <v>17.905910597068903</v>
      </c>
      <c r="G13" s="36">
        <v>-20.779554997992889</v>
      </c>
      <c r="I13" s="220">
        <v>778</v>
      </c>
      <c r="J13" s="9">
        <f t="shared" si="1"/>
        <v>1172</v>
      </c>
      <c r="K13" s="69">
        <f t="shared" si="2"/>
        <v>0.86606016298083777</v>
      </c>
      <c r="L13" s="2" t="s">
        <v>5</v>
      </c>
      <c r="M13" s="13">
        <f t="shared" si="3"/>
        <v>1.9305040122595245E-3</v>
      </c>
      <c r="N13" s="12">
        <f t="shared" si="4"/>
        <v>1155.15263426709</v>
      </c>
      <c r="O13" s="66" t="s">
        <v>5</v>
      </c>
      <c r="P13" s="12">
        <f t="shared" si="5"/>
        <v>17.906075574594787</v>
      </c>
      <c r="Q13" s="5">
        <f t="shared" si="6"/>
        <v>-20.779554997992889</v>
      </c>
      <c r="R13" s="9">
        <f t="shared" si="7"/>
        <v>-2.0303595169071098</v>
      </c>
      <c r="S13" s="2" t="s">
        <v>5</v>
      </c>
      <c r="T13" s="14">
        <f t="shared" si="0"/>
        <v>2.2290645555327759</v>
      </c>
      <c r="U13" s="154">
        <f t="shared" si="8"/>
        <v>268323.42130633252</v>
      </c>
    </row>
    <row r="14" spans="1:21" s="154" customFormat="1" x14ac:dyDescent="0.2">
      <c r="A14" s="156" t="s">
        <v>451</v>
      </c>
      <c r="B14" s="156" t="s">
        <v>223</v>
      </c>
      <c r="C14" s="34">
        <v>0.86369125750120834</v>
      </c>
      <c r="D14" s="34">
        <v>1.869362275763426E-3</v>
      </c>
      <c r="E14" s="32">
        <v>1177.144290636315</v>
      </c>
      <c r="F14" s="32">
        <v>17.386361938422006</v>
      </c>
      <c r="G14" s="36">
        <v>-19.806557231225487</v>
      </c>
      <c r="I14" s="220">
        <v>779</v>
      </c>
      <c r="J14" s="9">
        <f t="shared" si="1"/>
        <v>1171</v>
      </c>
      <c r="K14" s="69">
        <f t="shared" si="2"/>
        <v>0.86369125750120834</v>
      </c>
      <c r="L14" s="2" t="s">
        <v>5</v>
      </c>
      <c r="M14" s="13">
        <f t="shared" si="3"/>
        <v>1.869362275763426E-3</v>
      </c>
      <c r="N14" s="12">
        <f t="shared" si="4"/>
        <v>1177.1551363484962</v>
      </c>
      <c r="O14" s="66" t="s">
        <v>5</v>
      </c>
      <c r="P14" s="12">
        <f t="shared" si="5"/>
        <v>17.386522129045161</v>
      </c>
      <c r="Q14" s="5">
        <f t="shared" si="6"/>
        <v>-19.806557231225487</v>
      </c>
      <c r="R14" s="9">
        <f t="shared" si="7"/>
        <v>-4.8804523825013435</v>
      </c>
      <c r="S14" s="2" t="s">
        <v>5</v>
      </c>
      <c r="T14" s="14">
        <f t="shared" si="0"/>
        <v>2.1643871690582799</v>
      </c>
      <c r="U14" s="154">
        <f t="shared" si="8"/>
        <v>286162.71756930143</v>
      </c>
    </row>
    <row r="15" spans="1:21" s="154" customFormat="1" x14ac:dyDescent="0.2">
      <c r="A15" s="156" t="s">
        <v>452</v>
      </c>
      <c r="B15" s="156" t="s">
        <v>224</v>
      </c>
      <c r="C15" s="34">
        <v>0.8620750700096883</v>
      </c>
      <c r="D15" s="34">
        <v>1.9062906476550864E-3</v>
      </c>
      <c r="E15" s="32">
        <v>1192.1900336092856</v>
      </c>
      <c r="F15" s="32">
        <v>17.763060569722544</v>
      </c>
      <c r="G15" s="36">
        <v>-16.013115865861071</v>
      </c>
      <c r="I15" s="220">
        <v>780</v>
      </c>
      <c r="J15" s="9">
        <f t="shared" si="1"/>
        <v>1170</v>
      </c>
      <c r="K15" s="69">
        <f t="shared" si="2"/>
        <v>0.8620750700096883</v>
      </c>
      <c r="L15" s="2" t="s">
        <v>5</v>
      </c>
      <c r="M15" s="13">
        <f t="shared" si="3"/>
        <v>1.9062906476550864E-3</v>
      </c>
      <c r="N15" s="12">
        <f t="shared" si="4"/>
        <v>1192.2010179466115</v>
      </c>
      <c r="O15" s="66" t="s">
        <v>5</v>
      </c>
      <c r="P15" s="12">
        <f t="shared" si="5"/>
        <v>17.763224231088383</v>
      </c>
      <c r="Q15" s="5">
        <f t="shared" si="6"/>
        <v>-16.013115865861071</v>
      </c>
      <c r="R15" s="9">
        <f t="shared" si="7"/>
        <v>-6.8627158538582256</v>
      </c>
      <c r="S15" s="2" t="s">
        <v>5</v>
      </c>
      <c r="T15" s="14">
        <f t="shared" si="0"/>
        <v>2.2112814927285429</v>
      </c>
      <c r="U15" s="154">
        <f t="shared" si="8"/>
        <v>275183.10431480297</v>
      </c>
    </row>
    <row r="16" spans="1:21" x14ac:dyDescent="0.2">
      <c r="J16" s="9"/>
      <c r="K16" s="69"/>
      <c r="L16" s="2"/>
      <c r="M16" s="13"/>
      <c r="N16" s="12"/>
      <c r="O16" s="66"/>
      <c r="P16" s="12"/>
      <c r="Q16" s="5"/>
      <c r="R16" s="9"/>
      <c r="S16" s="2"/>
      <c r="T16" s="14"/>
    </row>
    <row r="17" spans="1:21" ht="42" x14ac:dyDescent="0.2">
      <c r="A17" s="60" t="s">
        <v>166</v>
      </c>
      <c r="B17" s="60" t="s">
        <v>168</v>
      </c>
      <c r="C17" s="60" t="s">
        <v>153</v>
      </c>
      <c r="D17" s="60" t="s">
        <v>178</v>
      </c>
      <c r="E17" s="60" t="s">
        <v>179</v>
      </c>
      <c r="F17" s="60" t="s">
        <v>180</v>
      </c>
      <c r="G17" s="60" t="s">
        <v>181</v>
      </c>
      <c r="J17" s="9"/>
      <c r="K17" s="69"/>
      <c r="L17" s="2"/>
      <c r="M17" s="13"/>
      <c r="N17" s="12"/>
      <c r="O17" s="66"/>
      <c r="P17" s="12"/>
      <c r="Q17" s="5"/>
      <c r="R17" s="9"/>
      <c r="S17" s="2"/>
      <c r="T17" s="14"/>
    </row>
    <row r="18" spans="1:21" x14ac:dyDescent="0.2">
      <c r="A18" s="156" t="s">
        <v>467</v>
      </c>
      <c r="B18" s="156" t="s">
        <v>218</v>
      </c>
      <c r="C18" s="34">
        <v>0.84753457407138211</v>
      </c>
      <c r="D18" s="34">
        <v>2.0209755825810272E-3</v>
      </c>
      <c r="E18" s="32">
        <v>1328.8358985180312</v>
      </c>
      <c r="F18" s="32">
        <v>19.154790583282168</v>
      </c>
      <c r="G18" s="36">
        <v>-20.981934532273037</v>
      </c>
      <c r="I18" s="220">
        <v>772</v>
      </c>
      <c r="J18" s="9">
        <f>1950-I18</f>
        <v>1178</v>
      </c>
      <c r="K18" s="69">
        <f>C18</f>
        <v>0.84753457407138211</v>
      </c>
      <c r="L18" s="2" t="s">
        <v>5</v>
      </c>
      <c r="M18" s="13">
        <f>D18</f>
        <v>2.0209755825810272E-3</v>
      </c>
      <c r="N18" s="12">
        <f>-8033*LN(K18)</f>
        <v>1328.8481418528595</v>
      </c>
      <c r="O18" s="66" t="s">
        <v>5</v>
      </c>
      <c r="P18" s="12">
        <f>M18/K18*8033</f>
        <v>19.154967067462746</v>
      </c>
      <c r="Q18" s="5">
        <f>G18</f>
        <v>-20.981934532273037</v>
      </c>
      <c r="R18" s="9">
        <f>(EXP(J18/8267)*EXP(-N18/8033)-1)*1000</f>
        <v>-22.668510196608981</v>
      </c>
      <c r="S18" s="2" t="s">
        <v>5</v>
      </c>
      <c r="T18" s="14">
        <f>P18/8.033</f>
        <v>2.3845346778865615</v>
      </c>
      <c r="U18" s="154">
        <f t="shared" ref="U18:U24" si="9">1/M18^2</f>
        <v>244837.46102295071</v>
      </c>
    </row>
    <row r="19" spans="1:21" x14ac:dyDescent="0.2">
      <c r="A19" s="156" t="s">
        <v>468</v>
      </c>
      <c r="B19" s="156" t="s">
        <v>219</v>
      </c>
      <c r="C19" s="34">
        <v>0.85095941306097989</v>
      </c>
      <c r="D19" s="34">
        <v>2.0710109669802826E-3</v>
      </c>
      <c r="E19" s="32">
        <v>1296.4407112301164</v>
      </c>
      <c r="F19" s="32">
        <v>19.550025022047397</v>
      </c>
      <c r="G19" s="36">
        <v>-17.943389165945291</v>
      </c>
      <c r="I19" s="220">
        <v>773</v>
      </c>
      <c r="J19" s="9">
        <f t="shared" ref="J19:J24" si="10">1950-I19</f>
        <v>1177</v>
      </c>
      <c r="K19" s="69">
        <f t="shared" ref="K19:K24" si="11">C19</f>
        <v>0.85095941306097989</v>
      </c>
      <c r="L19" s="2" t="s">
        <v>5</v>
      </c>
      <c r="M19" s="13">
        <f t="shared" ref="M19:M24" si="12">D19</f>
        <v>2.0710109669802826E-3</v>
      </c>
      <c r="N19" s="12">
        <f t="shared" ref="N19:N24" si="13">-8033*LN(K19)</f>
        <v>1296.45265608932</v>
      </c>
      <c r="O19" s="66" t="s">
        <v>5</v>
      </c>
      <c r="P19" s="12">
        <f t="shared" ref="P19:P24" si="14">M19/K19*8033</f>
        <v>19.55020514775179</v>
      </c>
      <c r="Q19" s="5">
        <f t="shared" ref="Q19:Q24" si="15">G19</f>
        <v>-17.943389165945291</v>
      </c>
      <c r="R19" s="9">
        <f t="shared" ref="R19:R24" si="16">(EXP(J19/8267)*EXP(-N19/8033)-1)*1000</f>
        <v>-18.837860617207159</v>
      </c>
      <c r="S19" s="2" t="s">
        <v>5</v>
      </c>
      <c r="T19" s="14">
        <f t="shared" ref="T19:T24" si="17">P19/8.033</f>
        <v>2.433736480486965</v>
      </c>
      <c r="U19" s="154">
        <f t="shared" si="9"/>
        <v>233149.88340851403</v>
      </c>
    </row>
    <row r="20" spans="1:21" x14ac:dyDescent="0.2">
      <c r="A20" s="156" t="s">
        <v>469</v>
      </c>
      <c r="B20" s="156" t="s">
        <v>298</v>
      </c>
      <c r="C20" s="34">
        <v>0.85745461691939018</v>
      </c>
      <c r="D20" s="34">
        <v>2.0490212942087861E-3</v>
      </c>
      <c r="E20" s="32">
        <v>1235.3597995234836</v>
      </c>
      <c r="F20" s="32">
        <v>19.195927200614204</v>
      </c>
      <c r="G20" s="36">
        <v>-19.179902342181254</v>
      </c>
      <c r="I20" s="220">
        <v>774</v>
      </c>
      <c r="J20" s="9">
        <f t="shared" si="10"/>
        <v>1176</v>
      </c>
      <c r="K20" s="69">
        <f t="shared" si="11"/>
        <v>0.85745461691939018</v>
      </c>
      <c r="L20" s="2" t="s">
        <v>5</v>
      </c>
      <c r="M20" s="13">
        <f t="shared" si="12"/>
        <v>2.0490212942087861E-3</v>
      </c>
      <c r="N20" s="12">
        <f t="shared" si="13"/>
        <v>1235.371181608868</v>
      </c>
      <c r="O20" s="66" t="s">
        <v>5</v>
      </c>
      <c r="P20" s="12">
        <f t="shared" si="14"/>
        <v>19.196104063810264</v>
      </c>
      <c r="Q20" s="5">
        <f t="shared" si="15"/>
        <v>-19.179902342181254</v>
      </c>
      <c r="R20" s="9">
        <f t="shared" si="16"/>
        <v>-11.46842810209392</v>
      </c>
      <c r="S20" s="2" t="s">
        <v>5</v>
      </c>
      <c r="T20" s="14">
        <f t="shared" si="17"/>
        <v>2.3896556783032823</v>
      </c>
      <c r="U20" s="154">
        <f t="shared" si="9"/>
        <v>238180.9682655739</v>
      </c>
    </row>
    <row r="21" spans="1:21" x14ac:dyDescent="0.2">
      <c r="A21" s="156" t="s">
        <v>470</v>
      </c>
      <c r="B21" s="156" t="s">
        <v>299</v>
      </c>
      <c r="C21" s="34">
        <v>0.86052669243106816</v>
      </c>
      <c r="D21" s="34">
        <v>2.0305440670905913E-3</v>
      </c>
      <c r="E21" s="32">
        <v>1206.6309869526397</v>
      </c>
      <c r="F21" s="32">
        <v>18.954914879200942</v>
      </c>
      <c r="G21" s="36">
        <v>-19.817426365820289</v>
      </c>
      <c r="I21" s="220">
        <v>775</v>
      </c>
      <c r="J21" s="9">
        <f t="shared" si="10"/>
        <v>1175</v>
      </c>
      <c r="K21" s="69">
        <f t="shared" si="11"/>
        <v>0.86052669243106816</v>
      </c>
      <c r="L21" s="2" t="s">
        <v>5</v>
      </c>
      <c r="M21" s="13">
        <f t="shared" si="12"/>
        <v>2.0305440670905913E-3</v>
      </c>
      <c r="N21" s="12">
        <f t="shared" si="13"/>
        <v>1206.6421043428334</v>
      </c>
      <c r="O21" s="66" t="s">
        <v>5</v>
      </c>
      <c r="P21" s="12">
        <f t="shared" si="14"/>
        <v>18.955089521810887</v>
      </c>
      <c r="Q21" s="5">
        <f t="shared" si="15"/>
        <v>-19.817426365820289</v>
      </c>
      <c r="R21" s="9">
        <f t="shared" si="16"/>
        <v>-8.0467288130180457</v>
      </c>
      <c r="S21" s="2" t="s">
        <v>5</v>
      </c>
      <c r="T21" s="14">
        <f t="shared" si="17"/>
        <v>2.359652623155843</v>
      </c>
      <c r="U21" s="154">
        <f t="shared" si="9"/>
        <v>242535.41428480201</v>
      </c>
    </row>
    <row r="22" spans="1:21" x14ac:dyDescent="0.2">
      <c r="A22" s="156" t="s">
        <v>471</v>
      </c>
      <c r="B22" s="156" t="s">
        <v>220</v>
      </c>
      <c r="C22" s="34">
        <v>0.86637591393240243</v>
      </c>
      <c r="D22" s="34">
        <v>2.0649467435739735E-3</v>
      </c>
      <c r="E22" s="32">
        <v>1152.2138554706423</v>
      </c>
      <c r="F22" s="32">
        <v>19.145920487334276</v>
      </c>
      <c r="G22" s="36">
        <v>-18.660425667018199</v>
      </c>
      <c r="I22" s="220">
        <v>776</v>
      </c>
      <c r="J22" s="9">
        <f t="shared" si="10"/>
        <v>1174</v>
      </c>
      <c r="K22" s="69">
        <f t="shared" si="11"/>
        <v>0.86637591393240243</v>
      </c>
      <c r="L22" s="2" t="s">
        <v>5</v>
      </c>
      <c r="M22" s="13">
        <f t="shared" si="12"/>
        <v>2.0649467435739735E-3</v>
      </c>
      <c r="N22" s="12">
        <f t="shared" si="13"/>
        <v>1152.2244714842841</v>
      </c>
      <c r="O22" s="66" t="s">
        <v>5</v>
      </c>
      <c r="P22" s="12">
        <f t="shared" si="14"/>
        <v>19.146096889789526</v>
      </c>
      <c r="Q22" s="5">
        <f t="shared" si="15"/>
        <v>-18.660425667018199</v>
      </c>
      <c r="R22" s="9">
        <f t="shared" si="16"/>
        <v>-1.4249648179334162</v>
      </c>
      <c r="S22" s="2" t="s">
        <v>5</v>
      </c>
      <c r="T22" s="14">
        <f t="shared" si="17"/>
        <v>2.3834304605738237</v>
      </c>
      <c r="U22" s="154">
        <f t="shared" si="9"/>
        <v>234521.29802463052</v>
      </c>
    </row>
    <row r="23" spans="1:21" x14ac:dyDescent="0.2">
      <c r="A23" s="156" t="s">
        <v>472</v>
      </c>
      <c r="B23" s="156" t="s">
        <v>221</v>
      </c>
      <c r="C23" s="34">
        <v>0.86642598493987055</v>
      </c>
      <c r="D23" s="34">
        <v>2.0843704355328254E-3</v>
      </c>
      <c r="E23" s="32">
        <v>1151.7496169474623</v>
      </c>
      <c r="F23" s="32">
        <v>19.324897603772246</v>
      </c>
      <c r="G23" s="36">
        <v>-20.124728596732201</v>
      </c>
      <c r="I23" s="220">
        <v>777</v>
      </c>
      <c r="J23" s="9">
        <f t="shared" si="10"/>
        <v>1173</v>
      </c>
      <c r="K23" s="69">
        <f t="shared" si="11"/>
        <v>0.86642598493987055</v>
      </c>
      <c r="L23" s="2" t="s">
        <v>5</v>
      </c>
      <c r="M23" s="13">
        <f t="shared" si="12"/>
        <v>2.0843704355328254E-3</v>
      </c>
      <c r="N23" s="12">
        <f t="shared" si="13"/>
        <v>1151.7602286838055</v>
      </c>
      <c r="O23" s="66" t="s">
        <v>5</v>
      </c>
      <c r="P23" s="12">
        <f t="shared" si="14"/>
        <v>19.325075655247336</v>
      </c>
      <c r="Q23" s="5">
        <f t="shared" si="15"/>
        <v>-20.124728596732201</v>
      </c>
      <c r="R23" s="9">
        <f t="shared" si="16"/>
        <v>-1.4880437153865778</v>
      </c>
      <c r="S23" s="2" t="s">
        <v>5</v>
      </c>
      <c r="T23" s="14">
        <f t="shared" si="17"/>
        <v>2.4057108994457037</v>
      </c>
      <c r="U23" s="154">
        <f t="shared" si="9"/>
        <v>230170.78076242324</v>
      </c>
    </row>
    <row r="24" spans="1:21" x14ac:dyDescent="0.2">
      <c r="A24" s="156" t="s">
        <v>473</v>
      </c>
      <c r="B24" s="156" t="s">
        <v>222</v>
      </c>
      <c r="C24" s="34">
        <v>0.86421470498806419</v>
      </c>
      <c r="D24" s="34">
        <v>2.1428877956755528E-3</v>
      </c>
      <c r="E24" s="32">
        <v>1172.2773416929977</v>
      </c>
      <c r="F24" s="32">
        <v>19.918266796314143</v>
      </c>
      <c r="G24" s="36">
        <v>-17.293280646199172</v>
      </c>
      <c r="I24" s="220">
        <v>778</v>
      </c>
      <c r="J24" s="9">
        <f t="shared" si="10"/>
        <v>1172</v>
      </c>
      <c r="K24" s="69">
        <f t="shared" si="11"/>
        <v>0.86421470498806419</v>
      </c>
      <c r="L24" s="2" t="s">
        <v>5</v>
      </c>
      <c r="M24" s="13">
        <f t="shared" si="12"/>
        <v>2.1428877956755528E-3</v>
      </c>
      <c r="N24" s="12">
        <f t="shared" si="13"/>
        <v>1172.2881425631592</v>
      </c>
      <c r="O24" s="66" t="s">
        <v>5</v>
      </c>
      <c r="P24" s="12">
        <f t="shared" si="14"/>
        <v>19.918450314843298</v>
      </c>
      <c r="Q24" s="5">
        <f t="shared" si="15"/>
        <v>-17.293280646199172</v>
      </c>
      <c r="R24" s="9">
        <f t="shared" si="16"/>
        <v>-4.1568989056212091</v>
      </c>
      <c r="S24" s="2" t="s">
        <v>5</v>
      </c>
      <c r="T24" s="14">
        <f t="shared" si="17"/>
        <v>2.4795780299817376</v>
      </c>
      <c r="U24" s="154">
        <f t="shared" si="9"/>
        <v>217771.54744229803</v>
      </c>
    </row>
    <row r="26" spans="1:21" ht="42" x14ac:dyDescent="0.2">
      <c r="A26" s="60" t="s">
        <v>166</v>
      </c>
      <c r="B26" s="60" t="s">
        <v>168</v>
      </c>
      <c r="C26" s="60" t="s">
        <v>153</v>
      </c>
      <c r="D26" s="60" t="s">
        <v>178</v>
      </c>
      <c r="E26" s="60" t="s">
        <v>179</v>
      </c>
      <c r="F26" s="60" t="s">
        <v>180</v>
      </c>
      <c r="G26" s="60" t="s">
        <v>181</v>
      </c>
    </row>
    <row r="27" spans="1:21" x14ac:dyDescent="0.2">
      <c r="A27" s="258" t="s">
        <v>764</v>
      </c>
      <c r="B27" s="258" t="s">
        <v>216</v>
      </c>
      <c r="C27">
        <v>0.85085612797239618</v>
      </c>
      <c r="D27">
        <v>1.5799353475513193E-3</v>
      </c>
      <c r="E27">
        <v>1297.4157657566157</v>
      </c>
      <c r="F27">
        <v>14.916157145096742</v>
      </c>
      <c r="G27">
        <v>-18.813779781298614</v>
      </c>
      <c r="I27" s="220">
        <v>770</v>
      </c>
      <c r="J27" s="9">
        <f>1950-I27</f>
        <v>1180</v>
      </c>
      <c r="K27" s="69">
        <f>C27</f>
        <v>0.85085612797239618</v>
      </c>
      <c r="L27" s="2" t="s">
        <v>5</v>
      </c>
      <c r="M27" s="13">
        <f>D27</f>
        <v>1.5799353475513193E-3</v>
      </c>
      <c r="N27" s="12">
        <f>-8033*LN(K27)</f>
        <v>1297.4277195995614</v>
      </c>
      <c r="O27" s="66" t="s">
        <v>5</v>
      </c>
      <c r="P27" s="12">
        <f>M27/K27*8033</f>
        <v>14.916294576292334</v>
      </c>
      <c r="Q27" s="5">
        <f>G27</f>
        <v>-18.813779781298614</v>
      </c>
      <c r="R27" s="9">
        <f>(EXP(J27/8267)*EXP(-N27/8033)-1)*1000</f>
        <v>-18.600875108531479</v>
      </c>
      <c r="S27" s="2" t="s">
        <v>5</v>
      </c>
      <c r="T27" s="14">
        <f>P27/8.033</f>
        <v>1.8568772035718082</v>
      </c>
      <c r="U27" s="154">
        <f>1/M27^2</f>
        <v>400609.61527241953</v>
      </c>
    </row>
    <row r="28" spans="1:21" x14ac:dyDescent="0.2">
      <c r="A28" s="258" t="s">
        <v>765</v>
      </c>
      <c r="B28" s="258" t="s">
        <v>217</v>
      </c>
      <c r="C28">
        <v>0.8484809607061442</v>
      </c>
      <c r="D28">
        <v>1.5639619701922223E-3</v>
      </c>
      <c r="E28">
        <v>1319.8710577766246</v>
      </c>
      <c r="F28">
        <v>14.806685519666971</v>
      </c>
      <c r="G28">
        <v>-18.22433484028263</v>
      </c>
      <c r="I28" s="220">
        <v>771</v>
      </c>
      <c r="J28" s="9">
        <f t="shared" ref="J28:J36" si="18">1950-I28</f>
        <v>1179</v>
      </c>
      <c r="K28" s="69">
        <f t="shared" ref="K28:K36" si="19">C28</f>
        <v>0.8484809607061442</v>
      </c>
      <c r="L28" s="2" t="s">
        <v>5</v>
      </c>
      <c r="M28" s="13">
        <f t="shared" ref="M28:M36" si="20">D28</f>
        <v>1.5639619701922223E-3</v>
      </c>
      <c r="N28" s="12">
        <f t="shared" ref="N28:N36" si="21">-8033*LN(K28)</f>
        <v>1319.8832185131826</v>
      </c>
      <c r="O28" s="66" t="s">
        <v>5</v>
      </c>
      <c r="P28" s="12">
        <f t="shared" ref="P28:P36" si="22">M28/K28*8033</f>
        <v>14.806821942237066</v>
      </c>
      <c r="Q28" s="5">
        <f t="shared" ref="Q28:Q36" si="23">G28</f>
        <v>-18.22433484028263</v>
      </c>
      <c r="R28" s="9">
        <f t="shared" ref="R28:R36" si="24">(EXP(J28/8267)*EXP(-N28/8033)-1)*1000</f>
        <v>-21.458827819029302</v>
      </c>
      <c r="S28" s="2" t="s">
        <v>5</v>
      </c>
      <c r="T28" s="14">
        <f t="shared" ref="T28:T36" si="25">P28/8.033</f>
        <v>1.8432493392552056</v>
      </c>
      <c r="U28" s="154">
        <f t="shared" ref="U28:U36" si="26">1/M28^2</f>
        <v>408834.58099827997</v>
      </c>
    </row>
    <row r="29" spans="1:21" x14ac:dyDescent="0.2">
      <c r="A29" s="258" t="s">
        <v>766</v>
      </c>
      <c r="B29" s="258" t="s">
        <v>218</v>
      </c>
      <c r="C29">
        <v>0.84958141108361396</v>
      </c>
      <c r="D29">
        <v>1.5599127391918413E-3</v>
      </c>
      <c r="E29">
        <v>1309.4593817156369</v>
      </c>
      <c r="F29">
        <v>14.749220519883959</v>
      </c>
      <c r="G29">
        <v>-17.282359581547336</v>
      </c>
      <c r="I29" s="220">
        <v>772</v>
      </c>
      <c r="J29" s="9">
        <f t="shared" si="18"/>
        <v>1178</v>
      </c>
      <c r="K29" s="69">
        <f t="shared" si="19"/>
        <v>0.84958141108361396</v>
      </c>
      <c r="L29" s="2" t="s">
        <v>5</v>
      </c>
      <c r="M29" s="13">
        <f t="shared" si="20"/>
        <v>1.5599127391918413E-3</v>
      </c>
      <c r="N29" s="12">
        <f t="shared" si="21"/>
        <v>1309.4714465233924</v>
      </c>
      <c r="O29" s="66" t="s">
        <v>5</v>
      </c>
      <c r="P29" s="12">
        <f t="shared" si="22"/>
        <v>14.749356412995729</v>
      </c>
      <c r="Q29" s="5">
        <f t="shared" si="23"/>
        <v>-17.282359581547336</v>
      </c>
      <c r="R29" s="9">
        <f t="shared" si="24"/>
        <v>-20.308207351452445</v>
      </c>
      <c r="S29" s="2" t="s">
        <v>5</v>
      </c>
      <c r="T29" s="14">
        <f t="shared" si="25"/>
        <v>1.8360956570391795</v>
      </c>
      <c r="U29" s="154">
        <f t="shared" si="26"/>
        <v>410959.84640792263</v>
      </c>
    </row>
    <row r="30" spans="1:21" x14ac:dyDescent="0.2">
      <c r="A30" s="258" t="s">
        <v>767</v>
      </c>
      <c r="B30" s="258" t="s">
        <v>219</v>
      </c>
      <c r="C30">
        <v>0.85092781266209083</v>
      </c>
      <c r="D30">
        <v>1.5706020014621541E-3</v>
      </c>
      <c r="E30">
        <v>1296.7390196746003</v>
      </c>
      <c r="F30">
        <v>14.826791940058799</v>
      </c>
      <c r="G30">
        <v>-18.071249761610453</v>
      </c>
      <c r="I30" s="220">
        <v>773</v>
      </c>
      <c r="J30" s="9">
        <f t="shared" si="18"/>
        <v>1177</v>
      </c>
      <c r="K30" s="69">
        <f t="shared" si="19"/>
        <v>0.85092781266209083</v>
      </c>
      <c r="L30" s="2" t="s">
        <v>5</v>
      </c>
      <c r="M30" s="13">
        <f t="shared" si="20"/>
        <v>1.5706020014621541E-3</v>
      </c>
      <c r="N30" s="12">
        <f t="shared" si="21"/>
        <v>1296.7509672822923</v>
      </c>
      <c r="O30" s="66" t="s">
        <v>5</v>
      </c>
      <c r="P30" s="12">
        <f t="shared" si="22"/>
        <v>14.826928547880994</v>
      </c>
      <c r="Q30" s="5">
        <f t="shared" si="23"/>
        <v>-18.071249761610453</v>
      </c>
      <c r="R30" s="9">
        <f t="shared" si="24"/>
        <v>-18.874296097564415</v>
      </c>
      <c r="S30" s="2" t="s">
        <v>5</v>
      </c>
      <c r="T30" s="14">
        <f t="shared" si="25"/>
        <v>1.8457523400822851</v>
      </c>
      <c r="U30" s="154">
        <f t="shared" si="26"/>
        <v>405385.02982302202</v>
      </c>
    </row>
    <row r="31" spans="1:21" x14ac:dyDescent="0.2">
      <c r="A31" s="258" t="s">
        <v>768</v>
      </c>
      <c r="B31" s="258" t="s">
        <v>298</v>
      </c>
      <c r="C31">
        <v>0.85467336976200026</v>
      </c>
      <c r="D31">
        <v>1.5830615714628601E-3</v>
      </c>
      <c r="E31">
        <v>1261.4578160212161</v>
      </c>
      <c r="F31">
        <v>14.87891969952136</v>
      </c>
      <c r="G31">
        <v>-18.703126423348039</v>
      </c>
      <c r="I31" s="220">
        <v>774</v>
      </c>
      <c r="J31" s="9">
        <f t="shared" si="18"/>
        <v>1176</v>
      </c>
      <c r="K31" s="69">
        <f t="shared" si="19"/>
        <v>0.85467336976200026</v>
      </c>
      <c r="L31" s="2" t="s">
        <v>5</v>
      </c>
      <c r="M31" s="13">
        <f t="shared" si="20"/>
        <v>1.5830615714628601E-3</v>
      </c>
      <c r="N31" s="12">
        <f t="shared" si="21"/>
        <v>1261.4694385627433</v>
      </c>
      <c r="O31" s="66" t="s">
        <v>5</v>
      </c>
      <c r="P31" s="12">
        <f t="shared" si="22"/>
        <v>14.879056787626794</v>
      </c>
      <c r="Q31" s="5">
        <f t="shared" si="23"/>
        <v>-18.703126423348039</v>
      </c>
      <c r="R31" s="9">
        <f t="shared" si="24"/>
        <v>-14.674837596055145</v>
      </c>
      <c r="S31" s="2" t="s">
        <v>5</v>
      </c>
      <c r="T31" s="14">
        <f t="shared" si="25"/>
        <v>1.8522416018457357</v>
      </c>
      <c r="U31" s="154">
        <f t="shared" si="26"/>
        <v>399028.93291837868</v>
      </c>
    </row>
    <row r="32" spans="1:21" x14ac:dyDescent="0.2">
      <c r="A32" s="258" t="s">
        <v>769</v>
      </c>
      <c r="B32" s="258" t="s">
        <v>299</v>
      </c>
      <c r="C32">
        <v>0.86081578420548233</v>
      </c>
      <c r="D32">
        <v>1.6011620855007102E-3</v>
      </c>
      <c r="E32">
        <v>1203.9327989035305</v>
      </c>
      <c r="F32">
        <v>14.941659718159496</v>
      </c>
      <c r="G32">
        <v>-18.06119698368558</v>
      </c>
      <c r="I32" s="220">
        <v>775</v>
      </c>
      <c r="J32" s="9">
        <f t="shared" si="18"/>
        <v>1175</v>
      </c>
      <c r="K32" s="69">
        <f t="shared" si="19"/>
        <v>0.86081578420548233</v>
      </c>
      <c r="L32" s="2" t="s">
        <v>5</v>
      </c>
      <c r="M32" s="13">
        <f t="shared" si="20"/>
        <v>1.6011620855007102E-3</v>
      </c>
      <c r="N32" s="12">
        <f t="shared" si="21"/>
        <v>1203.943891433755</v>
      </c>
      <c r="O32" s="66" t="s">
        <v>5</v>
      </c>
      <c r="P32" s="12">
        <f t="shared" si="22"/>
        <v>14.941797384325065</v>
      </c>
      <c r="Q32" s="5">
        <f t="shared" si="23"/>
        <v>-18.06119698368558</v>
      </c>
      <c r="R32" s="9">
        <f t="shared" si="24"/>
        <v>-7.7134846105711974</v>
      </c>
      <c r="S32" s="2" t="s">
        <v>5</v>
      </c>
      <c r="T32" s="14">
        <f t="shared" si="25"/>
        <v>1.8600519587109505</v>
      </c>
      <c r="U32" s="154">
        <f t="shared" si="26"/>
        <v>390058.19302461157</v>
      </c>
    </row>
    <row r="33" spans="1:21" x14ac:dyDescent="0.2">
      <c r="A33" s="258" t="s">
        <v>770</v>
      </c>
      <c r="B33" s="258" t="s">
        <v>220</v>
      </c>
      <c r="C33">
        <v>0.86545836723065306</v>
      </c>
      <c r="D33">
        <v>1.5953390817136036E-3</v>
      </c>
      <c r="E33">
        <v>1160.7257385249259</v>
      </c>
      <c r="F33">
        <v>14.807460710301131</v>
      </c>
      <c r="G33">
        <v>-17.73681116880077</v>
      </c>
      <c r="I33" s="220">
        <v>776</v>
      </c>
      <c r="J33" s="9">
        <f t="shared" si="18"/>
        <v>1174</v>
      </c>
      <c r="K33" s="69">
        <f t="shared" si="19"/>
        <v>0.86545836723065306</v>
      </c>
      <c r="L33" s="2" t="s">
        <v>5</v>
      </c>
      <c r="M33" s="13">
        <f t="shared" si="20"/>
        <v>1.5953390817136036E-3</v>
      </c>
      <c r="N33" s="12">
        <f t="shared" si="21"/>
        <v>1160.7364329634763</v>
      </c>
      <c r="O33" s="66" t="s">
        <v>5</v>
      </c>
      <c r="P33" s="12">
        <f t="shared" si="22"/>
        <v>14.807597140013508</v>
      </c>
      <c r="Q33" s="5">
        <f t="shared" si="23"/>
        <v>-17.73681116880077</v>
      </c>
      <c r="R33" s="9">
        <f t="shared" si="24"/>
        <v>-2.4825187217831779</v>
      </c>
      <c r="S33" s="2" t="s">
        <v>5</v>
      </c>
      <c r="T33" s="14">
        <f t="shared" si="25"/>
        <v>1.8433458409079433</v>
      </c>
      <c r="U33" s="154">
        <f t="shared" si="26"/>
        <v>392910.82230462693</v>
      </c>
    </row>
    <row r="34" spans="1:21" x14ac:dyDescent="0.2">
      <c r="A34" s="258" t="s">
        <v>771</v>
      </c>
      <c r="B34" s="258" t="s">
        <v>221</v>
      </c>
      <c r="C34">
        <v>0.86403039515031355</v>
      </c>
      <c r="D34">
        <v>1.6084050936750166E-3</v>
      </c>
      <c r="E34">
        <v>1173.9906950721052</v>
      </c>
      <c r="F34">
        <v>14.953408061490608</v>
      </c>
      <c r="G34">
        <v>-18.037237937041041</v>
      </c>
      <c r="I34" s="220">
        <v>777</v>
      </c>
      <c r="J34" s="9">
        <f t="shared" si="18"/>
        <v>1173</v>
      </c>
      <c r="K34" s="69">
        <f t="shared" si="19"/>
        <v>0.86403039515031355</v>
      </c>
      <c r="L34" s="2" t="s">
        <v>5</v>
      </c>
      <c r="M34" s="13">
        <f t="shared" si="20"/>
        <v>1.6084050936750166E-3</v>
      </c>
      <c r="N34" s="12">
        <f t="shared" si="21"/>
        <v>1174.0015117283838</v>
      </c>
      <c r="O34" s="66" t="s">
        <v>5</v>
      </c>
      <c r="P34" s="12">
        <f t="shared" si="22"/>
        <v>14.953545835900469</v>
      </c>
      <c r="Q34" s="5">
        <f t="shared" si="23"/>
        <v>-18.037237937041041</v>
      </c>
      <c r="R34" s="9">
        <f t="shared" si="24"/>
        <v>-4.248839315707853</v>
      </c>
      <c r="S34" s="2" t="s">
        <v>5</v>
      </c>
      <c r="T34" s="14">
        <f t="shared" si="25"/>
        <v>1.8615144822482845</v>
      </c>
      <c r="U34" s="154">
        <f t="shared" si="26"/>
        <v>386553.06431097124</v>
      </c>
    </row>
    <row r="35" spans="1:21" x14ac:dyDescent="0.2">
      <c r="A35" s="258" t="s">
        <v>772</v>
      </c>
      <c r="B35" s="258" t="s">
        <v>223</v>
      </c>
      <c r="C35">
        <v>0.86386137619705383</v>
      </c>
      <c r="D35">
        <v>1.6057616780928671E-3</v>
      </c>
      <c r="E35">
        <v>1175.5622249201538</v>
      </c>
      <c r="F35">
        <v>14.931753021846323</v>
      </c>
      <c r="G35">
        <v>-17.843327989894075</v>
      </c>
      <c r="I35" s="220">
        <v>779</v>
      </c>
      <c r="J35" s="9">
        <f t="shared" si="18"/>
        <v>1171</v>
      </c>
      <c r="K35" s="69">
        <f t="shared" si="19"/>
        <v>0.86386137619705383</v>
      </c>
      <c r="L35" s="2" t="s">
        <v>5</v>
      </c>
      <c r="M35" s="13">
        <f t="shared" si="20"/>
        <v>1.6057616780928671E-3</v>
      </c>
      <c r="N35" s="12">
        <f t="shared" si="21"/>
        <v>1175.573056055847</v>
      </c>
      <c r="O35" s="66" t="s">
        <v>5</v>
      </c>
      <c r="P35" s="12">
        <f t="shared" si="22"/>
        <v>14.931890596735759</v>
      </c>
      <c r="Q35" s="5">
        <f t="shared" si="23"/>
        <v>-17.843327989894075</v>
      </c>
      <c r="R35" s="9">
        <f t="shared" si="24"/>
        <v>-4.6844466476038127</v>
      </c>
      <c r="S35" s="2" t="s">
        <v>5</v>
      </c>
      <c r="T35" s="14">
        <f t="shared" si="25"/>
        <v>1.8588186974649272</v>
      </c>
      <c r="U35" s="154">
        <f t="shared" si="26"/>
        <v>387826.80433260964</v>
      </c>
    </row>
    <row r="36" spans="1:21" x14ac:dyDescent="0.2">
      <c r="A36" s="258" t="s">
        <v>773</v>
      </c>
      <c r="B36" s="258" t="s">
        <v>224</v>
      </c>
      <c r="C36">
        <v>0.86568117528732269</v>
      </c>
      <c r="D36">
        <v>1.6096562907775304E-3</v>
      </c>
      <c r="E36">
        <v>1158.6579668696877</v>
      </c>
      <c r="F36">
        <v>14.936503436895128</v>
      </c>
      <c r="G36">
        <v>-18.046354038082413</v>
      </c>
      <c r="I36" s="220">
        <v>780</v>
      </c>
      <c r="J36" s="9">
        <f t="shared" si="18"/>
        <v>1170</v>
      </c>
      <c r="K36" s="69">
        <f t="shared" si="19"/>
        <v>0.86568117528732269</v>
      </c>
      <c r="L36" s="2" t="s">
        <v>5</v>
      </c>
      <c r="M36" s="13">
        <f t="shared" si="20"/>
        <v>1.6096562907775304E-3</v>
      </c>
      <c r="N36" s="12">
        <f t="shared" si="21"/>
        <v>1158.6686422566604</v>
      </c>
      <c r="O36" s="66" t="s">
        <v>5</v>
      </c>
      <c r="P36" s="12">
        <f t="shared" si="22"/>
        <v>14.93664105555289</v>
      </c>
      <c r="Q36" s="5">
        <f t="shared" si="23"/>
        <v>-18.046354038082413</v>
      </c>
      <c r="R36" s="9">
        <f t="shared" si="24"/>
        <v>-2.7083704535966202</v>
      </c>
      <c r="S36" s="2" t="s">
        <v>5</v>
      </c>
      <c r="T36" s="14">
        <f t="shared" si="25"/>
        <v>1.8594100654242365</v>
      </c>
      <c r="U36" s="154">
        <f t="shared" si="26"/>
        <v>385952.35706315062</v>
      </c>
    </row>
    <row r="43" spans="1:21" x14ac:dyDescent="0.2">
      <c r="I43" s="283" t="s">
        <v>330</v>
      </c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</row>
    <row r="44" spans="1:21" x14ac:dyDescent="0.2">
      <c r="I44" s="284" t="s">
        <v>17</v>
      </c>
      <c r="J44" s="284" t="s">
        <v>15</v>
      </c>
      <c r="K44" s="284" t="s">
        <v>1</v>
      </c>
      <c r="L44" s="284"/>
      <c r="M44" s="284"/>
      <c r="N44" s="284" t="s">
        <v>2</v>
      </c>
      <c r="O44" s="284"/>
      <c r="P44" s="284"/>
      <c r="Q44" s="284" t="s">
        <v>3</v>
      </c>
      <c r="R44" s="284" t="s">
        <v>16</v>
      </c>
      <c r="S44" s="284"/>
      <c r="T44" s="284"/>
    </row>
    <row r="45" spans="1:21" x14ac:dyDescent="0.2">
      <c r="I45" s="284">
        <v>770</v>
      </c>
      <c r="J45" s="284">
        <v>1180</v>
      </c>
      <c r="K45" s="284">
        <f>(K5*U5+K27*U27)/(U5+U27)</f>
        <v>0.85238870164746039</v>
      </c>
      <c r="L45" s="284" t="s">
        <v>5</v>
      </c>
      <c r="M45" s="284">
        <f>1/SQRT(U5+U27)</f>
        <v>1.2026507611110212E-3</v>
      </c>
      <c r="N45" s="288">
        <f t="shared" ref="N45:N55" si="27">-8033*LN(K45)</f>
        <v>1282.9715857071119</v>
      </c>
      <c r="O45" s="284" t="s">
        <v>5</v>
      </c>
      <c r="P45" s="288">
        <f t="shared" ref="P45:P55" si="28">M45/K45*8033</f>
        <v>11.333906169019688</v>
      </c>
      <c r="Q45" s="284"/>
      <c r="R45" s="289">
        <f>(EXP(J45/8267)*EXP(-N45/8033)-1)*1000</f>
        <v>-16.833165605017797</v>
      </c>
      <c r="S45" s="284" t="s">
        <v>5</v>
      </c>
      <c r="T45" s="289">
        <f>P45/8.033</f>
        <v>1.4109182334146257</v>
      </c>
    </row>
    <row r="46" spans="1:21" x14ac:dyDescent="0.2">
      <c r="I46" s="284">
        <v>771</v>
      </c>
      <c r="J46" s="284">
        <v>1179</v>
      </c>
      <c r="K46" s="284">
        <f>(K6*U6+K28*U28)/(U6+U28)</f>
        <v>0.85171873482201532</v>
      </c>
      <c r="L46" s="284" t="s">
        <v>5</v>
      </c>
      <c r="M46" s="284">
        <f>1/SQRT(U6+U28)</f>
        <v>1.1971246992155547E-3</v>
      </c>
      <c r="N46" s="288">
        <f t="shared" si="27"/>
        <v>1289.2879055246376</v>
      </c>
      <c r="O46" s="284" t="s">
        <v>5</v>
      </c>
      <c r="P46" s="288">
        <f t="shared" si="28"/>
        <v>11.290702335916237</v>
      </c>
      <c r="Q46" s="284"/>
      <c r="R46" s="289">
        <f>(EXP(J46/8267)*EXP(-N46/8033)-1)*1000</f>
        <v>-17.72474841674676</v>
      </c>
      <c r="S46" s="284" t="s">
        <v>5</v>
      </c>
      <c r="T46" s="289">
        <f>P46/8.033</f>
        <v>1.4055399397381099</v>
      </c>
    </row>
    <row r="47" spans="1:21" x14ac:dyDescent="0.2">
      <c r="I47" s="284">
        <v>772</v>
      </c>
      <c r="J47" s="284">
        <v>1178</v>
      </c>
      <c r="K47" s="284">
        <f t="shared" ref="K47:K52" si="29">(U7*K7+U18*K18+K29*U29)/(U7+U18+U29)</f>
        <v>0.85088559889463611</v>
      </c>
      <c r="L47" s="284" t="s">
        <v>5</v>
      </c>
      <c r="M47" s="284">
        <f t="shared" ref="M47:M52" si="30">1/SQRT(U7+U18+U29)</f>
        <v>1.0298630399688793E-3</v>
      </c>
      <c r="N47" s="288">
        <f>-8033*LN(K47)</f>
        <v>1297.1494871102952</v>
      </c>
      <c r="O47" s="292" t="s">
        <v>5</v>
      </c>
      <c r="P47" s="288">
        <f>M47/K47*8033</f>
        <v>9.7226816517016026</v>
      </c>
      <c r="Q47" s="292"/>
      <c r="R47" s="289">
        <f>(EXP(J47/8267)*EXP(-N47/8033)-1)*1000</f>
        <v>-18.804287800174848</v>
      </c>
      <c r="S47" s="292" t="s">
        <v>5</v>
      </c>
      <c r="T47" s="289">
        <f>P47/8.033</f>
        <v>1.210342543470883</v>
      </c>
    </row>
    <row r="48" spans="1:21" x14ac:dyDescent="0.2">
      <c r="I48" s="284">
        <v>773</v>
      </c>
      <c r="J48" s="284">
        <v>1177</v>
      </c>
      <c r="K48" s="284">
        <f t="shared" si="29"/>
        <v>0.85227672853097558</v>
      </c>
      <c r="L48" s="284" t="s">
        <v>5</v>
      </c>
      <c r="M48" s="284">
        <f t="shared" si="30"/>
        <v>1.040337648669658E-3</v>
      </c>
      <c r="N48" s="288">
        <f t="shared" si="27"/>
        <v>1284.0269013486356</v>
      </c>
      <c r="O48" s="284" t="s">
        <v>5</v>
      </c>
      <c r="P48" s="288">
        <f t="shared" si="28"/>
        <v>9.805538567464982</v>
      </c>
      <c r="Q48" s="292"/>
      <c r="R48" s="289">
        <f t="shared" ref="R48:R55" si="31">(EXP(J48/8267)*EXP(-N48/8033)-1)*1000</f>
        <v>-17.318986690971649</v>
      </c>
      <c r="S48" s="284" t="s">
        <v>5</v>
      </c>
      <c r="T48" s="289">
        <f t="shared" ref="T48:T55" si="32">P48/8.033</f>
        <v>1.2206571103529171</v>
      </c>
    </row>
    <row r="49" spans="9:20" x14ac:dyDescent="0.2">
      <c r="I49" s="284">
        <v>774</v>
      </c>
      <c r="J49" s="284">
        <v>1176</v>
      </c>
      <c r="K49" s="284">
        <f t="shared" si="29"/>
        <v>0.85562762376467794</v>
      </c>
      <c r="L49" s="284" t="s">
        <v>5</v>
      </c>
      <c r="M49" s="284">
        <f t="shared" si="30"/>
        <v>1.034743887187356E-3</v>
      </c>
      <c r="N49" s="288">
        <f t="shared" si="27"/>
        <v>1252.5054921837657</v>
      </c>
      <c r="O49" s="284" t="s">
        <v>5</v>
      </c>
      <c r="P49" s="288">
        <f t="shared" si="28"/>
        <v>9.7146204901655846</v>
      </c>
      <c r="Q49" s="292"/>
      <c r="R49" s="289">
        <f t="shared" si="31"/>
        <v>-13.57470915701786</v>
      </c>
      <c r="S49" s="284" t="s">
        <v>5</v>
      </c>
      <c r="T49" s="289">
        <f t="shared" si="32"/>
        <v>1.2093390377400206</v>
      </c>
    </row>
    <row r="50" spans="9:20" x14ac:dyDescent="0.2">
      <c r="I50" s="284">
        <v>775</v>
      </c>
      <c r="J50" s="284">
        <v>1175</v>
      </c>
      <c r="K50" s="284">
        <f t="shared" si="29"/>
        <v>0.86244584726558993</v>
      </c>
      <c r="L50" s="284" t="s">
        <v>5</v>
      </c>
      <c r="M50" s="284">
        <f t="shared" si="30"/>
        <v>1.0456946572057868E-3</v>
      </c>
      <c r="N50" s="288">
        <f t="shared" si="27"/>
        <v>1188.7467789023465</v>
      </c>
      <c r="O50" s="284" t="s">
        <v>5</v>
      </c>
      <c r="P50" s="288">
        <f t="shared" si="28"/>
        <v>9.7398175293750207</v>
      </c>
      <c r="Q50" s="292"/>
      <c r="R50" s="289">
        <f t="shared" si="31"/>
        <v>-5.8344651694115512</v>
      </c>
      <c r="S50" s="284" t="s">
        <v>5</v>
      </c>
      <c r="T50" s="289">
        <f t="shared" si="32"/>
        <v>1.2124757287906163</v>
      </c>
    </row>
    <row r="51" spans="9:20" x14ac:dyDescent="0.2">
      <c r="I51" s="284">
        <v>776</v>
      </c>
      <c r="J51" s="284">
        <v>1174</v>
      </c>
      <c r="K51" s="284">
        <f t="shared" si="29"/>
        <v>0.86611611820333756</v>
      </c>
      <c r="L51" s="284" t="s">
        <v>5</v>
      </c>
      <c r="M51" s="284">
        <f t="shared" si="30"/>
        <v>1.0465696099140778E-3</v>
      </c>
      <c r="N51" s="288">
        <f t="shared" si="27"/>
        <v>1154.6336474787595</v>
      </c>
      <c r="O51" s="284" t="s">
        <v>5</v>
      </c>
      <c r="P51" s="288">
        <f t="shared" si="28"/>
        <v>9.7066588414026711</v>
      </c>
      <c r="Q51" s="292"/>
      <c r="R51" s="289">
        <f t="shared" si="31"/>
        <v>-1.7244024236184874</v>
      </c>
      <c r="S51" s="284" t="s">
        <v>5</v>
      </c>
      <c r="T51" s="289">
        <f t="shared" si="32"/>
        <v>1.208347920005312</v>
      </c>
    </row>
    <row r="52" spans="9:20" x14ac:dyDescent="0.2">
      <c r="I52" s="284">
        <v>777</v>
      </c>
      <c r="J52" s="284">
        <v>1173</v>
      </c>
      <c r="K52" s="284">
        <f t="shared" si="29"/>
        <v>0.86497929924017913</v>
      </c>
      <c r="L52" s="284" t="s">
        <v>5</v>
      </c>
      <c r="M52" s="284">
        <f t="shared" si="30"/>
        <v>1.0521072152059343E-3</v>
      </c>
      <c r="N52" s="288">
        <f t="shared" si="27"/>
        <v>1165.1842710339968</v>
      </c>
      <c r="O52" s="284" t="s">
        <v>5</v>
      </c>
      <c r="P52" s="288">
        <f t="shared" si="28"/>
        <v>9.7708433799206063</v>
      </c>
      <c r="Q52" s="292"/>
      <c r="R52" s="289">
        <f t="shared" si="31"/>
        <v>-3.1552755311868852</v>
      </c>
      <c r="S52" s="284" t="s">
        <v>5</v>
      </c>
      <c r="T52" s="289">
        <f t="shared" si="32"/>
        <v>1.2163380281240641</v>
      </c>
    </row>
    <row r="53" spans="9:20" x14ac:dyDescent="0.2">
      <c r="I53" s="284">
        <v>778</v>
      </c>
      <c r="J53" s="284">
        <v>1172</v>
      </c>
      <c r="K53" s="284">
        <f>(U13*K13+U24*K24)/(U13+U24)</f>
        <v>0.8652333939981004</v>
      </c>
      <c r="L53" s="284" t="s">
        <v>5</v>
      </c>
      <c r="M53" s="284">
        <f>1/SQRT(U13+U24)</f>
        <v>1.4342981458727135E-3</v>
      </c>
      <c r="N53" s="288">
        <f t="shared" si="27"/>
        <v>1162.8248579826045</v>
      </c>
      <c r="O53" s="284" t="s">
        <v>5</v>
      </c>
      <c r="P53" s="288">
        <f t="shared" si="28"/>
        <v>13.316311050542744</v>
      </c>
      <c r="Q53" s="292"/>
      <c r="R53" s="289">
        <f t="shared" si="31"/>
        <v>-2.9830535441039974</v>
      </c>
      <c r="S53" s="284" t="s">
        <v>5</v>
      </c>
      <c r="T53" s="289">
        <f t="shared" si="32"/>
        <v>1.6577008652486922</v>
      </c>
    </row>
    <row r="54" spans="9:20" x14ac:dyDescent="0.2">
      <c r="I54" s="284">
        <v>779</v>
      </c>
      <c r="J54" s="284">
        <v>1171</v>
      </c>
      <c r="K54" s="284">
        <f>(K14*U14+K35*U35)/(U14+U35)</f>
        <v>0.86378914713898913</v>
      </c>
      <c r="L54" s="284" t="s">
        <v>5</v>
      </c>
      <c r="M54" s="284">
        <f>1/SQRT(U14+U35)</f>
        <v>1.2180733110409053E-3</v>
      </c>
      <c r="N54" s="288">
        <f t="shared" si="27"/>
        <v>1176.2447382229691</v>
      </c>
      <c r="O54" s="284" t="s">
        <v>5</v>
      </c>
      <c r="P54" s="288">
        <f t="shared" si="28"/>
        <v>11.327744670097319</v>
      </c>
      <c r="Q54" s="284"/>
      <c r="R54" s="289">
        <f t="shared" si="31"/>
        <v>-4.7676668341716244</v>
      </c>
      <c r="S54" s="284" t="s">
        <v>5</v>
      </c>
      <c r="T54" s="289">
        <f t="shared" si="32"/>
        <v>1.4101512100208291</v>
      </c>
    </row>
    <row r="55" spans="9:20" x14ac:dyDescent="0.2">
      <c r="I55" s="284">
        <v>780</v>
      </c>
      <c r="J55" s="284">
        <v>1170</v>
      </c>
      <c r="K55" s="284">
        <f>(K15*U15+K36*U36)/(U15+U36)</f>
        <v>0.86418021322620842</v>
      </c>
      <c r="L55" s="284" t="s">
        <v>5</v>
      </c>
      <c r="M55" s="284">
        <f>1/SQRT(U15+U36)</f>
        <v>1.2298574434831927E-3</v>
      </c>
      <c r="N55" s="288">
        <f t="shared" si="27"/>
        <v>1172.6087548492801</v>
      </c>
      <c r="O55" s="284" t="s">
        <v>5</v>
      </c>
      <c r="P55" s="288">
        <f t="shared" si="28"/>
        <v>11.432158121993977</v>
      </c>
      <c r="Q55" s="284"/>
      <c r="R55" s="289">
        <f t="shared" si="31"/>
        <v>-4.4375254156635568</v>
      </c>
      <c r="S55" s="284" t="s">
        <v>5</v>
      </c>
      <c r="T55" s="289">
        <f t="shared" si="32"/>
        <v>1.4231492744919678</v>
      </c>
    </row>
  </sheetData>
  <mergeCells count="3">
    <mergeCell ref="K4:M4"/>
    <mergeCell ref="N4:P4"/>
    <mergeCell ref="R4:T4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V29" sqref="V29"/>
    </sheetView>
  </sheetViews>
  <sheetFormatPr baseColWidth="10" defaultColWidth="11" defaultRowHeight="16" x14ac:dyDescent="0.2"/>
  <cols>
    <col min="1" max="1" width="22.6640625" customWidth="1"/>
    <col min="4" max="4" width="8.1640625" customWidth="1"/>
    <col min="5" max="5" width="2.6640625" style="2" customWidth="1"/>
    <col min="6" max="6" width="8" customWidth="1"/>
    <col min="7" max="7" width="9.1640625" customWidth="1"/>
    <col min="8" max="8" width="2.6640625" style="2" customWidth="1"/>
    <col min="9" max="9" width="6.1640625" customWidth="1"/>
    <col min="10" max="10" width="7.1640625" customWidth="1"/>
    <col min="11" max="11" width="7.6640625" customWidth="1"/>
    <col min="12" max="12" width="2.6640625" customWidth="1"/>
    <col min="13" max="13" width="6" customWidth="1"/>
    <col min="15" max="15" width="14.1640625" customWidth="1"/>
    <col min="16" max="16" width="8" style="17" customWidth="1"/>
    <col min="17" max="17" width="3.1640625" customWidth="1"/>
    <col min="18" max="18" width="7.5" style="18" customWidth="1"/>
    <col min="20" max="20" width="8.1640625" style="17" customWidth="1"/>
    <col min="21" max="21" width="3" customWidth="1"/>
    <col min="22" max="22" width="8.1640625" style="17" customWidth="1"/>
  </cols>
  <sheetData>
    <row r="1" spans="1:22" x14ac:dyDescent="0.2">
      <c r="A1" s="1" t="s">
        <v>60</v>
      </c>
    </row>
    <row r="3" spans="1:22" x14ac:dyDescent="0.2">
      <c r="A3" s="3"/>
      <c r="B3" s="3" t="s">
        <v>17</v>
      </c>
      <c r="C3" s="11" t="s">
        <v>15</v>
      </c>
      <c r="D3" s="345" t="s">
        <v>1</v>
      </c>
      <c r="E3" s="345"/>
      <c r="F3" s="345"/>
      <c r="G3" s="345" t="s">
        <v>2</v>
      </c>
      <c r="H3" s="345"/>
      <c r="I3" s="345"/>
      <c r="J3" s="3" t="s">
        <v>3</v>
      </c>
      <c r="K3" s="346" t="s">
        <v>16</v>
      </c>
      <c r="L3" s="345"/>
      <c r="M3" s="345"/>
    </row>
    <row r="4" spans="1:22" x14ac:dyDescent="0.2">
      <c r="A4" t="s">
        <v>18</v>
      </c>
      <c r="B4">
        <v>760</v>
      </c>
      <c r="C4">
        <v>1190</v>
      </c>
      <c r="D4" s="8">
        <v>0.85048192791660016</v>
      </c>
      <c r="E4" s="2" t="s">
        <v>5</v>
      </c>
      <c r="F4" s="13">
        <v>1.8848971287795629E-3</v>
      </c>
      <c r="G4" s="12">
        <f>-8033*LN(D4)</f>
        <v>1300.9613490111603</v>
      </c>
      <c r="H4" s="2" t="s">
        <v>5</v>
      </c>
      <c r="I4" s="4">
        <f>F4/D4*8033</f>
        <v>17.803292625603</v>
      </c>
      <c r="J4" s="15">
        <v>-28.458082986083301</v>
      </c>
      <c r="K4" s="9">
        <f>(EXP(C4/8267)*EXP(-G4/8033)-1)*1000</f>
        <v>-17.845162613224332</v>
      </c>
      <c r="L4" s="2" t="s">
        <v>5</v>
      </c>
      <c r="M4" s="14">
        <f>I4/8.033</f>
        <v>2.2162694666504419</v>
      </c>
    </row>
    <row r="5" spans="1:22" x14ac:dyDescent="0.2">
      <c r="A5" t="s">
        <v>19</v>
      </c>
      <c r="B5">
        <v>761</v>
      </c>
      <c r="C5">
        <v>1189</v>
      </c>
      <c r="D5" s="8">
        <v>0.85141403661580317</v>
      </c>
      <c r="E5" s="2" t="s">
        <v>5</v>
      </c>
      <c r="F5" s="13">
        <v>1.8741818515025288E-3</v>
      </c>
      <c r="G5" s="12">
        <f t="shared" ref="G5:G23" si="0">-8033*LN(D5)</f>
        <v>1292.1621860947305</v>
      </c>
      <c r="H5" s="2" t="s">
        <v>5</v>
      </c>
      <c r="I5" s="4">
        <f t="shared" ref="I5:I23" si="1">F5/D5*8033</f>
        <v>17.682704495877903</v>
      </c>
      <c r="J5" s="15">
        <v>-26.924410252306199</v>
      </c>
      <c r="K5" s="9">
        <f t="shared" ref="K5:K23" si="2">(EXP(C5/8267)*EXP(-G5/8033)-1)*1000</f>
        <v>-16.887670699427648</v>
      </c>
      <c r="L5" s="2" t="s">
        <v>5</v>
      </c>
      <c r="M5" s="14">
        <f t="shared" ref="M5:M23" si="3">I5/8.033</f>
        <v>2.2012578732575507</v>
      </c>
    </row>
    <row r="6" spans="1:22" x14ac:dyDescent="0.2">
      <c r="A6" t="s">
        <v>20</v>
      </c>
      <c r="B6">
        <v>762</v>
      </c>
      <c r="C6">
        <v>1188</v>
      </c>
      <c r="D6" s="8">
        <v>0.84926739766888482</v>
      </c>
      <c r="E6" s="2" t="s">
        <v>5</v>
      </c>
      <c r="F6" s="13">
        <v>1.7188842710370842E-3</v>
      </c>
      <c r="G6" s="12">
        <f t="shared" si="0"/>
        <v>1312.4410689833198</v>
      </c>
      <c r="H6" s="2" t="s">
        <v>5</v>
      </c>
      <c r="I6" s="4">
        <f t="shared" si="1"/>
        <v>16.258480411636299</v>
      </c>
      <c r="J6" s="15">
        <v>-17.840874570402701</v>
      </c>
      <c r="K6" s="9">
        <f t="shared" si="2"/>
        <v>-19.484968796287362</v>
      </c>
      <c r="L6" s="2" t="s">
        <v>5</v>
      </c>
      <c r="M6" s="14">
        <f t="shared" si="3"/>
        <v>2.023961211457276</v>
      </c>
    </row>
    <row r="7" spans="1:22" x14ac:dyDescent="0.2">
      <c r="A7" t="s">
        <v>21</v>
      </c>
      <c r="B7">
        <v>764</v>
      </c>
      <c r="C7">
        <v>1186</v>
      </c>
      <c r="D7" s="8">
        <v>0.85073135280751599</v>
      </c>
      <c r="E7" s="2" t="s">
        <v>5</v>
      </c>
      <c r="F7" s="13">
        <v>1.8361988633447011E-3</v>
      </c>
      <c r="G7" s="12">
        <f t="shared" si="0"/>
        <v>1298.6058181840899</v>
      </c>
      <c r="H7" s="2" t="s">
        <v>5</v>
      </c>
      <c r="I7" s="4">
        <f t="shared" si="1"/>
        <v>17.338241291531805</v>
      </c>
      <c r="J7" s="15">
        <v>-26.1347165000624</v>
      </c>
      <c r="K7" s="9">
        <f t="shared" si="2"/>
        <v>-18.032362816634006</v>
      </c>
      <c r="L7" s="2" t="s">
        <v>5</v>
      </c>
      <c r="M7" s="14">
        <f t="shared" si="3"/>
        <v>2.1583768569067354</v>
      </c>
    </row>
    <row r="8" spans="1:22" x14ac:dyDescent="0.2">
      <c r="A8" t="s">
        <v>22</v>
      </c>
      <c r="B8">
        <v>765</v>
      </c>
      <c r="C8">
        <v>1185</v>
      </c>
      <c r="D8" s="8">
        <v>0.85292547988838807</v>
      </c>
      <c r="E8" s="2" t="s">
        <v>5</v>
      </c>
      <c r="F8" s="13">
        <v>1.8775303766085476E-3</v>
      </c>
      <c r="G8" s="12">
        <f t="shared" si="0"/>
        <v>1277.9145237317098</v>
      </c>
      <c r="H8" s="2" t="s">
        <v>5</v>
      </c>
      <c r="I8" s="4">
        <f t="shared" si="1"/>
        <v>17.682906503473301</v>
      </c>
      <c r="J8" s="15">
        <v>-21.133132407918001</v>
      </c>
      <c r="K8" s="9">
        <f t="shared" si="2"/>
        <v>-15.618844098778229</v>
      </c>
      <c r="L8" s="2" t="s">
        <v>5</v>
      </c>
      <c r="M8" s="14">
        <f t="shared" si="3"/>
        <v>2.2012830204747047</v>
      </c>
    </row>
    <row r="9" spans="1:22" x14ac:dyDescent="0.2">
      <c r="A9" t="s">
        <v>23</v>
      </c>
      <c r="B9">
        <v>766</v>
      </c>
      <c r="C9">
        <v>1184</v>
      </c>
      <c r="D9" s="8">
        <v>0.84732458746623007</v>
      </c>
      <c r="E9" s="2" t="s">
        <v>5</v>
      </c>
      <c r="F9" s="13">
        <v>1.8218821140395184E-3</v>
      </c>
      <c r="G9" s="12">
        <f t="shared" si="0"/>
        <v>1330.8386581696097</v>
      </c>
      <c r="H9" s="2" t="s">
        <v>5</v>
      </c>
      <c r="I9" s="4">
        <f t="shared" si="1"/>
        <v>17.2722227568579</v>
      </c>
      <c r="J9" s="15">
        <v>-21.814725017224898</v>
      </c>
      <c r="K9" s="9">
        <f t="shared" si="2"/>
        <v>-22.201248946272511</v>
      </c>
      <c r="L9" s="2" t="s">
        <v>5</v>
      </c>
      <c r="M9" s="14">
        <f t="shared" si="3"/>
        <v>2.1501584410379562</v>
      </c>
    </row>
    <row r="10" spans="1:22" x14ac:dyDescent="0.2">
      <c r="A10" t="s">
        <v>24</v>
      </c>
      <c r="B10">
        <v>767</v>
      </c>
      <c r="C10">
        <v>1183</v>
      </c>
      <c r="D10" s="8">
        <v>0.85059772711744053</v>
      </c>
      <c r="E10" s="2" t="s">
        <v>5</v>
      </c>
      <c r="F10" s="13">
        <v>1.9510582478012586E-3</v>
      </c>
      <c r="G10" s="12">
        <f t="shared" si="0"/>
        <v>1299.8676730283401</v>
      </c>
      <c r="H10" s="2" t="s">
        <v>5</v>
      </c>
      <c r="I10" s="4">
        <f t="shared" si="1"/>
        <v>18.425691022830097</v>
      </c>
      <c r="J10" s="15">
        <v>-24.898224494648598</v>
      </c>
      <c r="K10" s="9">
        <f t="shared" si="2"/>
        <v>-18.542826237004984</v>
      </c>
      <c r="L10" s="2" t="s">
        <v>5</v>
      </c>
      <c r="M10" s="14">
        <f t="shared" si="3"/>
        <v>2.2937496605041825</v>
      </c>
    </row>
    <row r="11" spans="1:22" x14ac:dyDescent="0.2">
      <c r="A11" t="s">
        <v>25</v>
      </c>
      <c r="B11">
        <v>768</v>
      </c>
      <c r="C11">
        <v>1182</v>
      </c>
      <c r="D11" s="8">
        <v>0.85369096121935462</v>
      </c>
      <c r="E11" s="2" t="s">
        <v>5</v>
      </c>
      <c r="F11" s="13">
        <v>1.9991777960239759E-3</v>
      </c>
      <c r="G11" s="12">
        <f t="shared" si="0"/>
        <v>1270.7083211006905</v>
      </c>
      <c r="H11" s="2" t="s">
        <v>5</v>
      </c>
      <c r="I11" s="4">
        <f t="shared" si="1"/>
        <v>18.8117198904419</v>
      </c>
      <c r="J11" s="15">
        <v>-23.517462035353699</v>
      </c>
      <c r="K11" s="9">
        <f t="shared" si="2"/>
        <v>-15.092860695553934</v>
      </c>
      <c r="L11" s="2" t="s">
        <v>5</v>
      </c>
      <c r="M11" s="14">
        <f t="shared" si="3"/>
        <v>2.3418050405131212</v>
      </c>
    </row>
    <row r="12" spans="1:22" x14ac:dyDescent="0.2">
      <c r="A12" t="s">
        <v>26</v>
      </c>
      <c r="B12">
        <v>769</v>
      </c>
      <c r="C12">
        <v>1181</v>
      </c>
      <c r="D12" s="8">
        <v>0.84888572568604614</v>
      </c>
      <c r="E12" s="2" t="s">
        <v>5</v>
      </c>
      <c r="F12" s="13">
        <v>2.0266568230095129E-3</v>
      </c>
      <c r="G12" s="12">
        <f t="shared" si="0"/>
        <v>1316.0520167213099</v>
      </c>
      <c r="H12" s="2" t="s">
        <v>5</v>
      </c>
      <c r="I12" s="4">
        <f t="shared" si="1"/>
        <v>19.178240093598301</v>
      </c>
      <c r="J12" s="15">
        <v>-24.446258615585901</v>
      </c>
      <c r="K12" s="9">
        <f t="shared" si="2"/>
        <v>-20.755142182446452</v>
      </c>
      <c r="L12" s="2" t="s">
        <v>5</v>
      </c>
      <c r="M12" s="14">
        <f t="shared" si="3"/>
        <v>2.3874318552966889</v>
      </c>
    </row>
    <row r="13" spans="1:22" x14ac:dyDescent="0.2">
      <c r="A13" t="s">
        <v>27</v>
      </c>
      <c r="B13">
        <v>770</v>
      </c>
      <c r="C13">
        <v>1180</v>
      </c>
      <c r="D13" s="8">
        <v>0.85218380604442345</v>
      </c>
      <c r="E13" s="2" t="s">
        <v>5</v>
      </c>
      <c r="F13" s="13">
        <v>1.3315236199971576E-3</v>
      </c>
      <c r="G13" s="12">
        <f t="shared" si="0"/>
        <v>1284.9027753510791</v>
      </c>
      <c r="H13" s="2" t="s">
        <v>5</v>
      </c>
      <c r="I13" s="4">
        <f t="shared" si="1"/>
        <v>12.551434518669543</v>
      </c>
      <c r="J13" s="15">
        <v>-25.197742547601003</v>
      </c>
      <c r="K13" s="9">
        <f t="shared" si="2"/>
        <v>-17.069497411187797</v>
      </c>
      <c r="L13" s="2" t="s">
        <v>5</v>
      </c>
      <c r="M13" s="14">
        <f t="shared" si="3"/>
        <v>1.5624840680529746</v>
      </c>
      <c r="O13" t="s">
        <v>38</v>
      </c>
      <c r="P13" s="17">
        <v>0.85070741065054423</v>
      </c>
      <c r="Q13" t="s">
        <v>5</v>
      </c>
      <c r="R13" s="18">
        <v>1.8700261485833851E-3</v>
      </c>
      <c r="S13" t="s">
        <v>39</v>
      </c>
      <c r="T13" s="17">
        <v>0.85370208798734992</v>
      </c>
      <c r="U13" t="s">
        <v>5</v>
      </c>
      <c r="V13" s="17">
        <v>1.8963677106410264E-3</v>
      </c>
    </row>
    <row r="14" spans="1:22" x14ac:dyDescent="0.2">
      <c r="A14" t="s">
        <v>28</v>
      </c>
      <c r="B14">
        <v>771</v>
      </c>
      <c r="C14">
        <v>1179</v>
      </c>
      <c r="D14">
        <v>0.85267908186935359</v>
      </c>
      <c r="E14" s="2" t="s">
        <v>5</v>
      </c>
      <c r="F14" s="13">
        <v>1.315534596155133E-3</v>
      </c>
      <c r="G14" s="12">
        <f t="shared" si="0"/>
        <v>1280.2354782425648</v>
      </c>
      <c r="H14" s="2" t="s">
        <v>5</v>
      </c>
      <c r="I14" s="4">
        <f t="shared" si="1"/>
        <v>12.393513146524393</v>
      </c>
      <c r="J14" s="15">
        <v>-23.07036023373993</v>
      </c>
      <c r="K14" s="9">
        <f t="shared" si="2"/>
        <v>-16.617193658392647</v>
      </c>
      <c r="L14" s="2" t="s">
        <v>5</v>
      </c>
      <c r="M14" s="14">
        <f t="shared" si="3"/>
        <v>1.5428249902308471</v>
      </c>
      <c r="O14" t="s">
        <v>40</v>
      </c>
      <c r="P14" s="17">
        <v>0.85352761715622516</v>
      </c>
      <c r="Q14" t="s">
        <v>5</v>
      </c>
      <c r="R14" s="18">
        <v>1.8826547465123728E-3</v>
      </c>
      <c r="S14" t="s">
        <v>41</v>
      </c>
      <c r="T14" s="17">
        <v>0.8518694358133575</v>
      </c>
      <c r="U14" t="s">
        <v>5</v>
      </c>
      <c r="V14" s="17">
        <v>1.839006787581536E-3</v>
      </c>
    </row>
    <row r="15" spans="1:22" x14ac:dyDescent="0.2">
      <c r="A15" t="s">
        <v>29</v>
      </c>
      <c r="B15">
        <v>772</v>
      </c>
      <c r="C15">
        <v>1178</v>
      </c>
      <c r="D15">
        <v>0.85156018626790719</v>
      </c>
      <c r="E15" s="2" t="s">
        <v>5</v>
      </c>
      <c r="F15" s="13">
        <v>1.4305233248564915E-3</v>
      </c>
      <c r="G15" s="12">
        <f t="shared" si="0"/>
        <v>1290.7833981571821</v>
      </c>
      <c r="H15" s="2" t="s">
        <v>5</v>
      </c>
      <c r="I15" s="4">
        <f t="shared" si="1"/>
        <v>13.494517538372699</v>
      </c>
      <c r="J15" s="15">
        <v>-23.434972736395913</v>
      </c>
      <c r="K15" s="9">
        <f t="shared" si="2"/>
        <v>-18.026389761921948</v>
      </c>
      <c r="L15" s="2" t="s">
        <v>5</v>
      </c>
      <c r="M15" s="14">
        <f t="shared" si="3"/>
        <v>1.6798851659868916</v>
      </c>
      <c r="O15" t="s">
        <v>42</v>
      </c>
      <c r="P15" s="17">
        <v>0.85233149148431009</v>
      </c>
      <c r="Q15" t="s">
        <v>5</v>
      </c>
      <c r="R15" s="18">
        <v>2.2572945639171907E-3</v>
      </c>
      <c r="S15" t="s">
        <v>43</v>
      </c>
      <c r="T15" s="17">
        <v>0.85104250633759926</v>
      </c>
      <c r="U15" t="s">
        <v>5</v>
      </c>
      <c r="V15" s="17">
        <v>1.8492931696432366E-3</v>
      </c>
    </row>
    <row r="16" spans="1:22" x14ac:dyDescent="0.2">
      <c r="A16" t="s">
        <v>30</v>
      </c>
      <c r="B16">
        <v>773</v>
      </c>
      <c r="C16">
        <v>1177</v>
      </c>
      <c r="D16">
        <v>0.84943817205056005</v>
      </c>
      <c r="E16" s="2" t="s">
        <v>5</v>
      </c>
      <c r="F16" s="13">
        <v>1.4455437882824002E-3</v>
      </c>
      <c r="G16" s="12">
        <f t="shared" si="0"/>
        <v>1310.8259207939309</v>
      </c>
      <c r="H16" s="2" t="s">
        <v>5</v>
      </c>
      <c r="I16" s="4">
        <f t="shared" si="1"/>
        <v>13.670274816165609</v>
      </c>
      <c r="J16" s="15">
        <v>-20.431097187242408</v>
      </c>
      <c r="K16" s="9">
        <f t="shared" si="2"/>
        <v>-20.591862114095804</v>
      </c>
      <c r="L16" s="2" t="s">
        <v>5</v>
      </c>
      <c r="M16" s="14">
        <f t="shared" si="3"/>
        <v>1.701764573156431</v>
      </c>
      <c r="O16" t="s">
        <v>44</v>
      </c>
      <c r="P16" s="17">
        <v>0.84799067080878576</v>
      </c>
      <c r="Q16" t="s">
        <v>5</v>
      </c>
      <c r="R16" s="18">
        <v>2.1438487470304369E-3</v>
      </c>
      <c r="S16" t="s">
        <v>45</v>
      </c>
      <c r="T16" s="17">
        <v>0.85064491665940212</v>
      </c>
      <c r="U16" t="s">
        <v>5</v>
      </c>
      <c r="V16" s="17">
        <v>1.9574575512830909E-3</v>
      </c>
    </row>
    <row r="17" spans="1:22" x14ac:dyDescent="0.2">
      <c r="A17" t="s">
        <v>31</v>
      </c>
      <c r="B17">
        <v>774</v>
      </c>
      <c r="C17">
        <v>1176</v>
      </c>
      <c r="D17">
        <v>0.85145594991101414</v>
      </c>
      <c r="E17" s="2" t="s">
        <v>5</v>
      </c>
      <c r="F17" s="13">
        <v>1.5054772689699098E-3</v>
      </c>
      <c r="G17" s="12">
        <f t="shared" si="0"/>
        <v>1291.7667483887851</v>
      </c>
      <c r="H17" s="2" t="s">
        <v>5</v>
      </c>
      <c r="I17" s="4">
        <f t="shared" si="1"/>
        <v>14.203317156805564</v>
      </c>
      <c r="J17" s="15">
        <v>-23.785190372984843</v>
      </c>
      <c r="K17" s="9">
        <f t="shared" si="2"/>
        <v>-18.384096418612607</v>
      </c>
      <c r="L17" s="2" t="s">
        <v>5</v>
      </c>
      <c r="M17" s="14">
        <f t="shared" si="3"/>
        <v>1.7681211448780736</v>
      </c>
      <c r="O17" t="s">
        <v>46</v>
      </c>
      <c r="P17" s="17">
        <v>0.85156176180511689</v>
      </c>
      <c r="Q17" t="s">
        <v>5</v>
      </c>
      <c r="R17" s="18">
        <v>2.4122458133236484E-3</v>
      </c>
      <c r="S17" t="s">
        <v>47</v>
      </c>
      <c r="T17" s="17">
        <v>0.85138844230420796</v>
      </c>
      <c r="U17" t="s">
        <v>5</v>
      </c>
      <c r="V17" s="17">
        <v>1.9267735378242232E-3</v>
      </c>
    </row>
    <row r="18" spans="1:22" x14ac:dyDescent="0.2">
      <c r="A18" t="s">
        <v>32</v>
      </c>
      <c r="B18">
        <v>775</v>
      </c>
      <c r="C18">
        <v>1175</v>
      </c>
      <c r="D18">
        <v>0.86490979643884802</v>
      </c>
      <c r="E18" s="2" t="s">
        <v>5</v>
      </c>
      <c r="F18" s="13">
        <v>1.5311075438941097E-3</v>
      </c>
      <c r="G18" s="12">
        <f t="shared" si="0"/>
        <v>1165.8297644413924</v>
      </c>
      <c r="H18" s="2" t="s">
        <v>5</v>
      </c>
      <c r="I18" s="4">
        <f t="shared" si="1"/>
        <v>14.220427321718967</v>
      </c>
      <c r="J18" s="15">
        <v>-24.773206058925972</v>
      </c>
      <c r="K18" s="9">
        <f t="shared" si="2"/>
        <v>-2.9942018005357784</v>
      </c>
      <c r="L18" s="2" t="s">
        <v>5</v>
      </c>
      <c r="M18" s="14">
        <f t="shared" si="3"/>
        <v>1.7702511293064818</v>
      </c>
      <c r="O18" t="s">
        <v>48</v>
      </c>
      <c r="P18" s="17">
        <v>0.86316442095953727</v>
      </c>
      <c r="Q18" t="s">
        <v>5</v>
      </c>
      <c r="R18" s="18">
        <v>2.4317589206641795E-3</v>
      </c>
      <c r="S18" t="s">
        <v>49</v>
      </c>
      <c r="T18" s="17">
        <v>0.86605619097464992</v>
      </c>
      <c r="U18" t="s">
        <v>5</v>
      </c>
      <c r="V18" s="17">
        <v>1.9708026440249872E-3</v>
      </c>
    </row>
    <row r="19" spans="1:22" x14ac:dyDescent="0.2">
      <c r="A19" t="s">
        <v>33</v>
      </c>
      <c r="B19">
        <v>776</v>
      </c>
      <c r="C19">
        <v>1174</v>
      </c>
      <c r="D19">
        <v>0.8683069200195368</v>
      </c>
      <c r="E19" s="2" t="s">
        <v>5</v>
      </c>
      <c r="F19" s="13">
        <v>1.5664762175544155E-3</v>
      </c>
      <c r="G19" s="12">
        <f t="shared" si="0"/>
        <v>1134.3401896991215</v>
      </c>
      <c r="H19" s="2" t="s">
        <v>5</v>
      </c>
      <c r="I19" s="4">
        <f t="shared" si="1"/>
        <v>14.49199950557977</v>
      </c>
      <c r="J19" s="15">
        <v>-23.807528979853764</v>
      </c>
      <c r="K19" s="9">
        <f t="shared" si="2"/>
        <v>0.80069085922507277</v>
      </c>
      <c r="L19" s="2" t="s">
        <v>5</v>
      </c>
      <c r="M19" s="14">
        <f t="shared" si="3"/>
        <v>1.8040581981301844</v>
      </c>
      <c r="O19" t="s">
        <v>50</v>
      </c>
      <c r="P19" s="17">
        <v>0.86861719322584585</v>
      </c>
      <c r="Q19" t="s">
        <v>5</v>
      </c>
      <c r="R19" s="18">
        <v>2.3664063041347761E-3</v>
      </c>
      <c r="S19" t="s">
        <v>51</v>
      </c>
      <c r="T19" s="17">
        <v>0.86806491248923556</v>
      </c>
      <c r="U19" t="s">
        <v>5</v>
      </c>
      <c r="V19" s="17">
        <v>2.0899294058198807E-3</v>
      </c>
    </row>
    <row r="20" spans="1:22" x14ac:dyDescent="0.2">
      <c r="A20" t="s">
        <v>34</v>
      </c>
      <c r="B20">
        <v>777</v>
      </c>
      <c r="C20">
        <v>1173</v>
      </c>
      <c r="D20">
        <v>0.87024011163455472</v>
      </c>
      <c r="E20" s="2" t="s">
        <v>5</v>
      </c>
      <c r="F20" s="13">
        <v>1.6010125583019407E-3</v>
      </c>
      <c r="G20" s="12">
        <f t="shared" si="0"/>
        <v>1116.4754620143183</v>
      </c>
      <c r="H20" s="2" t="s">
        <v>5</v>
      </c>
      <c r="I20" s="4">
        <f t="shared" si="1"/>
        <v>14.778603869089707</v>
      </c>
      <c r="J20" s="15">
        <v>-27.879501028332761</v>
      </c>
      <c r="K20" s="9">
        <f t="shared" si="2"/>
        <v>2.9075436442085323</v>
      </c>
      <c r="L20" s="2" t="s">
        <v>5</v>
      </c>
      <c r="M20" s="14">
        <f t="shared" si="3"/>
        <v>1.8397365702837929</v>
      </c>
      <c r="O20" t="s">
        <v>52</v>
      </c>
      <c r="P20" s="17">
        <v>0.87360071281178142</v>
      </c>
      <c r="Q20" t="s">
        <v>5</v>
      </c>
      <c r="R20" s="18">
        <v>2.4519563461714907E-3</v>
      </c>
      <c r="S20" t="s">
        <v>53</v>
      </c>
      <c r="T20" s="17">
        <v>0.86774245744496115</v>
      </c>
      <c r="U20" t="s">
        <v>5</v>
      </c>
      <c r="V20" s="17">
        <v>2.113831670646099E-3</v>
      </c>
    </row>
    <row r="21" spans="1:22" x14ac:dyDescent="0.2">
      <c r="A21" t="s">
        <v>35</v>
      </c>
      <c r="B21">
        <v>778</v>
      </c>
      <c r="C21">
        <v>1172</v>
      </c>
      <c r="D21">
        <v>0.86455674792440418</v>
      </c>
      <c r="E21" s="2" t="s">
        <v>5</v>
      </c>
      <c r="F21" s="13">
        <v>1.4820891592114509E-3</v>
      </c>
      <c r="G21" s="12">
        <f t="shared" si="0"/>
        <v>1169.1094332677887</v>
      </c>
      <c r="H21" s="2" t="s">
        <v>5</v>
      </c>
      <c r="I21" s="4">
        <f t="shared" si="1"/>
        <v>13.770781668789425</v>
      </c>
      <c r="J21" s="15">
        <v>-24.32495296510071</v>
      </c>
      <c r="K21" s="9">
        <f t="shared" si="2"/>
        <v>-3.7627594672776654</v>
      </c>
      <c r="L21" s="2" t="s">
        <v>5</v>
      </c>
      <c r="M21" s="14">
        <f t="shared" si="3"/>
        <v>1.7142763187836956</v>
      </c>
      <c r="O21" t="s">
        <v>54</v>
      </c>
      <c r="P21" s="17">
        <v>0.86640782122550219</v>
      </c>
      <c r="Q21" t="s">
        <v>5</v>
      </c>
      <c r="R21" s="18">
        <v>2.4347611404494053E-3</v>
      </c>
      <c r="S21" t="s">
        <v>55</v>
      </c>
      <c r="T21" s="17">
        <v>0.86346708565758401</v>
      </c>
      <c r="U21" t="s">
        <v>5</v>
      </c>
      <c r="V21" s="17">
        <v>1.8680586588744746E-3</v>
      </c>
    </row>
    <row r="22" spans="1:22" x14ac:dyDescent="0.2">
      <c r="A22" t="s">
        <v>36</v>
      </c>
      <c r="B22">
        <v>779</v>
      </c>
      <c r="C22">
        <v>1171</v>
      </c>
      <c r="D22">
        <v>0.86519022586069494</v>
      </c>
      <c r="E22" s="2" t="s">
        <v>5</v>
      </c>
      <c r="F22" s="13">
        <v>1.5474946142734372E-3</v>
      </c>
      <c r="G22" s="12">
        <f t="shared" si="0"/>
        <v>1163.2256496082739</v>
      </c>
      <c r="H22" s="2" t="s">
        <v>5</v>
      </c>
      <c r="I22" s="4">
        <f t="shared" si="1"/>
        <v>14.36796656376011</v>
      </c>
      <c r="J22" s="15">
        <v>-25.388356257220238</v>
      </c>
      <c r="K22" s="9">
        <f t="shared" si="2"/>
        <v>-3.1533853283541857</v>
      </c>
      <c r="L22" s="2" t="s">
        <v>5</v>
      </c>
      <c r="M22" s="14">
        <f t="shared" si="3"/>
        <v>1.7886177721598544</v>
      </c>
      <c r="O22" t="s">
        <v>56</v>
      </c>
      <c r="P22" s="17">
        <v>0.8662990018683091</v>
      </c>
      <c r="Q22" t="s">
        <v>5</v>
      </c>
      <c r="R22" s="18">
        <v>2.4176779891181815E-3</v>
      </c>
      <c r="S22" t="s">
        <v>57</v>
      </c>
      <c r="T22" s="17">
        <v>0.8644206893429538</v>
      </c>
      <c r="U22" t="s">
        <v>5</v>
      </c>
      <c r="V22" s="17">
        <v>2.0141469989672935E-3</v>
      </c>
    </row>
    <row r="23" spans="1:22" x14ac:dyDescent="0.2">
      <c r="A23" t="s">
        <v>37</v>
      </c>
      <c r="B23">
        <v>780</v>
      </c>
      <c r="C23">
        <v>1170</v>
      </c>
      <c r="D23">
        <v>0.86351813194849225</v>
      </c>
      <c r="E23" s="2" t="s">
        <v>5</v>
      </c>
      <c r="F23" s="13">
        <v>1.5250444768084312E-3</v>
      </c>
      <c r="G23" s="12">
        <f t="shared" si="0"/>
        <v>1178.7654999536512</v>
      </c>
      <c r="H23" s="2" t="s">
        <v>5</v>
      </c>
      <c r="I23" s="4">
        <f t="shared" si="1"/>
        <v>14.186942727605476</v>
      </c>
      <c r="J23" s="15">
        <v>-25.455230779438143</v>
      </c>
      <c r="K23" s="9">
        <f t="shared" si="2"/>
        <v>-5.2002636329138152</v>
      </c>
      <c r="L23" s="2" t="s">
        <v>5</v>
      </c>
      <c r="M23" s="14">
        <f t="shared" si="3"/>
        <v>1.7660827496085494</v>
      </c>
      <c r="O23" t="s">
        <v>58</v>
      </c>
      <c r="P23" s="17">
        <v>0.86588227498855741</v>
      </c>
      <c r="Q23" t="s">
        <v>5</v>
      </c>
      <c r="R23" s="18">
        <v>2.3972739553673149E-3</v>
      </c>
      <c r="S23" t="s">
        <v>59</v>
      </c>
      <c r="T23" s="17">
        <v>0.86191094957808945</v>
      </c>
      <c r="U23" t="s">
        <v>5</v>
      </c>
      <c r="V23" s="17">
        <v>1.9765753378747169E-3</v>
      </c>
    </row>
    <row r="27" spans="1:22" x14ac:dyDescent="0.2">
      <c r="B27" s="347" t="s">
        <v>331</v>
      </c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</row>
    <row r="28" spans="1:22" x14ac:dyDescent="0.2">
      <c r="B28" s="189" t="s">
        <v>17</v>
      </c>
      <c r="C28" s="189" t="s">
        <v>15</v>
      </c>
      <c r="D28" s="348" t="s">
        <v>1</v>
      </c>
      <c r="E28" s="348"/>
      <c r="F28" s="348"/>
      <c r="G28" s="348" t="s">
        <v>2</v>
      </c>
      <c r="H28" s="348"/>
      <c r="I28" s="348"/>
      <c r="J28" s="189" t="s">
        <v>3</v>
      </c>
      <c r="K28" s="349" t="s">
        <v>16</v>
      </c>
      <c r="L28" s="349"/>
      <c r="M28" s="349"/>
    </row>
    <row r="29" spans="1:22" x14ac:dyDescent="0.2">
      <c r="B29" s="189">
        <f t="shared" ref="B29:M29" si="4">B13</f>
        <v>770</v>
      </c>
      <c r="C29" s="187">
        <f t="shared" si="4"/>
        <v>1180</v>
      </c>
      <c r="D29" s="178">
        <f t="shared" si="4"/>
        <v>0.85218380604442345</v>
      </c>
      <c r="E29" s="178" t="str">
        <f t="shared" si="4"/>
        <v>±</v>
      </c>
      <c r="F29" s="178">
        <f t="shared" si="4"/>
        <v>1.3315236199971576E-3</v>
      </c>
      <c r="G29" s="179">
        <f t="shared" si="4"/>
        <v>1284.9027753510791</v>
      </c>
      <c r="H29" s="178" t="str">
        <f t="shared" si="4"/>
        <v>±</v>
      </c>
      <c r="I29" s="179">
        <f t="shared" si="4"/>
        <v>12.551434518669543</v>
      </c>
      <c r="J29" s="180">
        <f t="shared" si="4"/>
        <v>-25.197742547601003</v>
      </c>
      <c r="K29" s="180">
        <f t="shared" si="4"/>
        <v>-17.069497411187797</v>
      </c>
      <c r="L29" s="180" t="str">
        <f t="shared" si="4"/>
        <v>±</v>
      </c>
      <c r="M29" s="180">
        <f t="shared" si="4"/>
        <v>1.5624840680529746</v>
      </c>
    </row>
    <row r="30" spans="1:22" x14ac:dyDescent="0.2">
      <c r="B30" s="189">
        <f t="shared" ref="B30:M30" si="5">B14</f>
        <v>771</v>
      </c>
      <c r="C30" s="189">
        <f t="shared" si="5"/>
        <v>1179</v>
      </c>
      <c r="D30" s="178">
        <f t="shared" si="5"/>
        <v>0.85267908186935359</v>
      </c>
      <c r="E30" s="178" t="str">
        <f t="shared" si="5"/>
        <v>±</v>
      </c>
      <c r="F30" s="178">
        <f t="shared" si="5"/>
        <v>1.315534596155133E-3</v>
      </c>
      <c r="G30" s="179">
        <f t="shared" si="5"/>
        <v>1280.2354782425648</v>
      </c>
      <c r="H30" s="178" t="str">
        <f t="shared" si="5"/>
        <v>±</v>
      </c>
      <c r="I30" s="179">
        <f t="shared" si="5"/>
        <v>12.393513146524393</v>
      </c>
      <c r="J30" s="180">
        <f t="shared" si="5"/>
        <v>-23.07036023373993</v>
      </c>
      <c r="K30" s="180">
        <f t="shared" si="5"/>
        <v>-16.617193658392647</v>
      </c>
      <c r="L30" s="180" t="str">
        <f t="shared" si="5"/>
        <v>±</v>
      </c>
      <c r="M30" s="180">
        <f t="shared" si="5"/>
        <v>1.5428249902308471</v>
      </c>
    </row>
    <row r="31" spans="1:22" x14ac:dyDescent="0.2">
      <c r="B31" s="189">
        <f t="shared" ref="B31:M31" si="6">B15</f>
        <v>772</v>
      </c>
      <c r="C31" s="187">
        <f t="shared" si="6"/>
        <v>1178</v>
      </c>
      <c r="D31" s="178">
        <f t="shared" si="6"/>
        <v>0.85156018626790719</v>
      </c>
      <c r="E31" s="178" t="str">
        <f t="shared" si="6"/>
        <v>±</v>
      </c>
      <c r="F31" s="178">
        <f t="shared" si="6"/>
        <v>1.4305233248564915E-3</v>
      </c>
      <c r="G31" s="179">
        <f t="shared" si="6"/>
        <v>1290.7833981571821</v>
      </c>
      <c r="H31" s="178" t="str">
        <f t="shared" si="6"/>
        <v>±</v>
      </c>
      <c r="I31" s="179">
        <f t="shared" si="6"/>
        <v>13.494517538372699</v>
      </c>
      <c r="J31" s="180">
        <f t="shared" si="6"/>
        <v>-23.434972736395913</v>
      </c>
      <c r="K31" s="180">
        <f t="shared" si="6"/>
        <v>-18.026389761921948</v>
      </c>
      <c r="L31" s="180" t="str">
        <f t="shared" si="6"/>
        <v>±</v>
      </c>
      <c r="M31" s="180">
        <f t="shared" si="6"/>
        <v>1.6798851659868916</v>
      </c>
    </row>
    <row r="32" spans="1:22" x14ac:dyDescent="0.2">
      <c r="B32" s="189">
        <f t="shared" ref="B32:M32" si="7">B16</f>
        <v>773</v>
      </c>
      <c r="C32" s="189">
        <f t="shared" si="7"/>
        <v>1177</v>
      </c>
      <c r="D32" s="178">
        <f t="shared" si="7"/>
        <v>0.84943817205056005</v>
      </c>
      <c r="E32" s="178" t="str">
        <f t="shared" si="7"/>
        <v>±</v>
      </c>
      <c r="F32" s="178">
        <f t="shared" si="7"/>
        <v>1.4455437882824002E-3</v>
      </c>
      <c r="G32" s="179">
        <f t="shared" si="7"/>
        <v>1310.8259207939309</v>
      </c>
      <c r="H32" s="178" t="str">
        <f t="shared" si="7"/>
        <v>±</v>
      </c>
      <c r="I32" s="179">
        <f t="shared" si="7"/>
        <v>13.670274816165609</v>
      </c>
      <c r="J32" s="180">
        <f t="shared" si="7"/>
        <v>-20.431097187242408</v>
      </c>
      <c r="K32" s="180">
        <f t="shared" si="7"/>
        <v>-20.591862114095804</v>
      </c>
      <c r="L32" s="180" t="str">
        <f t="shared" si="7"/>
        <v>±</v>
      </c>
      <c r="M32" s="180">
        <f t="shared" si="7"/>
        <v>1.701764573156431</v>
      </c>
    </row>
    <row r="33" spans="2:13" x14ac:dyDescent="0.2">
      <c r="B33" s="189">
        <f t="shared" ref="B33:M33" si="8">B17</f>
        <v>774</v>
      </c>
      <c r="C33" s="187">
        <f t="shared" si="8"/>
        <v>1176</v>
      </c>
      <c r="D33" s="178">
        <f t="shared" si="8"/>
        <v>0.85145594991101414</v>
      </c>
      <c r="E33" s="178" t="str">
        <f t="shared" si="8"/>
        <v>±</v>
      </c>
      <c r="F33" s="178">
        <f t="shared" si="8"/>
        <v>1.5054772689699098E-3</v>
      </c>
      <c r="G33" s="179">
        <f t="shared" si="8"/>
        <v>1291.7667483887851</v>
      </c>
      <c r="H33" s="178" t="str">
        <f t="shared" si="8"/>
        <v>±</v>
      </c>
      <c r="I33" s="179">
        <f t="shared" si="8"/>
        <v>14.203317156805564</v>
      </c>
      <c r="J33" s="180">
        <f t="shared" si="8"/>
        <v>-23.785190372984843</v>
      </c>
      <c r="K33" s="180">
        <f t="shared" si="8"/>
        <v>-18.384096418612607</v>
      </c>
      <c r="L33" s="180" t="str">
        <f t="shared" si="8"/>
        <v>±</v>
      </c>
      <c r="M33" s="180">
        <f t="shared" si="8"/>
        <v>1.7681211448780736</v>
      </c>
    </row>
    <row r="34" spans="2:13" x14ac:dyDescent="0.2">
      <c r="B34" s="189">
        <f t="shared" ref="B34:M34" si="9">B18</f>
        <v>775</v>
      </c>
      <c r="C34" s="189">
        <f t="shared" si="9"/>
        <v>1175</v>
      </c>
      <c r="D34" s="178">
        <f t="shared" si="9"/>
        <v>0.86490979643884802</v>
      </c>
      <c r="E34" s="178" t="str">
        <f t="shared" si="9"/>
        <v>±</v>
      </c>
      <c r="F34" s="178">
        <f t="shared" si="9"/>
        <v>1.5311075438941097E-3</v>
      </c>
      <c r="G34" s="179">
        <f t="shared" si="9"/>
        <v>1165.8297644413924</v>
      </c>
      <c r="H34" s="178" t="str">
        <f t="shared" si="9"/>
        <v>±</v>
      </c>
      <c r="I34" s="179">
        <f t="shared" si="9"/>
        <v>14.220427321718967</v>
      </c>
      <c r="J34" s="180">
        <f t="shared" si="9"/>
        <v>-24.773206058925972</v>
      </c>
      <c r="K34" s="180">
        <f t="shared" si="9"/>
        <v>-2.9942018005357784</v>
      </c>
      <c r="L34" s="180" t="str">
        <f t="shared" si="9"/>
        <v>±</v>
      </c>
      <c r="M34" s="180">
        <f t="shared" si="9"/>
        <v>1.7702511293064818</v>
      </c>
    </row>
    <row r="35" spans="2:13" x14ac:dyDescent="0.2">
      <c r="B35" s="189">
        <f t="shared" ref="B35:M35" si="10">B19</f>
        <v>776</v>
      </c>
      <c r="C35" s="187">
        <f t="shared" si="10"/>
        <v>1174</v>
      </c>
      <c r="D35" s="178">
        <f t="shared" si="10"/>
        <v>0.8683069200195368</v>
      </c>
      <c r="E35" s="178" t="str">
        <f t="shared" si="10"/>
        <v>±</v>
      </c>
      <c r="F35" s="178">
        <f t="shared" si="10"/>
        <v>1.5664762175544155E-3</v>
      </c>
      <c r="G35" s="179">
        <f t="shared" si="10"/>
        <v>1134.3401896991215</v>
      </c>
      <c r="H35" s="178" t="str">
        <f t="shared" si="10"/>
        <v>±</v>
      </c>
      <c r="I35" s="179">
        <f t="shared" si="10"/>
        <v>14.49199950557977</v>
      </c>
      <c r="J35" s="180">
        <f t="shared" si="10"/>
        <v>-23.807528979853764</v>
      </c>
      <c r="K35" s="180">
        <f t="shared" si="10"/>
        <v>0.80069085922507277</v>
      </c>
      <c r="L35" s="180" t="str">
        <f t="shared" si="10"/>
        <v>±</v>
      </c>
      <c r="M35" s="180">
        <f t="shared" si="10"/>
        <v>1.8040581981301844</v>
      </c>
    </row>
    <row r="36" spans="2:13" x14ac:dyDescent="0.2">
      <c r="B36" s="189">
        <f t="shared" ref="B36:M36" si="11">B20</f>
        <v>777</v>
      </c>
      <c r="C36" s="189">
        <f t="shared" si="11"/>
        <v>1173</v>
      </c>
      <c r="D36" s="178">
        <f t="shared" si="11"/>
        <v>0.87024011163455472</v>
      </c>
      <c r="E36" s="178" t="str">
        <f t="shared" si="11"/>
        <v>±</v>
      </c>
      <c r="F36" s="178">
        <f t="shared" si="11"/>
        <v>1.6010125583019407E-3</v>
      </c>
      <c r="G36" s="179">
        <f t="shared" si="11"/>
        <v>1116.4754620143183</v>
      </c>
      <c r="H36" s="178" t="str">
        <f t="shared" si="11"/>
        <v>±</v>
      </c>
      <c r="I36" s="179">
        <f t="shared" si="11"/>
        <v>14.778603869089707</v>
      </c>
      <c r="J36" s="180">
        <f t="shared" si="11"/>
        <v>-27.879501028332761</v>
      </c>
      <c r="K36" s="180">
        <f t="shared" si="11"/>
        <v>2.9075436442085323</v>
      </c>
      <c r="L36" s="180" t="str">
        <f t="shared" si="11"/>
        <v>±</v>
      </c>
      <c r="M36" s="180">
        <f t="shared" si="11"/>
        <v>1.8397365702837929</v>
      </c>
    </row>
    <row r="37" spans="2:13" x14ac:dyDescent="0.2">
      <c r="B37" s="189">
        <f t="shared" ref="B37:M37" si="12">B21</f>
        <v>778</v>
      </c>
      <c r="C37" s="187">
        <f t="shared" si="12"/>
        <v>1172</v>
      </c>
      <c r="D37" s="178">
        <f t="shared" si="12"/>
        <v>0.86455674792440418</v>
      </c>
      <c r="E37" s="178" t="str">
        <f t="shared" si="12"/>
        <v>±</v>
      </c>
      <c r="F37" s="178">
        <f t="shared" si="12"/>
        <v>1.4820891592114509E-3</v>
      </c>
      <c r="G37" s="179">
        <f t="shared" si="12"/>
        <v>1169.1094332677887</v>
      </c>
      <c r="H37" s="178" t="str">
        <f t="shared" si="12"/>
        <v>±</v>
      </c>
      <c r="I37" s="179">
        <f t="shared" si="12"/>
        <v>13.770781668789425</v>
      </c>
      <c r="J37" s="180">
        <f t="shared" si="12"/>
        <v>-24.32495296510071</v>
      </c>
      <c r="K37" s="180">
        <f t="shared" si="12"/>
        <v>-3.7627594672776654</v>
      </c>
      <c r="L37" s="180" t="str">
        <f t="shared" si="12"/>
        <v>±</v>
      </c>
      <c r="M37" s="180">
        <f t="shared" si="12"/>
        <v>1.7142763187836956</v>
      </c>
    </row>
    <row r="38" spans="2:13" x14ac:dyDescent="0.2">
      <c r="B38" s="189">
        <f t="shared" ref="B38:M38" si="13">B22</f>
        <v>779</v>
      </c>
      <c r="C38" s="189">
        <f t="shared" si="13"/>
        <v>1171</v>
      </c>
      <c r="D38" s="178">
        <f t="shared" si="13"/>
        <v>0.86519022586069494</v>
      </c>
      <c r="E38" s="178" t="str">
        <f t="shared" si="13"/>
        <v>±</v>
      </c>
      <c r="F38" s="178">
        <f t="shared" si="13"/>
        <v>1.5474946142734372E-3</v>
      </c>
      <c r="G38" s="179">
        <f t="shared" si="13"/>
        <v>1163.2256496082739</v>
      </c>
      <c r="H38" s="178" t="str">
        <f t="shared" si="13"/>
        <v>±</v>
      </c>
      <c r="I38" s="179">
        <f t="shared" si="13"/>
        <v>14.36796656376011</v>
      </c>
      <c r="J38" s="180">
        <f t="shared" si="13"/>
        <v>-25.388356257220238</v>
      </c>
      <c r="K38" s="180">
        <f t="shared" si="13"/>
        <v>-3.1533853283541857</v>
      </c>
      <c r="L38" s="180" t="str">
        <f t="shared" si="13"/>
        <v>±</v>
      </c>
      <c r="M38" s="180">
        <f t="shared" si="13"/>
        <v>1.7886177721598544</v>
      </c>
    </row>
    <row r="39" spans="2:13" x14ac:dyDescent="0.2">
      <c r="B39" s="189">
        <f t="shared" ref="B39:M39" si="14">B23</f>
        <v>780</v>
      </c>
      <c r="C39" s="187">
        <f t="shared" si="14"/>
        <v>1170</v>
      </c>
      <c r="D39" s="178">
        <f t="shared" si="14"/>
        <v>0.86351813194849225</v>
      </c>
      <c r="E39" s="178" t="str">
        <f t="shared" si="14"/>
        <v>±</v>
      </c>
      <c r="F39" s="178">
        <f t="shared" si="14"/>
        <v>1.5250444768084312E-3</v>
      </c>
      <c r="G39" s="179">
        <f t="shared" si="14"/>
        <v>1178.7654999536512</v>
      </c>
      <c r="H39" s="178" t="str">
        <f t="shared" si="14"/>
        <v>±</v>
      </c>
      <c r="I39" s="179">
        <f t="shared" si="14"/>
        <v>14.186942727605476</v>
      </c>
      <c r="J39" s="180">
        <f t="shared" si="14"/>
        <v>-25.455230779438143</v>
      </c>
      <c r="K39" s="180">
        <f t="shared" si="14"/>
        <v>-5.2002636329138152</v>
      </c>
      <c r="L39" s="180" t="str">
        <f t="shared" si="14"/>
        <v>±</v>
      </c>
      <c r="M39" s="180">
        <f t="shared" si="14"/>
        <v>1.7660827496085494</v>
      </c>
    </row>
  </sheetData>
  <mergeCells count="7">
    <mergeCell ref="D3:F3"/>
    <mergeCell ref="G3:I3"/>
    <mergeCell ref="K3:M3"/>
    <mergeCell ref="B27:M27"/>
    <mergeCell ref="D28:F28"/>
    <mergeCell ref="G28:I28"/>
    <mergeCell ref="K28:M28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B5" sqref="B5:B15"/>
    </sheetView>
  </sheetViews>
  <sheetFormatPr baseColWidth="10" defaultColWidth="9" defaultRowHeight="16" x14ac:dyDescent="0.2"/>
  <sheetData>
    <row r="1" spans="1:20" s="264" customFormat="1" ht="15" x14ac:dyDescent="0.2">
      <c r="A1" s="263"/>
      <c r="B1" s="263"/>
      <c r="C1" s="263"/>
      <c r="D1" s="263"/>
      <c r="F1" s="265"/>
      <c r="G1" s="265"/>
      <c r="R1" s="266"/>
      <c r="S1" s="266"/>
    </row>
    <row r="2" spans="1:20" s="231" customFormat="1" ht="15" x14ac:dyDescent="0.2">
      <c r="A2" s="267"/>
      <c r="B2" s="267"/>
      <c r="C2" s="267"/>
      <c r="D2" s="230"/>
      <c r="J2" s="294"/>
      <c r="R2" s="232"/>
      <c r="S2" s="232"/>
    </row>
    <row r="4" spans="1:20" ht="29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90" t="s">
        <v>17</v>
      </c>
      <c r="J4" s="291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90" t="s">
        <v>3</v>
      </c>
      <c r="R4" s="346" t="s">
        <v>16</v>
      </c>
      <c r="S4" s="345"/>
      <c r="T4" s="345"/>
    </row>
    <row r="5" spans="1:20" x14ac:dyDescent="0.2">
      <c r="A5" s="156" t="s">
        <v>571</v>
      </c>
      <c r="B5" s="156" t="s">
        <v>216</v>
      </c>
      <c r="C5" s="34">
        <v>0.84963659296686644</v>
      </c>
      <c r="D5" s="34">
        <v>2.1284197729744487E-3</v>
      </c>
      <c r="E5" s="32">
        <v>1308.9376452661113</v>
      </c>
      <c r="F5" s="32">
        <v>20.123236980644339</v>
      </c>
      <c r="G5" s="36">
        <v>-25.291781491496799</v>
      </c>
      <c r="I5" s="270">
        <v>770</v>
      </c>
      <c r="J5" s="271">
        <f>1950-I5</f>
        <v>1180</v>
      </c>
      <c r="K5" s="272">
        <f>C5</f>
        <v>0.84963659296686644</v>
      </c>
      <c r="L5" s="273" t="s">
        <v>5</v>
      </c>
      <c r="M5" s="274">
        <f>D5</f>
        <v>2.1284197729744487E-3</v>
      </c>
      <c r="N5" s="275">
        <f>-8033*LN(K5)</f>
        <v>1308.9497052668066</v>
      </c>
      <c r="O5" s="276" t="s">
        <v>5</v>
      </c>
      <c r="P5" s="275">
        <f>M5/K5*8033</f>
        <v>20.123422387682528</v>
      </c>
      <c r="Q5" s="277">
        <f>G5</f>
        <v>-25.291781491496799</v>
      </c>
      <c r="R5" s="271">
        <f>(EXP(J5/8267)*EXP(-N5/8033)-1)*1000</f>
        <v>-20.007517839134458</v>
      </c>
      <c r="S5" s="273" t="s">
        <v>5</v>
      </c>
      <c r="T5" s="278">
        <f>P5/8.033</f>
        <v>2.5050942845366024</v>
      </c>
    </row>
    <row r="6" spans="1:20" x14ac:dyDescent="0.2">
      <c r="A6" s="156" t="s">
        <v>572</v>
      </c>
      <c r="B6" s="156" t="s">
        <v>217</v>
      </c>
      <c r="C6" s="34">
        <v>0.84606491135606732</v>
      </c>
      <c r="D6" s="34">
        <v>2.1016855334320245E-3</v>
      </c>
      <c r="E6" s="32">
        <v>1342.7774412315098</v>
      </c>
      <c r="F6" s="32">
        <v>19.954360609341776</v>
      </c>
      <c r="G6" s="36">
        <v>-24.221173825989982</v>
      </c>
      <c r="I6" s="270">
        <v>771</v>
      </c>
      <c r="J6" s="271">
        <f t="shared" ref="J6:J15" si="0">1950-I6</f>
        <v>1179</v>
      </c>
      <c r="K6" s="272">
        <f t="shared" ref="K6:K15" si="1">C6</f>
        <v>0.84606491135606732</v>
      </c>
      <c r="L6" s="273" t="s">
        <v>5</v>
      </c>
      <c r="M6" s="274">
        <f t="shared" ref="M6:M15" si="2">D6</f>
        <v>2.1016855334320245E-3</v>
      </c>
      <c r="N6" s="275">
        <f t="shared" ref="N6:N15" si="3">-8033*LN(K6)</f>
        <v>1342.7898130178462</v>
      </c>
      <c r="O6" s="276" t="s">
        <v>5</v>
      </c>
      <c r="P6" s="275">
        <f t="shared" ref="P6:P15" si="4">M6/K6*8033</f>
        <v>19.954544460424138</v>
      </c>
      <c r="Q6" s="277">
        <f t="shared" ref="Q6:Q15" si="5">G6</f>
        <v>-24.221173825989982</v>
      </c>
      <c r="R6" s="271">
        <f t="shared" ref="R6:R15" si="6">(EXP(J6/8267)*EXP(-N6/8033)-1)*1000</f>
        <v>-24.245223592840979</v>
      </c>
      <c r="S6" s="273" t="s">
        <v>5</v>
      </c>
      <c r="T6" s="278">
        <f t="shared" ref="T6:T15" si="7">P6/8.033</f>
        <v>2.4840712635907058</v>
      </c>
    </row>
    <row r="7" spans="1:20" x14ac:dyDescent="0.2">
      <c r="A7" s="156" t="s">
        <v>573</v>
      </c>
      <c r="B7" s="156" t="s">
        <v>218</v>
      </c>
      <c r="C7" s="34">
        <v>0.84996418573381638</v>
      </c>
      <c r="D7" s="34">
        <v>2.0579754502202986E-3</v>
      </c>
      <c r="E7" s="32">
        <v>1305.8410021994812</v>
      </c>
      <c r="F7" s="32">
        <v>19.449718887235367</v>
      </c>
      <c r="G7" s="36">
        <v>-24.052810293467729</v>
      </c>
      <c r="I7" s="270">
        <v>772</v>
      </c>
      <c r="J7" s="271">
        <f t="shared" si="0"/>
        <v>1178</v>
      </c>
      <c r="K7" s="272">
        <f t="shared" si="1"/>
        <v>0.84996418573381638</v>
      </c>
      <c r="L7" s="273" t="s">
        <v>5</v>
      </c>
      <c r="M7" s="274">
        <f t="shared" si="2"/>
        <v>2.0579754502202986E-3</v>
      </c>
      <c r="N7" s="275">
        <f t="shared" si="3"/>
        <v>1305.8530336690103</v>
      </c>
      <c r="O7" s="276" t="s">
        <v>5</v>
      </c>
      <c r="P7" s="275">
        <f t="shared" si="4"/>
        <v>19.449898088761241</v>
      </c>
      <c r="Q7" s="277">
        <f t="shared" si="5"/>
        <v>-24.052810293467729</v>
      </c>
      <c r="R7" s="271">
        <f t="shared" si="6"/>
        <v>-19.866812120406863</v>
      </c>
      <c r="S7" s="273" t="s">
        <v>5</v>
      </c>
      <c r="T7" s="278">
        <f t="shared" si="7"/>
        <v>2.4212496064684728</v>
      </c>
    </row>
    <row r="8" spans="1:20" x14ac:dyDescent="0.2">
      <c r="A8" s="156" t="s">
        <v>574</v>
      </c>
      <c r="B8" s="156" t="s">
        <v>219</v>
      </c>
      <c r="C8" s="34">
        <v>0.85274295320390792</v>
      </c>
      <c r="D8" s="34">
        <v>2.1331697986393238E-3</v>
      </c>
      <c r="E8" s="32">
        <v>1279.6219857505712</v>
      </c>
      <c r="F8" s="32">
        <v>20.094678059695543</v>
      </c>
      <c r="G8" s="36">
        <v>-23.95124983057395</v>
      </c>
      <c r="I8" s="270">
        <v>773</v>
      </c>
      <c r="J8" s="271">
        <f t="shared" si="0"/>
        <v>1177</v>
      </c>
      <c r="K8" s="272">
        <f t="shared" si="1"/>
        <v>0.85274295320390792</v>
      </c>
      <c r="L8" s="273" t="s">
        <v>5</v>
      </c>
      <c r="M8" s="274">
        <f t="shared" si="2"/>
        <v>2.1331697986393238E-3</v>
      </c>
      <c r="N8" s="275">
        <f t="shared" si="3"/>
        <v>1279.6337756491153</v>
      </c>
      <c r="O8" s="276" t="s">
        <v>5</v>
      </c>
      <c r="P8" s="275">
        <f t="shared" si="4"/>
        <v>20.094863203603847</v>
      </c>
      <c r="Q8" s="277">
        <f t="shared" si="5"/>
        <v>-23.95124983057395</v>
      </c>
      <c r="R8" s="271">
        <f t="shared" si="6"/>
        <v>-16.781426390790166</v>
      </c>
      <c r="S8" s="273" t="s">
        <v>5</v>
      </c>
      <c r="T8" s="278">
        <f t="shared" si="7"/>
        <v>2.5015390518615521</v>
      </c>
    </row>
    <row r="9" spans="1:20" x14ac:dyDescent="0.2">
      <c r="A9" s="156" t="s">
        <v>575</v>
      </c>
      <c r="B9" s="156" t="s">
        <v>298</v>
      </c>
      <c r="C9" s="34">
        <v>0.85445288679395415</v>
      </c>
      <c r="D9" s="34">
        <v>2.1368429322672884E-3</v>
      </c>
      <c r="E9" s="32">
        <v>1263.5303643387674</v>
      </c>
      <c r="F9" s="32">
        <v>20.088996582702492</v>
      </c>
      <c r="G9" s="36">
        <v>-27.032077016034826</v>
      </c>
      <c r="I9" s="220">
        <v>774</v>
      </c>
      <c r="J9" s="9">
        <f t="shared" si="0"/>
        <v>1176</v>
      </c>
      <c r="K9" s="69">
        <f t="shared" si="1"/>
        <v>0.85445288679395415</v>
      </c>
      <c r="L9" s="2" t="s">
        <v>5</v>
      </c>
      <c r="M9" s="13">
        <f t="shared" si="2"/>
        <v>2.1368429322672884E-3</v>
      </c>
      <c r="N9" s="12">
        <f t="shared" si="3"/>
        <v>1263.5420059758826</v>
      </c>
      <c r="O9" s="66" t="s">
        <v>5</v>
      </c>
      <c r="P9" s="12">
        <f t="shared" si="4"/>
        <v>20.089181674264061</v>
      </c>
      <c r="Q9" s="5">
        <f t="shared" si="5"/>
        <v>-27.032077016034826</v>
      </c>
      <c r="R9" s="9">
        <f t="shared" si="6"/>
        <v>-14.929025247131577</v>
      </c>
      <c r="S9" s="2" t="s">
        <v>5</v>
      </c>
      <c r="T9" s="14">
        <f t="shared" si="7"/>
        <v>2.5008317781979414</v>
      </c>
    </row>
    <row r="10" spans="1:20" x14ac:dyDescent="0.2">
      <c r="A10" s="156" t="s">
        <v>576</v>
      </c>
      <c r="B10" s="156" t="s">
        <v>299</v>
      </c>
      <c r="C10" s="34">
        <v>0.86632487027616134</v>
      </c>
      <c r="D10" s="34">
        <v>2.1779421002151938E-3</v>
      </c>
      <c r="E10" s="32">
        <v>1152.6871396251797</v>
      </c>
      <c r="F10" s="32">
        <v>20.194788695839829</v>
      </c>
      <c r="G10" s="36">
        <v>-26.115278543027753</v>
      </c>
      <c r="I10" s="220">
        <v>775</v>
      </c>
      <c r="J10" s="9">
        <f t="shared" si="0"/>
        <v>1175</v>
      </c>
      <c r="K10" s="69">
        <f t="shared" si="1"/>
        <v>0.86632487027616134</v>
      </c>
      <c r="L10" s="2" t="s">
        <v>5</v>
      </c>
      <c r="M10" s="13">
        <f t="shared" si="2"/>
        <v>2.1779421002151938E-3</v>
      </c>
      <c r="N10" s="12">
        <f t="shared" si="3"/>
        <v>1152.6977599994625</v>
      </c>
      <c r="O10" s="66" t="s">
        <v>5</v>
      </c>
      <c r="P10" s="12">
        <f t="shared" si="4"/>
        <v>20.194974762125415</v>
      </c>
      <c r="Q10" s="5">
        <f t="shared" si="5"/>
        <v>-26.115278543027753</v>
      </c>
      <c r="R10" s="9">
        <f t="shared" si="6"/>
        <v>-1.3630064706983136</v>
      </c>
      <c r="S10" s="2" t="s">
        <v>5</v>
      </c>
      <c r="T10" s="14">
        <f t="shared" si="7"/>
        <v>2.5140015887122389</v>
      </c>
    </row>
    <row r="11" spans="1:20" x14ac:dyDescent="0.2">
      <c r="A11" s="156" t="s">
        <v>577</v>
      </c>
      <c r="B11" s="156" t="s">
        <v>220</v>
      </c>
      <c r="C11" s="34">
        <v>0.86736534080243111</v>
      </c>
      <c r="D11" s="34">
        <v>2.1243968367620006E-3</v>
      </c>
      <c r="E11" s="32">
        <v>1143.0452512644233</v>
      </c>
      <c r="F11" s="32">
        <v>19.674665052978604</v>
      </c>
      <c r="G11" s="36">
        <v>-24.037414883757215</v>
      </c>
      <c r="I11" s="220">
        <v>776</v>
      </c>
      <c r="J11" s="9">
        <f t="shared" si="0"/>
        <v>1174</v>
      </c>
      <c r="K11" s="69">
        <f t="shared" si="1"/>
        <v>0.86736534080243111</v>
      </c>
      <c r="L11" s="2" t="s">
        <v>5</v>
      </c>
      <c r="M11" s="13">
        <f t="shared" si="2"/>
        <v>2.1243968367620006E-3</v>
      </c>
      <c r="N11" s="12">
        <f t="shared" si="3"/>
        <v>1143.0557828024039</v>
      </c>
      <c r="O11" s="66" t="s">
        <v>5</v>
      </c>
      <c r="P11" s="12">
        <f t="shared" si="4"/>
        <v>19.674846327063797</v>
      </c>
      <c r="Q11" s="5">
        <f t="shared" si="5"/>
        <v>-24.037414883757215</v>
      </c>
      <c r="R11" s="9">
        <f t="shared" si="6"/>
        <v>-0.28456264878207183</v>
      </c>
      <c r="S11" s="2" t="s">
        <v>5</v>
      </c>
      <c r="T11" s="14">
        <f t="shared" si="7"/>
        <v>2.4492526238097594</v>
      </c>
    </row>
    <row r="12" spans="1:20" x14ac:dyDescent="0.2">
      <c r="A12" s="156" t="s">
        <v>578</v>
      </c>
      <c r="B12" s="156" t="s">
        <v>221</v>
      </c>
      <c r="C12" s="34">
        <v>0.86631258802825462</v>
      </c>
      <c r="D12" s="34">
        <v>2.1681825229283454E-3</v>
      </c>
      <c r="E12" s="32">
        <v>1152.8010265643425</v>
      </c>
      <c r="F12" s="32">
        <v>20.104578850458147</v>
      </c>
      <c r="G12" s="36">
        <v>-24.556183624131812</v>
      </c>
      <c r="I12" s="220">
        <v>777</v>
      </c>
      <c r="J12" s="9">
        <f t="shared" si="0"/>
        <v>1173</v>
      </c>
      <c r="K12" s="69">
        <f t="shared" si="1"/>
        <v>0.86631258802825462</v>
      </c>
      <c r="L12" s="2" t="s">
        <v>5</v>
      </c>
      <c r="M12" s="13">
        <f t="shared" si="2"/>
        <v>2.1681825229283454E-3</v>
      </c>
      <c r="N12" s="12">
        <f t="shared" si="3"/>
        <v>1152.8116479879316</v>
      </c>
      <c r="O12" s="66" t="s">
        <v>5</v>
      </c>
      <c r="P12" s="12">
        <f t="shared" si="4"/>
        <v>20.104764085588176</v>
      </c>
      <c r="Q12" s="5">
        <f t="shared" si="5"/>
        <v>-24.556183624131812</v>
      </c>
      <c r="R12" s="9">
        <f t="shared" si="6"/>
        <v>-1.6187278984817199</v>
      </c>
      <c r="S12" s="2" t="s">
        <v>5</v>
      </c>
      <c r="T12" s="14">
        <f t="shared" si="7"/>
        <v>2.5027715779395217</v>
      </c>
    </row>
    <row r="13" spans="1:20" x14ac:dyDescent="0.2">
      <c r="A13" s="156" t="s">
        <v>579</v>
      </c>
      <c r="B13" s="156" t="s">
        <v>222</v>
      </c>
      <c r="C13" s="34">
        <v>0.86350253845034997</v>
      </c>
      <c r="D13" s="34">
        <v>2.1264435838676331E-3</v>
      </c>
      <c r="E13" s="32">
        <v>1178.8997001076286</v>
      </c>
      <c r="F13" s="32">
        <v>19.781718253568666</v>
      </c>
      <c r="G13" s="36">
        <v>-23.485100510038492</v>
      </c>
      <c r="I13" s="220">
        <v>778</v>
      </c>
      <c r="J13" s="9">
        <f t="shared" si="0"/>
        <v>1172</v>
      </c>
      <c r="K13" s="69">
        <f t="shared" si="1"/>
        <v>0.86350253845034997</v>
      </c>
      <c r="L13" s="2" t="s">
        <v>5</v>
      </c>
      <c r="M13" s="13">
        <f t="shared" si="2"/>
        <v>2.1264435838676331E-3</v>
      </c>
      <c r="N13" s="12">
        <f t="shared" si="3"/>
        <v>1178.9105619934141</v>
      </c>
      <c r="O13" s="66" t="s">
        <v>5</v>
      </c>
      <c r="P13" s="12">
        <f t="shared" si="4"/>
        <v>19.781900513997005</v>
      </c>
      <c r="Q13" s="5">
        <f t="shared" si="5"/>
        <v>-23.485100510038492</v>
      </c>
      <c r="R13" s="9">
        <f t="shared" si="6"/>
        <v>-4.9775354087027157</v>
      </c>
      <c r="S13" s="2" t="s">
        <v>5</v>
      </c>
      <c r="T13" s="14">
        <f t="shared" si="7"/>
        <v>2.4625794241251096</v>
      </c>
    </row>
    <row r="14" spans="1:20" x14ac:dyDescent="0.2">
      <c r="A14" s="156" t="s">
        <v>580</v>
      </c>
      <c r="B14" s="156" t="s">
        <v>223</v>
      </c>
      <c r="C14" s="34">
        <v>0.86401834779853115</v>
      </c>
      <c r="D14" s="34">
        <v>2.118451066922654E-3</v>
      </c>
      <c r="E14" s="32">
        <v>1174.102700576135</v>
      </c>
      <c r="F14" s="32">
        <v>19.695600994062875</v>
      </c>
      <c r="G14" s="36">
        <v>-24.890088006791601</v>
      </c>
      <c r="I14" s="220">
        <v>779</v>
      </c>
      <c r="J14" s="9">
        <f t="shared" si="0"/>
        <v>1171</v>
      </c>
      <c r="K14" s="69">
        <f t="shared" si="1"/>
        <v>0.86401834779853115</v>
      </c>
      <c r="L14" s="2" t="s">
        <v>5</v>
      </c>
      <c r="M14" s="13">
        <f t="shared" si="2"/>
        <v>2.118451066922654E-3</v>
      </c>
      <c r="N14" s="12">
        <f t="shared" si="3"/>
        <v>1174.1135182643852</v>
      </c>
      <c r="O14" s="66" t="s">
        <v>5</v>
      </c>
      <c r="P14" s="12">
        <f t="shared" si="4"/>
        <v>19.695782461043024</v>
      </c>
      <c r="Q14" s="5">
        <f t="shared" si="5"/>
        <v>-24.890088006791601</v>
      </c>
      <c r="R14" s="9">
        <f t="shared" si="6"/>
        <v>-4.5035886063833352</v>
      </c>
      <c r="S14" s="2" t="s">
        <v>5</v>
      </c>
      <c r="T14" s="14">
        <f t="shared" si="7"/>
        <v>2.4518588897103228</v>
      </c>
    </row>
    <row r="15" spans="1:20" x14ac:dyDescent="0.2">
      <c r="A15" s="156" t="s">
        <v>581</v>
      </c>
      <c r="B15" s="156" t="s">
        <v>224</v>
      </c>
      <c r="C15" s="34">
        <v>0.86599461058185478</v>
      </c>
      <c r="D15" s="34">
        <v>2.1012148685717463E-3</v>
      </c>
      <c r="E15" s="32">
        <v>1155.7500292857073</v>
      </c>
      <c r="F15" s="32">
        <v>19.490772018524673</v>
      </c>
      <c r="G15" s="36">
        <v>-25.57842338375027</v>
      </c>
      <c r="I15" s="220">
        <v>780</v>
      </c>
      <c r="J15" s="9">
        <f t="shared" si="0"/>
        <v>1170</v>
      </c>
      <c r="K15" s="69">
        <f t="shared" si="1"/>
        <v>0.86599461058185478</v>
      </c>
      <c r="L15" s="2" t="s">
        <v>5</v>
      </c>
      <c r="M15" s="13">
        <f t="shared" si="2"/>
        <v>2.1012148685717463E-3</v>
      </c>
      <c r="N15" s="12">
        <f t="shared" si="3"/>
        <v>1155.7606778801667</v>
      </c>
      <c r="O15" s="66" t="s">
        <v>5</v>
      </c>
      <c r="P15" s="12">
        <f t="shared" si="4"/>
        <v>19.490951598296824</v>
      </c>
      <c r="Q15" s="5">
        <f t="shared" si="5"/>
        <v>-25.57842338375027</v>
      </c>
      <c r="R15" s="9">
        <f t="shared" si="6"/>
        <v>-2.3472832490175621</v>
      </c>
      <c r="S15" s="2" t="s">
        <v>5</v>
      </c>
      <c r="T15" s="14">
        <f t="shared" si="7"/>
        <v>2.4263602139047462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W30" sqref="W30"/>
    </sheetView>
  </sheetViews>
  <sheetFormatPr baseColWidth="10" defaultColWidth="8.6640625" defaultRowHeight="16" x14ac:dyDescent="0.2"/>
  <cols>
    <col min="1" max="1" width="9.6640625" bestFit="1" customWidth="1"/>
    <col min="2" max="2" width="7.6640625" bestFit="1" customWidth="1"/>
    <col min="3" max="4" width="7" bestFit="1" customWidth="1"/>
    <col min="5" max="5" width="7.6640625" bestFit="1" customWidth="1"/>
    <col min="6" max="6" width="6.1640625" bestFit="1" customWidth="1"/>
    <col min="7" max="7" width="5.6640625" bestFit="1" customWidth="1"/>
    <col min="8" max="8" width="7" bestFit="1" customWidth="1"/>
    <col min="9" max="10" width="9.1640625" bestFit="1" customWidth="1"/>
    <col min="11" max="11" width="6.1640625" bestFit="1" customWidth="1"/>
    <col min="12" max="12" width="1.6640625" bestFit="1" customWidth="1"/>
    <col min="13" max="13" width="6.1640625" bestFit="1" customWidth="1"/>
    <col min="14" max="14" width="6.6640625" bestFit="1" customWidth="1"/>
    <col min="15" max="15" width="1.6640625" bestFit="1" customWidth="1"/>
    <col min="16" max="16" width="7.1640625" bestFit="1" customWidth="1"/>
    <col min="17" max="17" width="8" bestFit="1" customWidth="1"/>
    <col min="18" max="18" width="6.6640625" bestFit="1" customWidth="1"/>
    <col min="19" max="19" width="1.6640625" bestFit="1" customWidth="1"/>
    <col min="20" max="20" width="7.1640625" bestFit="1" customWidth="1"/>
    <col min="21" max="21" width="7.5" bestFit="1" customWidth="1"/>
  </cols>
  <sheetData>
    <row r="1" spans="1:21" s="225" customFormat="1" ht="14" x14ac:dyDescent="0.2"/>
    <row r="2" spans="1:21" s="225" customFormat="1" ht="14" x14ac:dyDescent="0.2"/>
    <row r="3" spans="1:21" s="226" customFormat="1" ht="14" x14ac:dyDescent="0.2"/>
    <row r="4" spans="1:21" s="60" customFormat="1" ht="42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I4" s="210" t="s">
        <v>17</v>
      </c>
      <c r="J4" s="211" t="s">
        <v>15</v>
      </c>
      <c r="K4" s="345" t="s">
        <v>1</v>
      </c>
      <c r="L4" s="345"/>
      <c r="M4" s="345"/>
      <c r="N4" s="345" t="s">
        <v>2</v>
      </c>
      <c r="O4" s="345"/>
      <c r="P4" s="345"/>
      <c r="Q4" s="210" t="s">
        <v>3</v>
      </c>
      <c r="R4" s="346" t="s">
        <v>16</v>
      </c>
      <c r="S4" s="345"/>
      <c r="T4" s="345"/>
    </row>
    <row r="5" spans="1:21" s="154" customFormat="1" x14ac:dyDescent="0.2">
      <c r="A5" s="156" t="s">
        <v>413</v>
      </c>
      <c r="B5" s="156" t="s">
        <v>216</v>
      </c>
      <c r="C5" s="34">
        <v>0.8468311412424917</v>
      </c>
      <c r="D5" s="34">
        <v>1.9509334664297323E-3</v>
      </c>
      <c r="E5" s="32">
        <v>1335.5057976142866</v>
      </c>
      <c r="F5" s="32">
        <v>18.506291727000505</v>
      </c>
      <c r="G5" s="36">
        <v>-22.255533748034683</v>
      </c>
      <c r="I5" s="220">
        <v>770</v>
      </c>
      <c r="J5" s="9">
        <f>1950-I5</f>
        <v>1180</v>
      </c>
      <c r="K5" s="69">
        <f>C5</f>
        <v>0.8468311412424917</v>
      </c>
      <c r="L5" s="2" t="s">
        <v>5</v>
      </c>
      <c r="M5" s="13">
        <f>D5</f>
        <v>1.9509334664297323E-3</v>
      </c>
      <c r="N5" s="12">
        <f>-8033*LN(K5)</f>
        <v>1335.5181024027586</v>
      </c>
      <c r="O5" s="66" t="s">
        <v>5</v>
      </c>
      <c r="P5" s="12">
        <f>M5/K5*8033</f>
        <v>18.506462236185499</v>
      </c>
      <c r="Q5" s="5">
        <f>G5</f>
        <v>-22.255533748034683</v>
      </c>
      <c r="R5" s="9">
        <f>(EXP(J5/8267)*EXP(-N5/8033)-1)*1000</f>
        <v>-23.243397298318371</v>
      </c>
      <c r="S5" s="2" t="s">
        <v>5</v>
      </c>
      <c r="T5" s="14">
        <f t="shared" ref="T5:T18" si="0">P5/8.033</f>
        <v>2.3038045856075562</v>
      </c>
      <c r="U5" s="154">
        <f>1/M5^2</f>
        <v>262733.2769383986</v>
      </c>
    </row>
    <row r="6" spans="1:21" s="154" customFormat="1" x14ac:dyDescent="0.2">
      <c r="A6" s="156" t="s">
        <v>414</v>
      </c>
      <c r="B6" s="156" t="s">
        <v>217</v>
      </c>
      <c r="C6" s="34">
        <v>0.84926941702139802</v>
      </c>
      <c r="D6" s="34">
        <v>1.9463916724896523E-3</v>
      </c>
      <c r="E6" s="32">
        <v>1312.4098764820876</v>
      </c>
      <c r="F6" s="32">
        <v>18.410200503399231</v>
      </c>
      <c r="G6" s="36">
        <v>-21.334716000559585</v>
      </c>
      <c r="I6" s="220">
        <v>771</v>
      </c>
      <c r="J6" s="9">
        <f t="shared" ref="J6:J18" si="1">1950-I6</f>
        <v>1179</v>
      </c>
      <c r="K6" s="69">
        <f t="shared" ref="K6:K18" si="2">C6</f>
        <v>0.84926941702139802</v>
      </c>
      <c r="L6" s="2" t="s">
        <v>5</v>
      </c>
      <c r="M6" s="13">
        <f t="shared" ref="M6:M18" si="3">D6</f>
        <v>1.9463916724896523E-3</v>
      </c>
      <c r="N6" s="12">
        <f t="shared" ref="N6:N18" si="4">-8033*LN(K6)</f>
        <v>1312.4219684744603</v>
      </c>
      <c r="O6" s="66" t="s">
        <v>5</v>
      </c>
      <c r="P6" s="12">
        <f t="shared" ref="P6:P18" si="5">M6/K6*8033</f>
        <v>18.410370127240117</v>
      </c>
      <c r="Q6" s="5">
        <f t="shared" ref="Q6:Q18" si="6">G6</f>
        <v>-21.334716000559585</v>
      </c>
      <c r="R6" s="9">
        <f t="shared" ref="R6:R18" si="7">(EXP(J6/8267)*EXP(-N6/8033)-1)*1000</f>
        <v>-20.549512227198143</v>
      </c>
      <c r="S6" s="2" t="s">
        <v>5</v>
      </c>
      <c r="T6" s="14">
        <f t="shared" si="0"/>
        <v>2.2918424159392652</v>
      </c>
      <c r="U6" s="154">
        <f>1/M6^2</f>
        <v>263960.85373891646</v>
      </c>
    </row>
    <row r="7" spans="1:21" s="154" customFormat="1" x14ac:dyDescent="0.2">
      <c r="A7" s="156" t="s">
        <v>415</v>
      </c>
      <c r="B7" s="156" t="s">
        <v>218</v>
      </c>
      <c r="C7" s="34">
        <v>0.84800823101938239</v>
      </c>
      <c r="D7" s="34">
        <v>1.9386706037853381E-3</v>
      </c>
      <c r="E7" s="32">
        <v>1324.347835704707</v>
      </c>
      <c r="F7" s="32">
        <v>18.364441411846329</v>
      </c>
      <c r="G7" s="36">
        <v>-21.217196052127797</v>
      </c>
      <c r="I7" s="220">
        <v>772</v>
      </c>
      <c r="J7" s="9">
        <f t="shared" si="1"/>
        <v>1178</v>
      </c>
      <c r="K7" s="69">
        <f t="shared" si="2"/>
        <v>0.84800823101938239</v>
      </c>
      <c r="L7" s="2" t="s">
        <v>5</v>
      </c>
      <c r="M7" s="13">
        <f t="shared" si="3"/>
        <v>1.9386706037853381E-3</v>
      </c>
      <c r="N7" s="12">
        <f t="shared" si="4"/>
        <v>1324.3600376884131</v>
      </c>
      <c r="O7" s="66" t="s">
        <v>5</v>
      </c>
      <c r="P7" s="12">
        <f t="shared" si="5"/>
        <v>18.364610614082203</v>
      </c>
      <c r="Q7" s="5">
        <f t="shared" si="6"/>
        <v>-21.217196052127797</v>
      </c>
      <c r="R7" s="9">
        <f t="shared" si="7"/>
        <v>-22.122314366011754</v>
      </c>
      <c r="S7" s="2" t="s">
        <v>5</v>
      </c>
      <c r="T7" s="14">
        <f t="shared" si="0"/>
        <v>2.2861459746149886</v>
      </c>
      <c r="U7" s="154">
        <f t="shared" ref="U7:U18" si="8">1/M7^2</f>
        <v>266067.57401854155</v>
      </c>
    </row>
    <row r="8" spans="1:21" s="154" customFormat="1" x14ac:dyDescent="0.2">
      <c r="A8" s="156" t="s">
        <v>416</v>
      </c>
      <c r="B8" s="156" t="s">
        <v>403</v>
      </c>
      <c r="C8" s="34">
        <v>0.85122089481155205</v>
      </c>
      <c r="D8" s="34">
        <v>1.9616392459400941E-3</v>
      </c>
      <c r="E8" s="32">
        <v>1293.9727428763922</v>
      </c>
      <c r="F8" s="32">
        <v>18.511884487141767</v>
      </c>
      <c r="G8" s="36">
        <v>-20.626513038705774</v>
      </c>
      <c r="I8" s="220">
        <v>772.8</v>
      </c>
      <c r="J8" s="9">
        <f t="shared" si="1"/>
        <v>1177.2</v>
      </c>
      <c r="K8" s="69">
        <f t="shared" si="2"/>
        <v>0.85122089481155205</v>
      </c>
      <c r="L8" s="2" t="s">
        <v>5</v>
      </c>
      <c r="M8" s="13">
        <f t="shared" si="3"/>
        <v>1.9616392459400941E-3</v>
      </c>
      <c r="N8" s="12">
        <f t="shared" si="4"/>
        <v>1293.9846649967737</v>
      </c>
      <c r="O8" s="66" t="s">
        <v>5</v>
      </c>
      <c r="P8" s="12">
        <f t="shared" si="5"/>
        <v>18.512055047856094</v>
      </c>
      <c r="Q8" s="5">
        <f t="shared" si="6"/>
        <v>-20.626513038705774</v>
      </c>
      <c r="R8" s="9">
        <f t="shared" si="7"/>
        <v>-18.512625917144867</v>
      </c>
      <c r="S8" s="2" t="s">
        <v>5</v>
      </c>
      <c r="T8" s="14">
        <f t="shared" si="0"/>
        <v>2.3045008151196433</v>
      </c>
      <c r="U8" s="154">
        <f t="shared" si="8"/>
        <v>259873.33302981619</v>
      </c>
    </row>
    <row r="9" spans="1:21" s="154" customFormat="1" x14ac:dyDescent="0.2">
      <c r="A9" s="156" t="s">
        <v>417</v>
      </c>
      <c r="B9" s="156" t="s">
        <v>405</v>
      </c>
      <c r="C9" s="34">
        <v>0.85076190718042266</v>
      </c>
      <c r="D9" s="34">
        <v>1.9970737244240223E-3</v>
      </c>
      <c r="E9" s="32">
        <v>1298.3053527656762</v>
      </c>
      <c r="F9" s="32">
        <v>18.856445364420328</v>
      </c>
      <c r="G9" s="36">
        <v>-21.412878577917517</v>
      </c>
      <c r="I9" s="220">
        <v>773.2</v>
      </c>
      <c r="J9" s="9">
        <f t="shared" si="1"/>
        <v>1176.8</v>
      </c>
      <c r="K9" s="69">
        <f t="shared" si="2"/>
        <v>0.85076190718042266</v>
      </c>
      <c r="L9" s="2" t="s">
        <v>5</v>
      </c>
      <c r="M9" s="13">
        <f t="shared" si="3"/>
        <v>1.9970737244240223E-3</v>
      </c>
      <c r="N9" s="12">
        <f t="shared" si="4"/>
        <v>1298.3173148049025</v>
      </c>
      <c r="O9" s="66" t="s">
        <v>5</v>
      </c>
      <c r="P9" s="12">
        <f t="shared" si="5"/>
        <v>18.856619099773599</v>
      </c>
      <c r="Q9" s="5">
        <f t="shared" si="6"/>
        <v>-21.412878577917517</v>
      </c>
      <c r="R9" s="9">
        <f t="shared" si="7"/>
        <v>-19.089317315487353</v>
      </c>
      <c r="S9" s="2" t="s">
        <v>5</v>
      </c>
      <c r="T9" s="14">
        <f t="shared" si="0"/>
        <v>2.3473943856309725</v>
      </c>
      <c r="U9" s="154">
        <f t="shared" si="8"/>
        <v>250733.17761111778</v>
      </c>
    </row>
    <row r="10" spans="1:21" s="154" customFormat="1" x14ac:dyDescent="0.2">
      <c r="A10" s="156" t="s">
        <v>418</v>
      </c>
      <c r="B10" s="156" t="s">
        <v>419</v>
      </c>
      <c r="C10" s="34">
        <v>0.85307360463781523</v>
      </c>
      <c r="D10" s="34">
        <v>1.9482001144723686E-3</v>
      </c>
      <c r="E10" s="32">
        <v>1276.5078190865661</v>
      </c>
      <c r="F10" s="32">
        <v>18.345131351255432</v>
      </c>
      <c r="G10" s="36">
        <v>-21.381402489442426</v>
      </c>
      <c r="I10" s="220">
        <v>773.8</v>
      </c>
      <c r="J10" s="9">
        <f t="shared" si="1"/>
        <v>1176.2</v>
      </c>
      <c r="K10" s="69">
        <f t="shared" si="2"/>
        <v>0.85307360463781523</v>
      </c>
      <c r="L10" s="2" t="s">
        <v>5</v>
      </c>
      <c r="M10" s="13">
        <f t="shared" si="3"/>
        <v>1.9482001144723686E-3</v>
      </c>
      <c r="N10" s="12">
        <f t="shared" si="4"/>
        <v>1276.5195802924886</v>
      </c>
      <c r="O10" s="66" t="s">
        <v>5</v>
      </c>
      <c r="P10" s="12">
        <f t="shared" si="5"/>
        <v>18.345300375576532</v>
      </c>
      <c r="Q10" s="5">
        <f t="shared" si="6"/>
        <v>-21.381402489442426</v>
      </c>
      <c r="R10" s="9">
        <f t="shared" si="7"/>
        <v>-16.495361616662318</v>
      </c>
      <c r="S10" s="2" t="s">
        <v>5</v>
      </c>
      <c r="T10" s="14">
        <f t="shared" si="0"/>
        <v>2.2837421107402629</v>
      </c>
      <c r="U10" s="154">
        <f t="shared" si="8"/>
        <v>263471.03102580854</v>
      </c>
    </row>
    <row r="11" spans="1:21" s="154" customFormat="1" x14ac:dyDescent="0.2">
      <c r="A11" s="156" t="s">
        <v>420</v>
      </c>
      <c r="B11" s="156" t="s">
        <v>421</v>
      </c>
      <c r="C11" s="34">
        <v>0.85591981058622368</v>
      </c>
      <c r="D11" s="34">
        <v>1.9610723534055426E-3</v>
      </c>
      <c r="E11" s="32">
        <v>1249.7512702726672</v>
      </c>
      <c r="F11" s="32">
        <v>18.404935692784459</v>
      </c>
      <c r="G11" s="36">
        <v>-21.868919950341347</v>
      </c>
      <c r="I11" s="220">
        <v>774.2</v>
      </c>
      <c r="J11" s="9">
        <f t="shared" si="1"/>
        <v>1175.8</v>
      </c>
      <c r="K11" s="69">
        <f t="shared" si="2"/>
        <v>0.85591981058622368</v>
      </c>
      <c r="L11" s="2" t="s">
        <v>5</v>
      </c>
      <c r="M11" s="13">
        <f t="shared" si="3"/>
        <v>1.9610723534055426E-3</v>
      </c>
      <c r="N11" s="12">
        <f t="shared" si="4"/>
        <v>1249.7627849550076</v>
      </c>
      <c r="O11" s="66" t="s">
        <v>5</v>
      </c>
      <c r="P11" s="12">
        <f t="shared" si="5"/>
        <v>18.405105268117598</v>
      </c>
      <c r="Q11" s="5">
        <f t="shared" si="6"/>
        <v>-21.868919950341347</v>
      </c>
      <c r="R11" s="9">
        <f t="shared" si="7"/>
        <v>-13.261728488978664</v>
      </c>
      <c r="S11" s="2" t="s">
        <v>5</v>
      </c>
      <c r="T11" s="14">
        <f t="shared" si="0"/>
        <v>2.2911870120898294</v>
      </c>
      <c r="U11" s="154">
        <f t="shared" si="8"/>
        <v>260023.59933212918</v>
      </c>
    </row>
    <row r="12" spans="1:21" s="154" customFormat="1" x14ac:dyDescent="0.2">
      <c r="A12" s="156" t="s">
        <v>422</v>
      </c>
      <c r="B12" s="156" t="s">
        <v>423</v>
      </c>
      <c r="C12" s="34">
        <v>0.86424310196313614</v>
      </c>
      <c r="D12" s="34">
        <v>1.9847472731947991E-3</v>
      </c>
      <c r="E12" s="32">
        <v>1172.0133944932002</v>
      </c>
      <c r="F12" s="32">
        <v>18.447735265972295</v>
      </c>
      <c r="G12" s="36">
        <v>-22.255530995948568</v>
      </c>
      <c r="I12" s="220">
        <v>774.8</v>
      </c>
      <c r="J12" s="9">
        <f t="shared" si="1"/>
        <v>1175.2</v>
      </c>
      <c r="K12" s="69">
        <f t="shared" si="2"/>
        <v>0.86424310196313614</v>
      </c>
      <c r="L12" s="2" t="s">
        <v>5</v>
      </c>
      <c r="M12" s="13">
        <f t="shared" si="3"/>
        <v>1.9847472731947991E-3</v>
      </c>
      <c r="N12" s="12">
        <f t="shared" si="4"/>
        <v>1172.0241929314632</v>
      </c>
      <c r="O12" s="66" t="s">
        <v>5</v>
      </c>
      <c r="P12" s="12">
        <f t="shared" si="5"/>
        <v>18.44790523564269</v>
      </c>
      <c r="Q12" s="5">
        <f t="shared" si="6"/>
        <v>-22.255530995948568</v>
      </c>
      <c r="R12" s="9">
        <f t="shared" si="7"/>
        <v>-3.7386174005650252</v>
      </c>
      <c r="S12" s="2" t="s">
        <v>5</v>
      </c>
      <c r="T12" s="14">
        <f t="shared" si="0"/>
        <v>2.2965150299567649</v>
      </c>
      <c r="U12" s="154">
        <f t="shared" si="8"/>
        <v>253857.25059295975</v>
      </c>
    </row>
    <row r="13" spans="1:21" s="154" customFormat="1" x14ac:dyDescent="0.2">
      <c r="A13" s="156" t="s">
        <v>424</v>
      </c>
      <c r="B13" s="156" t="s">
        <v>425</v>
      </c>
      <c r="C13" s="34">
        <v>0.86329509294486029</v>
      </c>
      <c r="D13" s="34">
        <v>1.9530440130157596E-3</v>
      </c>
      <c r="E13" s="32">
        <v>1180.8297402812557</v>
      </c>
      <c r="F13" s="32">
        <v>18.17299569530179</v>
      </c>
      <c r="G13" s="36">
        <v>-21.626061671496277</v>
      </c>
      <c r="I13" s="220">
        <v>775.2</v>
      </c>
      <c r="J13" s="9">
        <f t="shared" si="1"/>
        <v>1174.8</v>
      </c>
      <c r="K13" s="69">
        <f t="shared" si="2"/>
        <v>0.86329509294486029</v>
      </c>
      <c r="L13" s="2" t="s">
        <v>5</v>
      </c>
      <c r="M13" s="13">
        <f t="shared" si="3"/>
        <v>1.9530440130157596E-3</v>
      </c>
      <c r="N13" s="12">
        <f t="shared" si="4"/>
        <v>1180.8406199496192</v>
      </c>
      <c r="O13" s="66" t="s">
        <v>5</v>
      </c>
      <c r="P13" s="12">
        <f t="shared" si="5"/>
        <v>18.173163133637388</v>
      </c>
      <c r="Q13" s="5">
        <f t="shared" si="6"/>
        <v>-21.626061671496277</v>
      </c>
      <c r="R13" s="9">
        <f t="shared" si="7"/>
        <v>-4.8795906529670585</v>
      </c>
      <c r="S13" s="2" t="s">
        <v>5</v>
      </c>
      <c r="T13" s="14">
        <f t="shared" si="0"/>
        <v>2.2623133491394731</v>
      </c>
      <c r="U13" s="154">
        <f t="shared" si="8"/>
        <v>262165.7411302902</v>
      </c>
    </row>
    <row r="14" spans="1:21" s="154" customFormat="1" x14ac:dyDescent="0.2">
      <c r="A14" s="156" t="s">
        <v>426</v>
      </c>
      <c r="B14" s="156" t="s">
        <v>220</v>
      </c>
      <c r="C14" s="34">
        <v>0.863970361197821</v>
      </c>
      <c r="D14" s="34">
        <v>1.9716388000402736E-3</v>
      </c>
      <c r="E14" s="32">
        <v>1174.5488525793426</v>
      </c>
      <c r="F14" s="32">
        <v>18.331680422271173</v>
      </c>
      <c r="G14" s="36">
        <v>-20.348174218508763</v>
      </c>
      <c r="I14" s="220">
        <v>776</v>
      </c>
      <c r="J14" s="9">
        <f t="shared" si="1"/>
        <v>1174</v>
      </c>
      <c r="K14" s="69">
        <f t="shared" si="2"/>
        <v>0.863970361197821</v>
      </c>
      <c r="L14" s="2" t="s">
        <v>5</v>
      </c>
      <c r="M14" s="13">
        <f t="shared" si="3"/>
        <v>1.9716388000402736E-3</v>
      </c>
      <c r="N14" s="12">
        <f t="shared" si="4"/>
        <v>1174.5596743782494</v>
      </c>
      <c r="O14" s="66" t="s">
        <v>5</v>
      </c>
      <c r="P14" s="12">
        <f t="shared" si="5"/>
        <v>18.331849322661075</v>
      </c>
      <c r="Q14" s="5">
        <f t="shared" si="6"/>
        <v>-20.348174218508763</v>
      </c>
      <c r="R14" s="9">
        <f t="shared" si="7"/>
        <v>-4.1975775694398365</v>
      </c>
      <c r="S14" s="2" t="s">
        <v>5</v>
      </c>
      <c r="T14" s="14">
        <f t="shared" si="0"/>
        <v>2.2820676363327617</v>
      </c>
      <c r="U14" s="154">
        <f t="shared" si="8"/>
        <v>257244.02004112498</v>
      </c>
    </row>
    <row r="15" spans="1:21" s="154" customFormat="1" x14ac:dyDescent="0.2">
      <c r="A15" s="156" t="s">
        <v>427</v>
      </c>
      <c r="B15" s="156" t="s">
        <v>221</v>
      </c>
      <c r="C15" s="34">
        <v>0.86607440809844372</v>
      </c>
      <c r="D15" s="34">
        <v>1.9891815259182911E-3</v>
      </c>
      <c r="E15" s="32">
        <v>1155.0098653103398</v>
      </c>
      <c r="F15" s="32">
        <v>18.449855838001234</v>
      </c>
      <c r="G15" s="36">
        <v>-20.812594677659725</v>
      </c>
      <c r="I15" s="220">
        <v>777</v>
      </c>
      <c r="J15" s="9">
        <f t="shared" si="1"/>
        <v>1173</v>
      </c>
      <c r="K15" s="69">
        <f t="shared" si="2"/>
        <v>0.86607440809844372</v>
      </c>
      <c r="L15" s="2" t="s">
        <v>5</v>
      </c>
      <c r="M15" s="13">
        <f t="shared" si="3"/>
        <v>1.9891815259182911E-3</v>
      </c>
      <c r="N15" s="12">
        <f t="shared" si="4"/>
        <v>1155.0205070852398</v>
      </c>
      <c r="O15" s="66" t="s">
        <v>5</v>
      </c>
      <c r="P15" s="12">
        <f t="shared" si="5"/>
        <v>18.450025827209689</v>
      </c>
      <c r="Q15" s="5">
        <f t="shared" si="6"/>
        <v>-20.812594677659725</v>
      </c>
      <c r="R15" s="9">
        <f t="shared" si="7"/>
        <v>-1.893218174393474</v>
      </c>
      <c r="S15" s="2" t="s">
        <v>5</v>
      </c>
      <c r="T15" s="14">
        <f t="shared" si="0"/>
        <v>2.2967790149644829</v>
      </c>
      <c r="U15" s="154">
        <f t="shared" si="8"/>
        <v>252726.72275505358</v>
      </c>
    </row>
    <row r="16" spans="1:21" s="154" customFormat="1" x14ac:dyDescent="0.2">
      <c r="A16" s="156" t="s">
        <v>428</v>
      </c>
      <c r="B16" s="156" t="s">
        <v>222</v>
      </c>
      <c r="C16" s="34">
        <v>0.86244509206814135</v>
      </c>
      <c r="D16" s="34">
        <v>1.9957720539627269E-3</v>
      </c>
      <c r="E16" s="32">
        <v>1188.7428603950118</v>
      </c>
      <c r="F16" s="32">
        <v>18.588881014972088</v>
      </c>
      <c r="G16" s="36">
        <v>-20.106735612568482</v>
      </c>
      <c r="I16" s="220">
        <v>778</v>
      </c>
      <c r="J16" s="9">
        <f t="shared" si="1"/>
        <v>1172</v>
      </c>
      <c r="K16" s="69">
        <f t="shared" si="2"/>
        <v>0.86244509206814135</v>
      </c>
      <c r="L16" s="2" t="s">
        <v>5</v>
      </c>
      <c r="M16" s="13">
        <f t="shared" si="3"/>
        <v>1.9957720539627269E-3</v>
      </c>
      <c r="N16" s="12">
        <f t="shared" si="4"/>
        <v>1188.7538129715342</v>
      </c>
      <c r="O16" s="66" t="s">
        <v>5</v>
      </c>
      <c r="P16" s="12">
        <f t="shared" si="5"/>
        <v>18.589052285100028</v>
      </c>
      <c r="Q16" s="5">
        <f t="shared" si="6"/>
        <v>-20.106735612568482</v>
      </c>
      <c r="R16" s="9">
        <f t="shared" si="7"/>
        <v>-6.1960412712177559</v>
      </c>
      <c r="S16" s="2" t="s">
        <v>5</v>
      </c>
      <c r="T16" s="14">
        <f t="shared" si="0"/>
        <v>2.3140859311714217</v>
      </c>
      <c r="U16" s="154">
        <f t="shared" si="8"/>
        <v>251060.34764288383</v>
      </c>
    </row>
    <row r="17" spans="1:21" s="154" customFormat="1" x14ac:dyDescent="0.2">
      <c r="A17" s="156" t="s">
        <v>429</v>
      </c>
      <c r="B17" s="156" t="s">
        <v>223</v>
      </c>
      <c r="C17" s="34">
        <v>0.86366217864706019</v>
      </c>
      <c r="D17" s="34">
        <v>1.9767306408623058E-3</v>
      </c>
      <c r="E17" s="32">
        <v>1177.4147486425595</v>
      </c>
      <c r="F17" s="32">
        <v>18.385580993176401</v>
      </c>
      <c r="G17" s="36">
        <v>-19.878677469631011</v>
      </c>
      <c r="I17" s="220">
        <v>779</v>
      </c>
      <c r="J17" s="9">
        <f t="shared" si="1"/>
        <v>1171</v>
      </c>
      <c r="K17" s="69">
        <f t="shared" si="2"/>
        <v>0.86366217864706019</v>
      </c>
      <c r="L17" s="2" t="s">
        <v>5</v>
      </c>
      <c r="M17" s="13">
        <f t="shared" si="3"/>
        <v>1.9767306408623058E-3</v>
      </c>
      <c r="N17" s="12">
        <f t="shared" si="4"/>
        <v>1177.4255968466271</v>
      </c>
      <c r="O17" s="66" t="s">
        <v>5</v>
      </c>
      <c r="P17" s="12">
        <f t="shared" si="5"/>
        <v>18.385750390183482</v>
      </c>
      <c r="Q17" s="5">
        <f t="shared" si="6"/>
        <v>-19.878677469631011</v>
      </c>
      <c r="R17" s="9">
        <f t="shared" si="7"/>
        <v>-4.9139561790649822</v>
      </c>
      <c r="S17" s="2" t="s">
        <v>5</v>
      </c>
      <c r="T17" s="14">
        <f t="shared" si="0"/>
        <v>2.2887775912091972</v>
      </c>
      <c r="U17" s="154">
        <f t="shared" si="8"/>
        <v>255920.4622773212</v>
      </c>
    </row>
    <row r="18" spans="1:21" s="154" customFormat="1" x14ac:dyDescent="0.2">
      <c r="A18" s="156" t="s">
        <v>430</v>
      </c>
      <c r="B18" s="156" t="s">
        <v>224</v>
      </c>
      <c r="C18" s="34">
        <v>0.86064544040388447</v>
      </c>
      <c r="D18" s="34">
        <v>1.9739879687352005E-3</v>
      </c>
      <c r="E18" s="32">
        <v>1205.5225636169669</v>
      </c>
      <c r="F18" s="32">
        <v>18.424427191075321</v>
      </c>
      <c r="G18" s="36">
        <v>-20.386705085684078</v>
      </c>
      <c r="I18" s="220">
        <v>780</v>
      </c>
      <c r="J18" s="9">
        <f t="shared" si="1"/>
        <v>1170</v>
      </c>
      <c r="K18" s="69">
        <f t="shared" si="2"/>
        <v>0.86064544040388447</v>
      </c>
      <c r="L18" s="2" t="s">
        <v>5</v>
      </c>
      <c r="M18" s="13">
        <f t="shared" si="3"/>
        <v>1.9739879687352005E-3</v>
      </c>
      <c r="N18" s="12">
        <f t="shared" si="4"/>
        <v>1205.5336707946144</v>
      </c>
      <c r="O18" s="66" t="s">
        <v>5</v>
      </c>
      <c r="P18" s="12">
        <f t="shared" si="5"/>
        <v>18.424596945994924</v>
      </c>
      <c r="Q18" s="5">
        <f t="shared" si="6"/>
        <v>-20.386705085684078</v>
      </c>
      <c r="R18" s="9">
        <f t="shared" si="7"/>
        <v>-8.5096936095505615</v>
      </c>
      <c r="S18" s="2" t="s">
        <v>5</v>
      </c>
      <c r="T18" s="14">
        <f t="shared" si="0"/>
        <v>2.2936134627156637</v>
      </c>
      <c r="U18" s="154">
        <f t="shared" si="8"/>
        <v>256632.11153371478</v>
      </c>
    </row>
    <row r="19" spans="1:21" x14ac:dyDescent="0.2">
      <c r="I19" s="62"/>
      <c r="K19" s="34"/>
      <c r="L19" s="2"/>
      <c r="M19" s="13"/>
      <c r="N19" s="12"/>
      <c r="O19" s="66"/>
      <c r="P19" s="12"/>
      <c r="Q19" s="5"/>
      <c r="R19" s="9"/>
      <c r="S19" s="2"/>
      <c r="T19" s="14"/>
    </row>
    <row r="20" spans="1:21" x14ac:dyDescent="0.2">
      <c r="I20" s="62"/>
      <c r="K20" s="34"/>
      <c r="L20" s="2"/>
      <c r="M20" s="13"/>
      <c r="N20" s="12"/>
      <c r="O20" s="66"/>
      <c r="P20" s="12"/>
      <c r="Q20" s="5"/>
      <c r="R20" s="9"/>
      <c r="S20" s="2"/>
      <c r="T20" s="14"/>
    </row>
    <row r="21" spans="1:21" x14ac:dyDescent="0.2">
      <c r="I21" s="283" t="s">
        <v>330</v>
      </c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284"/>
    </row>
    <row r="22" spans="1:21" x14ac:dyDescent="0.2">
      <c r="I22" s="284" t="s">
        <v>17</v>
      </c>
      <c r="J22" s="284" t="s">
        <v>15</v>
      </c>
      <c r="K22" s="284" t="s">
        <v>1</v>
      </c>
      <c r="L22" s="284"/>
      <c r="M22" s="284"/>
      <c r="N22" s="284" t="s">
        <v>2</v>
      </c>
      <c r="O22" s="284"/>
      <c r="P22" s="284"/>
      <c r="Q22" s="284" t="s">
        <v>3</v>
      </c>
      <c r="R22" s="284" t="s">
        <v>16</v>
      </c>
      <c r="S22" s="284"/>
      <c r="T22" s="284"/>
    </row>
    <row r="23" spans="1:21" x14ac:dyDescent="0.2">
      <c r="I23" s="284">
        <v>770</v>
      </c>
      <c r="J23" s="284">
        <f>1950-I23</f>
        <v>1180</v>
      </c>
      <c r="K23" s="284">
        <v>0.8468311412424917</v>
      </c>
      <c r="L23" s="284" t="s">
        <v>5</v>
      </c>
      <c r="M23" s="284">
        <v>1.9509334664297323E-3</v>
      </c>
      <c r="N23" s="284">
        <v>1335.5181024027586</v>
      </c>
      <c r="O23" s="284" t="s">
        <v>5</v>
      </c>
      <c r="P23" s="284">
        <v>18.506462236185499</v>
      </c>
      <c r="Q23" s="284">
        <v>-22.255533748034683</v>
      </c>
      <c r="R23" s="284">
        <v>-23.243397298318371</v>
      </c>
      <c r="S23" s="284" t="s">
        <v>5</v>
      </c>
      <c r="T23" s="284">
        <v>2.3038045856075562</v>
      </c>
    </row>
    <row r="24" spans="1:21" x14ac:dyDescent="0.2">
      <c r="I24" s="284">
        <v>771</v>
      </c>
      <c r="J24" s="284">
        <f>1950-I24</f>
        <v>1179</v>
      </c>
      <c r="K24" s="284">
        <v>0.84926941702139802</v>
      </c>
      <c r="L24" s="284" t="s">
        <v>5</v>
      </c>
      <c r="M24" s="284">
        <v>1.9463916724896523E-3</v>
      </c>
      <c r="N24" s="284">
        <v>1312.4219684744603</v>
      </c>
      <c r="O24" s="284" t="s">
        <v>5</v>
      </c>
      <c r="P24" s="284">
        <v>18.410370127240117</v>
      </c>
      <c r="Q24" s="284">
        <v>-21.334716000559585</v>
      </c>
      <c r="R24" s="284">
        <v>-20.549512227198143</v>
      </c>
      <c r="S24" s="284" t="s">
        <v>5</v>
      </c>
      <c r="T24" s="284">
        <v>2.2918424159392652</v>
      </c>
    </row>
    <row r="25" spans="1:21" x14ac:dyDescent="0.2">
      <c r="I25" s="284">
        <v>772</v>
      </c>
      <c r="J25" s="284">
        <f>1950-I25</f>
        <v>1178</v>
      </c>
      <c r="K25" s="284">
        <v>0.84800823101938205</v>
      </c>
      <c r="L25" s="284" t="s">
        <v>5</v>
      </c>
      <c r="M25" s="284">
        <v>1.9386706037853381E-3</v>
      </c>
      <c r="N25" s="288">
        <v>1324.3600376884131</v>
      </c>
      <c r="O25" s="343" t="s">
        <v>5</v>
      </c>
      <c r="P25" s="288">
        <v>18.364610614082203</v>
      </c>
      <c r="Q25" s="343">
        <v>-21.2171960521278</v>
      </c>
      <c r="R25" s="289">
        <v>-22.122314366011754</v>
      </c>
      <c r="S25" s="343" t="s">
        <v>5</v>
      </c>
      <c r="T25" s="289">
        <v>2.2861459746149886</v>
      </c>
    </row>
    <row r="26" spans="1:21" x14ac:dyDescent="0.2">
      <c r="I26" s="284">
        <v>773</v>
      </c>
      <c r="J26" s="284">
        <f>1950-I26</f>
        <v>1177</v>
      </c>
      <c r="K26" s="284">
        <f>(K8*U8+K9*U9)/(U8+U9)</f>
        <v>0.85099550906961763</v>
      </c>
      <c r="L26" s="284" t="s">
        <v>5</v>
      </c>
      <c r="M26" s="284">
        <f>1/SQRT(U8+U9)</f>
        <v>1.3994481938115319E-3</v>
      </c>
      <c r="N26" s="288">
        <f>-8033*LN(K26)</f>
        <v>1296.111919406274</v>
      </c>
      <c r="O26" s="343" t="s">
        <v>5</v>
      </c>
      <c r="P26" s="288">
        <f>M26/K26*8033</f>
        <v>13.21013709364755</v>
      </c>
      <c r="Q26" s="343">
        <f>(R8*U8+R9*U9)/(U9+U8)</f>
        <v>-18.795810059520779</v>
      </c>
      <c r="R26" s="289">
        <f>(EXP(J26/8267)*EXP(-N26/8033)-1)*1000</f>
        <v>-18.796241667449308</v>
      </c>
      <c r="S26" s="343" t="s">
        <v>5</v>
      </c>
      <c r="T26" s="289">
        <f>P26/8.033</f>
        <v>1.6444836416839974</v>
      </c>
    </row>
    <row r="27" spans="1:21" x14ac:dyDescent="0.2">
      <c r="I27" s="284">
        <v>774</v>
      </c>
      <c r="J27" s="284">
        <f t="shared" ref="J27:J33" si="9">1950-I27</f>
        <v>1176</v>
      </c>
      <c r="K27" s="284">
        <f>(K10*U10+K11*U11)/(U10+U11)</f>
        <v>0.85448733588208725</v>
      </c>
      <c r="L27" s="284" t="s">
        <v>5</v>
      </c>
      <c r="M27" s="284">
        <f>1/SQRT(U10+U11)</f>
        <v>1.382114057869713E-3</v>
      </c>
      <c r="N27" s="288">
        <f>-8033*LN(K27)</f>
        <v>1263.2181449989582</v>
      </c>
      <c r="O27" s="343" t="s">
        <v>5</v>
      </c>
      <c r="P27" s="288">
        <f>M27/K27*8033</f>
        <v>12.993196927144943</v>
      </c>
      <c r="Q27" s="343">
        <f>(R10*U10+R11*U11)/(U10+U11)</f>
        <v>-14.889192467983552</v>
      </c>
      <c r="R27" s="289">
        <f>(EXP(J27/8267)*EXP(-N27/8033)-1)*1000</f>
        <v>-14.889310012563218</v>
      </c>
      <c r="S27" s="343" t="s">
        <v>5</v>
      </c>
      <c r="T27" s="289">
        <f>P27/8.033</f>
        <v>1.6174775211185042</v>
      </c>
    </row>
    <row r="28" spans="1:21" x14ac:dyDescent="0.2">
      <c r="I28" s="284">
        <v>775</v>
      </c>
      <c r="J28" s="284">
        <f t="shared" si="9"/>
        <v>1175</v>
      </c>
      <c r="K28" s="284">
        <f>(K12*U12+K13*U13)/(U12+U13)</f>
        <v>0.86376146550340305</v>
      </c>
      <c r="L28" s="284" t="s">
        <v>5</v>
      </c>
      <c r="M28" s="284">
        <f>1/SQRT(U12+U13)</f>
        <v>1.3920841023542054E-3</v>
      </c>
      <c r="N28" s="288">
        <f>-8033*LN(K28)</f>
        <v>1176.5021738975647</v>
      </c>
      <c r="O28" s="343" t="s">
        <v>5</v>
      </c>
      <c r="P28" s="288">
        <f>M28/K28*8033</f>
        <v>12.946411759285962</v>
      </c>
      <c r="Q28" s="343">
        <f>(R12*U12+R13*U13)/(U12+U13)</f>
        <v>-4.3182894367409652</v>
      </c>
      <c r="R28" s="289">
        <f>(EXP(J28/8267)*EXP(-N28/8033)-1)*1000</f>
        <v>-4.3179151005866556</v>
      </c>
      <c r="S28" s="343" t="s">
        <v>5</v>
      </c>
      <c r="T28" s="289">
        <f>P28/8.033</f>
        <v>1.6116533996372417</v>
      </c>
    </row>
    <row r="29" spans="1:21" x14ac:dyDescent="0.2">
      <c r="I29" s="284">
        <v>776</v>
      </c>
      <c r="J29" s="284">
        <f t="shared" si="9"/>
        <v>1174</v>
      </c>
      <c r="K29" s="284">
        <v>0.863970361197821</v>
      </c>
      <c r="L29" s="284" t="s">
        <v>5</v>
      </c>
      <c r="M29" s="284">
        <v>1.9716388000402736E-3</v>
      </c>
      <c r="N29" s="284">
        <v>1174.5596743782494</v>
      </c>
      <c r="O29" s="284" t="s">
        <v>5</v>
      </c>
      <c r="P29" s="284">
        <v>18.331849322661075</v>
      </c>
      <c r="Q29" s="284">
        <v>-20.348174218508763</v>
      </c>
      <c r="R29" s="284">
        <v>-4.1975775694398365</v>
      </c>
      <c r="S29" s="284" t="s">
        <v>5</v>
      </c>
      <c r="T29" s="284">
        <v>2.2820676363327617</v>
      </c>
    </row>
    <row r="30" spans="1:21" x14ac:dyDescent="0.2">
      <c r="I30" s="284">
        <v>777</v>
      </c>
      <c r="J30" s="284">
        <f t="shared" si="9"/>
        <v>1173</v>
      </c>
      <c r="K30" s="284">
        <v>0.86607440809844372</v>
      </c>
      <c r="L30" s="284" t="s">
        <v>5</v>
      </c>
      <c r="M30" s="284">
        <v>1.9891815259182911E-3</v>
      </c>
      <c r="N30" s="284">
        <v>1155.0205070852398</v>
      </c>
      <c r="O30" s="284" t="s">
        <v>5</v>
      </c>
      <c r="P30" s="284">
        <v>18.450025827209689</v>
      </c>
      <c r="Q30" s="284">
        <v>-20.812594677659725</v>
      </c>
      <c r="R30" s="284">
        <v>-1.893218174393474</v>
      </c>
      <c r="S30" s="284" t="s">
        <v>5</v>
      </c>
      <c r="T30" s="284">
        <v>2.2967790149644829</v>
      </c>
    </row>
    <row r="31" spans="1:21" x14ac:dyDescent="0.2">
      <c r="I31" s="284">
        <v>778</v>
      </c>
      <c r="J31" s="284">
        <f t="shared" si="9"/>
        <v>1172</v>
      </c>
      <c r="K31" s="284">
        <v>0.86244509206814135</v>
      </c>
      <c r="L31" s="284" t="s">
        <v>5</v>
      </c>
      <c r="M31" s="284">
        <v>1.9957720539627269E-3</v>
      </c>
      <c r="N31" s="284">
        <v>1188.7538129715342</v>
      </c>
      <c r="O31" s="284" t="s">
        <v>5</v>
      </c>
      <c r="P31" s="284">
        <v>18.589052285100028</v>
      </c>
      <c r="Q31" s="284">
        <v>-20.106735612568482</v>
      </c>
      <c r="R31" s="284">
        <v>-6.1960412712177559</v>
      </c>
      <c r="S31" s="284" t="s">
        <v>5</v>
      </c>
      <c r="T31" s="284">
        <v>2.3140859311714217</v>
      </c>
    </row>
    <row r="32" spans="1:21" x14ac:dyDescent="0.2">
      <c r="I32" s="284">
        <v>779</v>
      </c>
      <c r="J32" s="284">
        <f t="shared" si="9"/>
        <v>1171</v>
      </c>
      <c r="K32" s="284">
        <v>0.86366217864706019</v>
      </c>
      <c r="L32" s="284" t="s">
        <v>5</v>
      </c>
      <c r="M32" s="284">
        <v>1.9767306408623058E-3</v>
      </c>
      <c r="N32" s="284">
        <v>1177.4255968466271</v>
      </c>
      <c r="O32" s="284" t="s">
        <v>5</v>
      </c>
      <c r="P32" s="284">
        <v>18.385750390183482</v>
      </c>
      <c r="Q32" s="284">
        <v>-19.878677469631011</v>
      </c>
      <c r="R32" s="284">
        <v>-4.9139561790649822</v>
      </c>
      <c r="S32" s="284" t="s">
        <v>5</v>
      </c>
      <c r="T32" s="284">
        <v>2.2887775912091972</v>
      </c>
    </row>
    <row r="33" spans="9:20" x14ac:dyDescent="0.2">
      <c r="I33" s="284">
        <v>780</v>
      </c>
      <c r="J33" s="284">
        <f t="shared" si="9"/>
        <v>1170</v>
      </c>
      <c r="K33" s="284">
        <v>0.86064544040388447</v>
      </c>
      <c r="L33" s="284" t="s">
        <v>5</v>
      </c>
      <c r="M33" s="284">
        <v>1.9739879687352005E-3</v>
      </c>
      <c r="N33" s="284">
        <v>1205.5336707946144</v>
      </c>
      <c r="O33" s="284" t="s">
        <v>5</v>
      </c>
      <c r="P33" s="284">
        <v>18.424596945994924</v>
      </c>
      <c r="Q33" s="284">
        <v>-20.386705085684078</v>
      </c>
      <c r="R33" s="284">
        <v>-8.5096936095505615</v>
      </c>
      <c r="S33" s="284" t="s">
        <v>5</v>
      </c>
      <c r="T33" s="284">
        <v>2.2936134627156637</v>
      </c>
    </row>
  </sheetData>
  <mergeCells count="3">
    <mergeCell ref="K4:M4"/>
    <mergeCell ref="N4:P4"/>
    <mergeCell ref="R4:T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P37" sqref="P37"/>
    </sheetView>
  </sheetViews>
  <sheetFormatPr baseColWidth="10" defaultColWidth="8.6640625" defaultRowHeight="16" x14ac:dyDescent="0.2"/>
  <cols>
    <col min="1" max="1" width="12" bestFit="1" customWidth="1"/>
    <col min="2" max="2" width="7.6640625" bestFit="1" customWidth="1"/>
    <col min="3" max="4" width="7" bestFit="1" customWidth="1"/>
    <col min="5" max="5" width="7.6640625" bestFit="1" customWidth="1"/>
    <col min="6" max="6" width="6.1640625" bestFit="1" customWidth="1"/>
    <col min="7" max="7" width="5.6640625" bestFit="1" customWidth="1"/>
  </cols>
  <sheetData>
    <row r="1" spans="1:21" s="225" customFormat="1" ht="14" x14ac:dyDescent="0.2"/>
    <row r="2" spans="1:21" s="225" customFormat="1" ht="14" x14ac:dyDescent="0.2"/>
    <row r="3" spans="1:21" x14ac:dyDescent="0.2">
      <c r="J3" s="344" t="s">
        <v>837</v>
      </c>
    </row>
    <row r="4" spans="1:21" s="60" customFormat="1" ht="42" x14ac:dyDescent="0.2">
      <c r="A4" s="60" t="s">
        <v>166</v>
      </c>
      <c r="B4" s="60" t="s">
        <v>168</v>
      </c>
      <c r="C4" s="60" t="s">
        <v>153</v>
      </c>
      <c r="D4" s="60" t="s">
        <v>178</v>
      </c>
      <c r="E4" s="60" t="s">
        <v>179</v>
      </c>
      <c r="F4" s="60" t="s">
        <v>180</v>
      </c>
      <c r="G4" s="60" t="s">
        <v>181</v>
      </c>
      <c r="J4" s="210" t="s">
        <v>17</v>
      </c>
      <c r="K4" s="211" t="s">
        <v>15</v>
      </c>
      <c r="L4" s="345" t="s">
        <v>1</v>
      </c>
      <c r="M4" s="345"/>
      <c r="N4" s="345"/>
      <c r="O4" s="345" t="s">
        <v>2</v>
      </c>
      <c r="P4" s="345"/>
      <c r="Q4" s="345"/>
      <c r="R4" s="210" t="s">
        <v>3</v>
      </c>
      <c r="S4" s="346" t="s">
        <v>16</v>
      </c>
      <c r="T4" s="345"/>
      <c r="U4" s="345"/>
    </row>
    <row r="5" spans="1:21" s="154" customFormat="1" hidden="1" x14ac:dyDescent="0.2">
      <c r="A5" s="212" t="s">
        <v>386</v>
      </c>
      <c r="B5" s="212" t="s">
        <v>278</v>
      </c>
      <c r="C5" s="213">
        <v>3.0972963412602256E-3</v>
      </c>
      <c r="D5" s="213">
        <v>1.769323633060163E-4</v>
      </c>
      <c r="E5" s="214">
        <v>46408.026432051716</v>
      </c>
      <c r="F5" s="214">
        <v>458.87910704109913</v>
      </c>
      <c r="G5" s="215">
        <v>-20.209811252398847</v>
      </c>
      <c r="J5" s="150">
        <v>770</v>
      </c>
      <c r="K5">
        <f>1950-J5</f>
        <v>1180</v>
      </c>
      <c r="L5" s="69">
        <f>AI5</f>
        <v>0</v>
      </c>
      <c r="M5" s="2" t="s">
        <v>5</v>
      </c>
      <c r="N5" s="13">
        <f>AJ5</f>
        <v>0</v>
      </c>
      <c r="O5" s="12" t="e">
        <f>-8033*LN(L5)</f>
        <v>#NUM!</v>
      </c>
      <c r="P5" s="66" t="s">
        <v>5</v>
      </c>
      <c r="Q5" s="12" t="e">
        <f>N5/L5*8033</f>
        <v>#DIV/0!</v>
      </c>
      <c r="R5" s="5">
        <f>AM5</f>
        <v>0</v>
      </c>
      <c r="S5" s="9" t="e">
        <f>(EXP(K5/8267)*EXP(-O5/8033)-1)*1000</f>
        <v>#NUM!</v>
      </c>
      <c r="T5" s="2" t="s">
        <v>5</v>
      </c>
      <c r="U5" s="14" t="e">
        <f t="shared" ref="U5:U18" si="0">Q5/8.033</f>
        <v>#DIV/0!</v>
      </c>
    </row>
    <row r="6" spans="1:21" s="154" customFormat="1" hidden="1" x14ac:dyDescent="0.2">
      <c r="A6" s="156" t="s">
        <v>387</v>
      </c>
      <c r="B6" s="156" t="s">
        <v>360</v>
      </c>
      <c r="C6" s="34">
        <v>0.95887219807805435</v>
      </c>
      <c r="D6" s="34">
        <v>2.1148108593210123E-3</v>
      </c>
      <c r="E6" s="32">
        <v>337.3626388827351</v>
      </c>
      <c r="F6" s="32">
        <v>17.716770958210116</v>
      </c>
      <c r="G6" s="36">
        <v>-23.477444396353242</v>
      </c>
      <c r="J6" s="150">
        <v>771</v>
      </c>
      <c r="K6">
        <f t="shared" ref="K6:K18" si="1">1950-J6</f>
        <v>1179</v>
      </c>
      <c r="L6" s="69">
        <f t="shared" ref="L6:L18" si="2">AI6</f>
        <v>0</v>
      </c>
      <c r="M6" s="2" t="s">
        <v>5</v>
      </c>
      <c r="N6" s="13">
        <f t="shared" ref="N6:N18" si="3">AJ6</f>
        <v>0</v>
      </c>
      <c r="O6" s="12" t="e">
        <f t="shared" ref="O6:O29" si="4">-8033*LN(L6)</f>
        <v>#NUM!</v>
      </c>
      <c r="P6" s="66" t="s">
        <v>5</v>
      </c>
      <c r="Q6" s="12" t="e">
        <f t="shared" ref="Q6:Q18" si="5">N6/L6*8033</f>
        <v>#DIV/0!</v>
      </c>
      <c r="R6" s="5">
        <f t="shared" ref="R6:R18" si="6">AM6</f>
        <v>0</v>
      </c>
      <c r="S6" s="9" t="e">
        <f t="shared" ref="S6:S18" si="7">(EXP(K6/8267)*EXP(-O6/8033)-1)*1000</f>
        <v>#NUM!</v>
      </c>
      <c r="T6" s="2" t="s">
        <v>5</v>
      </c>
      <c r="U6" s="14" t="e">
        <f t="shared" si="0"/>
        <v>#DIV/0!</v>
      </c>
    </row>
    <row r="7" spans="1:21" s="154" customFormat="1" hidden="1" x14ac:dyDescent="0.2">
      <c r="A7" s="212" t="s">
        <v>388</v>
      </c>
      <c r="B7" s="212" t="s">
        <v>278</v>
      </c>
      <c r="C7" s="213">
        <v>2.2161123958486062E-3</v>
      </c>
      <c r="D7" s="213">
        <v>1.7642316239495188E-4</v>
      </c>
      <c r="E7" s="214">
        <v>49097.249994588477</v>
      </c>
      <c r="F7" s="214">
        <v>639.49563602565979</v>
      </c>
      <c r="G7" s="215">
        <v>-21.940271971847338</v>
      </c>
      <c r="J7" s="150">
        <v>772</v>
      </c>
      <c r="K7">
        <f t="shared" si="1"/>
        <v>1178</v>
      </c>
      <c r="L7" s="69">
        <f t="shared" si="2"/>
        <v>0</v>
      </c>
      <c r="M7" s="2" t="s">
        <v>5</v>
      </c>
      <c r="N7" s="13">
        <f t="shared" si="3"/>
        <v>0</v>
      </c>
      <c r="O7" s="12" t="e">
        <f t="shared" si="4"/>
        <v>#NUM!</v>
      </c>
      <c r="P7" s="66" t="s">
        <v>5</v>
      </c>
      <c r="Q7" s="12" t="e">
        <f t="shared" si="5"/>
        <v>#DIV/0!</v>
      </c>
      <c r="R7" s="5">
        <f t="shared" si="6"/>
        <v>0</v>
      </c>
      <c r="S7" s="9" t="e">
        <f t="shared" si="7"/>
        <v>#NUM!</v>
      </c>
      <c r="T7" s="2" t="s">
        <v>5</v>
      </c>
      <c r="U7" s="14" t="e">
        <f t="shared" si="0"/>
        <v>#DIV/0!</v>
      </c>
    </row>
    <row r="8" spans="1:21" s="154" customFormat="1" hidden="1" x14ac:dyDescent="0.2">
      <c r="A8" s="216" t="s">
        <v>389</v>
      </c>
      <c r="B8" s="216" t="s">
        <v>278</v>
      </c>
      <c r="C8" s="217">
        <v>1.040765043365613</v>
      </c>
      <c r="D8" s="217">
        <v>2.1912189325492193E-3</v>
      </c>
      <c r="E8" s="218">
        <v>-320.96408351060023</v>
      </c>
      <c r="F8" s="218">
        <v>16.912462251567788</v>
      </c>
      <c r="G8" s="219">
        <v>-19.190566333064261</v>
      </c>
      <c r="J8" s="150">
        <v>772</v>
      </c>
      <c r="K8">
        <f t="shared" si="1"/>
        <v>1178</v>
      </c>
      <c r="L8" s="69">
        <f t="shared" si="2"/>
        <v>0</v>
      </c>
      <c r="M8" s="2" t="s">
        <v>5</v>
      </c>
      <c r="N8" s="13">
        <f t="shared" si="3"/>
        <v>0</v>
      </c>
      <c r="O8" s="12" t="e">
        <f t="shared" si="4"/>
        <v>#NUM!</v>
      </c>
      <c r="P8" s="66" t="s">
        <v>5</v>
      </c>
      <c r="Q8" s="12" t="e">
        <f t="shared" si="5"/>
        <v>#DIV/0!</v>
      </c>
      <c r="R8" s="5">
        <f t="shared" si="6"/>
        <v>0</v>
      </c>
      <c r="S8" s="9" t="e">
        <f t="shared" si="7"/>
        <v>#NUM!</v>
      </c>
      <c r="T8" s="2" t="s">
        <v>5</v>
      </c>
      <c r="U8" s="14" t="e">
        <f t="shared" si="0"/>
        <v>#DIV/0!</v>
      </c>
    </row>
    <row r="9" spans="1:21" s="154" customFormat="1" hidden="1" x14ac:dyDescent="0.2">
      <c r="A9" s="216" t="s">
        <v>390</v>
      </c>
      <c r="B9" s="216" t="s">
        <v>278</v>
      </c>
      <c r="C9" s="217">
        <v>1.0371954985219805</v>
      </c>
      <c r="D9" s="217">
        <v>2.2056322728714055E-3</v>
      </c>
      <c r="E9" s="218">
        <v>-293.36594854493501</v>
      </c>
      <c r="F9" s="218">
        <v>17.082296278732592</v>
      </c>
      <c r="G9" s="219">
        <v>-19.357102275361026</v>
      </c>
      <c r="J9" s="150">
        <v>773</v>
      </c>
      <c r="K9">
        <f t="shared" si="1"/>
        <v>1177</v>
      </c>
      <c r="L9" s="69">
        <f t="shared" si="2"/>
        <v>0</v>
      </c>
      <c r="M9" s="2" t="s">
        <v>5</v>
      </c>
      <c r="N9" s="13">
        <f t="shared" si="3"/>
        <v>0</v>
      </c>
      <c r="O9" s="12" t="e">
        <f t="shared" si="4"/>
        <v>#NUM!</v>
      </c>
      <c r="P9" s="66" t="s">
        <v>5</v>
      </c>
      <c r="Q9" s="12" t="e">
        <f t="shared" si="5"/>
        <v>#DIV/0!</v>
      </c>
      <c r="R9" s="5">
        <f t="shared" si="6"/>
        <v>0</v>
      </c>
      <c r="S9" s="9" t="e">
        <f t="shared" si="7"/>
        <v>#NUM!</v>
      </c>
      <c r="T9" s="2" t="s">
        <v>5</v>
      </c>
      <c r="U9" s="14" t="e">
        <f t="shared" si="0"/>
        <v>#DIV/0!</v>
      </c>
    </row>
    <row r="10" spans="1:21" s="154" customFormat="1" hidden="1" x14ac:dyDescent="0.2">
      <c r="A10" s="216" t="s">
        <v>391</v>
      </c>
      <c r="B10" s="216" t="s">
        <v>278</v>
      </c>
      <c r="C10" s="217">
        <v>1.040535289135522</v>
      </c>
      <c r="D10" s="217">
        <v>2.2289362558901254E-3</v>
      </c>
      <c r="E10" s="218">
        <v>-319.19057806842261</v>
      </c>
      <c r="F10" s="218">
        <v>17.207374091474207</v>
      </c>
      <c r="G10" s="219">
        <v>-18.567111892195065</v>
      </c>
      <c r="J10" s="150">
        <v>773</v>
      </c>
      <c r="K10">
        <f t="shared" si="1"/>
        <v>1177</v>
      </c>
      <c r="L10" s="69">
        <f t="shared" si="2"/>
        <v>0</v>
      </c>
      <c r="M10" s="2" t="s">
        <v>5</v>
      </c>
      <c r="N10" s="13">
        <f t="shared" si="3"/>
        <v>0</v>
      </c>
      <c r="O10" s="12" t="e">
        <f t="shared" si="4"/>
        <v>#NUM!</v>
      </c>
      <c r="P10" s="66" t="s">
        <v>5</v>
      </c>
      <c r="Q10" s="12" t="e">
        <f t="shared" si="5"/>
        <v>#DIV/0!</v>
      </c>
      <c r="R10" s="5">
        <f t="shared" si="6"/>
        <v>0</v>
      </c>
      <c r="S10" s="9" t="e">
        <f t="shared" si="7"/>
        <v>#NUM!</v>
      </c>
      <c r="T10" s="2" t="s">
        <v>5</v>
      </c>
      <c r="U10" s="14" t="e">
        <f t="shared" si="0"/>
        <v>#DIV/0!</v>
      </c>
    </row>
    <row r="11" spans="1:21" s="154" customFormat="1" hidden="1" x14ac:dyDescent="0.2">
      <c r="A11" s="216" t="s">
        <v>392</v>
      </c>
      <c r="B11" s="216" t="s">
        <v>278</v>
      </c>
      <c r="C11" s="217">
        <v>1.3422389643938779</v>
      </c>
      <c r="D11" s="217">
        <v>2.6155227169235239E-3</v>
      </c>
      <c r="E11" s="218">
        <v>-2364.4041138173507</v>
      </c>
      <c r="F11" s="218">
        <v>15.65317425758615</v>
      </c>
      <c r="G11" s="219">
        <v>-18.641354626274918</v>
      </c>
      <c r="J11" s="150">
        <v>774</v>
      </c>
      <c r="K11">
        <f t="shared" si="1"/>
        <v>1176</v>
      </c>
      <c r="L11" s="69">
        <f t="shared" si="2"/>
        <v>0</v>
      </c>
      <c r="M11" s="2" t="s">
        <v>5</v>
      </c>
      <c r="N11" s="13">
        <f t="shared" si="3"/>
        <v>0</v>
      </c>
      <c r="O11" s="12" t="e">
        <f t="shared" si="4"/>
        <v>#NUM!</v>
      </c>
      <c r="P11" s="66" t="s">
        <v>5</v>
      </c>
      <c r="Q11" s="12" t="e">
        <f t="shared" si="5"/>
        <v>#DIV/0!</v>
      </c>
      <c r="R11" s="5">
        <f t="shared" si="6"/>
        <v>0</v>
      </c>
      <c r="S11" s="9" t="e">
        <f t="shared" si="7"/>
        <v>#NUM!</v>
      </c>
      <c r="T11" s="2" t="s">
        <v>5</v>
      </c>
      <c r="U11" s="14" t="e">
        <f t="shared" si="0"/>
        <v>#DIV/0!</v>
      </c>
    </row>
    <row r="12" spans="1:21" s="154" customFormat="1" hidden="1" x14ac:dyDescent="0.2">
      <c r="A12" s="216" t="s">
        <v>393</v>
      </c>
      <c r="B12" s="216" t="s">
        <v>278</v>
      </c>
      <c r="C12" s="217">
        <v>1.3368634630867282</v>
      </c>
      <c r="D12" s="217">
        <v>2.6331734871243482E-3</v>
      </c>
      <c r="E12" s="218">
        <v>-2332.1686444654342</v>
      </c>
      <c r="F12" s="218">
        <v>15.822175053535389</v>
      </c>
      <c r="G12" s="219">
        <v>-17.596458778402656</v>
      </c>
      <c r="J12" s="150">
        <v>774</v>
      </c>
      <c r="K12">
        <f t="shared" si="1"/>
        <v>1176</v>
      </c>
      <c r="L12" s="69">
        <f t="shared" si="2"/>
        <v>0</v>
      </c>
      <c r="M12" s="2" t="s">
        <v>5</v>
      </c>
      <c r="N12" s="13">
        <f t="shared" si="3"/>
        <v>0</v>
      </c>
      <c r="O12" s="12" t="e">
        <f t="shared" si="4"/>
        <v>#NUM!</v>
      </c>
      <c r="P12" s="66" t="s">
        <v>5</v>
      </c>
      <c r="Q12" s="12" t="e">
        <f t="shared" si="5"/>
        <v>#DIV/0!</v>
      </c>
      <c r="R12" s="5">
        <f t="shared" si="6"/>
        <v>0</v>
      </c>
      <c r="S12" s="9" t="e">
        <f t="shared" si="7"/>
        <v>#NUM!</v>
      </c>
      <c r="T12" s="2" t="s">
        <v>5</v>
      </c>
      <c r="U12" s="14" t="e">
        <f t="shared" si="0"/>
        <v>#DIV/0!</v>
      </c>
    </row>
    <row r="13" spans="1:21" s="154" customFormat="1" hidden="1" x14ac:dyDescent="0.2">
      <c r="A13" s="216" t="s">
        <v>394</v>
      </c>
      <c r="B13" s="216" t="s">
        <v>278</v>
      </c>
      <c r="C13" s="217">
        <v>1.340808844625814</v>
      </c>
      <c r="D13" s="217">
        <v>2.6360594800592446E-3</v>
      </c>
      <c r="E13" s="218">
        <v>-2355.8406828563566</v>
      </c>
      <c r="F13" s="218">
        <v>15.792907980996469</v>
      </c>
      <c r="G13" s="219">
        <v>-17.403275968260079</v>
      </c>
      <c r="J13" s="150">
        <v>775</v>
      </c>
      <c r="K13">
        <f t="shared" si="1"/>
        <v>1175</v>
      </c>
      <c r="L13" s="69">
        <f t="shared" si="2"/>
        <v>0</v>
      </c>
      <c r="M13" s="2" t="s">
        <v>5</v>
      </c>
      <c r="N13" s="13">
        <f t="shared" si="3"/>
        <v>0</v>
      </c>
      <c r="O13" s="12" t="e">
        <f t="shared" si="4"/>
        <v>#NUM!</v>
      </c>
      <c r="P13" s="66" t="s">
        <v>5</v>
      </c>
      <c r="Q13" s="12" t="e">
        <f t="shared" si="5"/>
        <v>#DIV/0!</v>
      </c>
      <c r="R13" s="5">
        <f t="shared" si="6"/>
        <v>0</v>
      </c>
      <c r="S13" s="9" t="e">
        <f t="shared" si="7"/>
        <v>#NUM!</v>
      </c>
      <c r="T13" s="2" t="s">
        <v>5</v>
      </c>
      <c r="U13" s="14" t="e">
        <f t="shared" si="0"/>
        <v>#DIV/0!</v>
      </c>
    </row>
    <row r="14" spans="1:21" s="154" customFormat="1" hidden="1" x14ac:dyDescent="0.2">
      <c r="A14" s="216" t="s">
        <v>395</v>
      </c>
      <c r="B14" s="216" t="s">
        <v>278</v>
      </c>
      <c r="C14" s="217">
        <v>1.3435589299789685</v>
      </c>
      <c r="D14" s="217">
        <v>2.6278243263027946E-3</v>
      </c>
      <c r="E14" s="218">
        <v>-2372.2998581156339</v>
      </c>
      <c r="F14" s="218">
        <v>15.711345331899022</v>
      </c>
      <c r="G14" s="219">
        <v>-17.993135059631292</v>
      </c>
      <c r="J14" s="150">
        <v>775</v>
      </c>
      <c r="K14">
        <f t="shared" si="1"/>
        <v>1175</v>
      </c>
      <c r="L14" s="69">
        <f t="shared" si="2"/>
        <v>0</v>
      </c>
      <c r="M14" s="2" t="s">
        <v>5</v>
      </c>
      <c r="N14" s="13">
        <f t="shared" si="3"/>
        <v>0</v>
      </c>
      <c r="O14" s="12" t="e">
        <f t="shared" si="4"/>
        <v>#NUM!</v>
      </c>
      <c r="P14" s="66" t="s">
        <v>5</v>
      </c>
      <c r="Q14" s="12" t="e">
        <f t="shared" si="5"/>
        <v>#DIV/0!</v>
      </c>
      <c r="R14" s="5">
        <f t="shared" si="6"/>
        <v>0</v>
      </c>
      <c r="S14" s="9" t="e">
        <f t="shared" si="7"/>
        <v>#NUM!</v>
      </c>
      <c r="T14" s="2" t="s">
        <v>5</v>
      </c>
      <c r="U14" s="14" t="e">
        <f t="shared" si="0"/>
        <v>#DIV/0!</v>
      </c>
    </row>
    <row r="15" spans="1:21" s="154" customFormat="1" hidden="1" x14ac:dyDescent="0.2">
      <c r="A15" s="212" t="s">
        <v>396</v>
      </c>
      <c r="B15" s="212" t="s">
        <v>370</v>
      </c>
      <c r="C15" s="213">
        <v>2.110128763715914E-3</v>
      </c>
      <c r="D15" s="213">
        <v>1.8566254804785312E-4</v>
      </c>
      <c r="E15" s="214">
        <v>49490.907682948673</v>
      </c>
      <c r="F15" s="214">
        <v>706.78791401598403</v>
      </c>
      <c r="G15" s="215">
        <v>-30.451335454134142</v>
      </c>
      <c r="J15" s="150">
        <v>776</v>
      </c>
      <c r="K15">
        <f t="shared" si="1"/>
        <v>1174</v>
      </c>
      <c r="L15" s="69">
        <f t="shared" si="2"/>
        <v>0</v>
      </c>
      <c r="M15" s="2" t="s">
        <v>5</v>
      </c>
      <c r="N15" s="13">
        <f t="shared" si="3"/>
        <v>0</v>
      </c>
      <c r="O15" s="12" t="e">
        <f t="shared" si="4"/>
        <v>#NUM!</v>
      </c>
      <c r="P15" s="66" t="s">
        <v>5</v>
      </c>
      <c r="Q15" s="12" t="e">
        <f t="shared" si="5"/>
        <v>#DIV/0!</v>
      </c>
      <c r="R15" s="5">
        <f t="shared" si="6"/>
        <v>0</v>
      </c>
      <c r="S15" s="9" t="e">
        <f t="shared" si="7"/>
        <v>#NUM!</v>
      </c>
      <c r="T15" s="2" t="s">
        <v>5</v>
      </c>
      <c r="U15" s="14" t="e">
        <f t="shared" si="0"/>
        <v>#DIV/0!</v>
      </c>
    </row>
    <row r="16" spans="1:21" s="154" customFormat="1" hidden="1" x14ac:dyDescent="0.2">
      <c r="A16" s="212" t="s">
        <v>397</v>
      </c>
      <c r="B16" s="212" t="s">
        <v>370</v>
      </c>
      <c r="C16" s="213">
        <v>2.2705415113936415E-3</v>
      </c>
      <c r="D16" s="213">
        <v>1.7829934986783854E-4</v>
      </c>
      <c r="E16" s="214">
        <v>48902.340150232005</v>
      </c>
      <c r="F16" s="214">
        <v>630.80347750072656</v>
      </c>
      <c r="G16" s="215">
        <v>-31.214511659547917</v>
      </c>
      <c r="J16" s="150">
        <v>776</v>
      </c>
      <c r="K16">
        <f t="shared" si="1"/>
        <v>1174</v>
      </c>
      <c r="L16" s="69">
        <f t="shared" si="2"/>
        <v>0</v>
      </c>
      <c r="M16" s="2" t="s">
        <v>5</v>
      </c>
      <c r="N16" s="13">
        <f t="shared" si="3"/>
        <v>0</v>
      </c>
      <c r="O16" s="12" t="e">
        <f t="shared" si="4"/>
        <v>#NUM!</v>
      </c>
      <c r="P16" s="66" t="s">
        <v>5</v>
      </c>
      <c r="Q16" s="12" t="e">
        <f t="shared" si="5"/>
        <v>#DIV/0!</v>
      </c>
      <c r="R16" s="5">
        <f t="shared" si="6"/>
        <v>0</v>
      </c>
      <c r="S16" s="9" t="e">
        <f t="shared" si="7"/>
        <v>#NUM!</v>
      </c>
      <c r="T16" s="2" t="s">
        <v>5</v>
      </c>
      <c r="U16" s="14" t="e">
        <f t="shared" si="0"/>
        <v>#DIV/0!</v>
      </c>
    </row>
    <row r="17" spans="1:21" s="154" customFormat="1" hidden="1" x14ac:dyDescent="0.2">
      <c r="A17" s="212" t="s">
        <v>398</v>
      </c>
      <c r="B17" s="212" t="s">
        <v>370</v>
      </c>
      <c r="C17" s="213">
        <v>1.8808041304719083E-3</v>
      </c>
      <c r="D17" s="213">
        <v>1.7254155149649822E-4</v>
      </c>
      <c r="E17" s="214">
        <v>50415.092257012242</v>
      </c>
      <c r="F17" s="214">
        <v>736.92602571980717</v>
      </c>
      <c r="G17" s="215">
        <v>-30.556163504162349</v>
      </c>
      <c r="J17" s="150">
        <v>777</v>
      </c>
      <c r="K17">
        <f t="shared" si="1"/>
        <v>1173</v>
      </c>
      <c r="L17" s="69">
        <f t="shared" si="2"/>
        <v>0</v>
      </c>
      <c r="M17" s="2" t="s">
        <v>5</v>
      </c>
      <c r="N17" s="13">
        <f t="shared" si="3"/>
        <v>0</v>
      </c>
      <c r="O17" s="12" t="e">
        <f t="shared" si="4"/>
        <v>#NUM!</v>
      </c>
      <c r="P17" s="66" t="s">
        <v>5</v>
      </c>
      <c r="Q17" s="12" t="e">
        <f t="shared" si="5"/>
        <v>#DIV/0!</v>
      </c>
      <c r="R17" s="5">
        <f t="shared" si="6"/>
        <v>0</v>
      </c>
      <c r="S17" s="9" t="e">
        <f t="shared" si="7"/>
        <v>#NUM!</v>
      </c>
      <c r="T17" s="2" t="s">
        <v>5</v>
      </c>
      <c r="U17" s="14" t="e">
        <f t="shared" si="0"/>
        <v>#DIV/0!</v>
      </c>
    </row>
    <row r="18" spans="1:21" s="154" customFormat="1" hidden="1" x14ac:dyDescent="0.2">
      <c r="A18" s="212" t="s">
        <v>399</v>
      </c>
      <c r="B18" s="212" t="s">
        <v>370</v>
      </c>
      <c r="C18" s="213">
        <v>1.5764467165223879E-3</v>
      </c>
      <c r="D18" s="213">
        <v>1.7404340801541068E-4</v>
      </c>
      <c r="E18" s="214">
        <v>51833.112658613849</v>
      </c>
      <c r="F18" s="214">
        <v>886.85383440755527</v>
      </c>
      <c r="G18" s="215">
        <v>-30.560588278379708</v>
      </c>
      <c r="J18" s="150">
        <v>777</v>
      </c>
      <c r="K18">
        <f t="shared" si="1"/>
        <v>1173</v>
      </c>
      <c r="L18" s="69">
        <f t="shared" si="2"/>
        <v>0</v>
      </c>
      <c r="M18" s="2" t="s">
        <v>5</v>
      </c>
      <c r="N18" s="13">
        <f t="shared" si="3"/>
        <v>0</v>
      </c>
      <c r="O18" s="12" t="e">
        <f t="shared" si="4"/>
        <v>#NUM!</v>
      </c>
      <c r="P18" s="66" t="s">
        <v>5</v>
      </c>
      <c r="Q18" s="12" t="e">
        <f t="shared" si="5"/>
        <v>#DIV/0!</v>
      </c>
      <c r="R18" s="5">
        <f t="shared" si="6"/>
        <v>0</v>
      </c>
      <c r="S18" s="9" t="e">
        <f t="shared" si="7"/>
        <v>#NUM!</v>
      </c>
      <c r="T18" s="2" t="s">
        <v>5</v>
      </c>
      <c r="U18" s="14" t="e">
        <f t="shared" si="0"/>
        <v>#DIV/0!</v>
      </c>
    </row>
    <row r="19" spans="1:21" s="154" customFormat="1" x14ac:dyDescent="0.2">
      <c r="A19" s="156" t="s">
        <v>400</v>
      </c>
      <c r="B19" s="156" t="s">
        <v>217</v>
      </c>
      <c r="C19" s="34">
        <v>0.85058144345973008</v>
      </c>
      <c r="D19" s="34">
        <v>1.9802386509694477E-3</v>
      </c>
      <c r="E19" s="32">
        <v>1300.0094787632108</v>
      </c>
      <c r="F19" s="32">
        <v>18.70145492136832</v>
      </c>
      <c r="G19" s="36">
        <v>-21.354743645330853</v>
      </c>
      <c r="J19" s="220">
        <v>771</v>
      </c>
      <c r="K19">
        <f>1950-J19</f>
        <v>1179</v>
      </c>
      <c r="L19" s="34">
        <f>C19</f>
        <v>0.85058144345973008</v>
      </c>
      <c r="M19" s="2" t="s">
        <v>5</v>
      </c>
      <c r="N19" s="13">
        <f>D19</f>
        <v>1.9802386509694477E-3</v>
      </c>
      <c r="O19" s="12">
        <f>-8033*LN(L19)</f>
        <v>1300.0214565035369</v>
      </c>
      <c r="P19" s="66" t="s">
        <v>5</v>
      </c>
      <c r="Q19" s="12">
        <f>N19/L19*8033</f>
        <v>18.701627228704865</v>
      </c>
      <c r="R19" s="5">
        <f>G19</f>
        <v>-21.354743645330853</v>
      </c>
      <c r="S19" s="9">
        <f>(EXP(K19/8267)*EXP(-O19/8033)-1)*1000</f>
        <v>-19.036370567744321</v>
      </c>
      <c r="T19" s="2" t="s">
        <v>5</v>
      </c>
      <c r="U19" s="14">
        <f>Q19/8.033</f>
        <v>2.3280999911247187</v>
      </c>
    </row>
    <row r="20" spans="1:21" s="154" customFormat="1" x14ac:dyDescent="0.2">
      <c r="A20" s="156" t="s">
        <v>401</v>
      </c>
      <c r="B20" s="156" t="s">
        <v>218</v>
      </c>
      <c r="C20" s="34">
        <v>0.85111360562420635</v>
      </c>
      <c r="D20" s="34">
        <v>1.9795674545959735E-3</v>
      </c>
      <c r="E20" s="32">
        <v>1294.9852890031157</v>
      </c>
      <c r="F20" s="32">
        <v>18.683426919677419</v>
      </c>
      <c r="G20" s="36">
        <v>-21.491968791115369</v>
      </c>
      <c r="J20" s="220">
        <v>772</v>
      </c>
      <c r="K20">
        <f t="shared" ref="K20:K29" si="8">1950-J20</f>
        <v>1178</v>
      </c>
      <c r="L20" s="34">
        <f t="shared" ref="L20:L29" si="9">C20</f>
        <v>0.85111360562420635</v>
      </c>
      <c r="M20" s="2" t="s">
        <v>5</v>
      </c>
      <c r="N20" s="13">
        <f t="shared" ref="N20:N29" si="10">D20</f>
        <v>1.9795674545959735E-3</v>
      </c>
      <c r="O20" s="12">
        <f t="shared" si="4"/>
        <v>1294.9972204526712</v>
      </c>
      <c r="P20" s="66" t="s">
        <v>5</v>
      </c>
      <c r="Q20" s="12">
        <f t="shared" ref="Q20:Q29" si="11">N20/L20*8033</f>
        <v>18.68359906091154</v>
      </c>
      <c r="R20" s="5">
        <f t="shared" ref="R20:R29" si="12">G20</f>
        <v>-21.491968791115369</v>
      </c>
      <c r="S20" s="9">
        <f t="shared" ref="S20:S29" si="13">(EXP(K20/8267)*EXP(-O20/8033)-1)*1000</f>
        <v>-18.541362648194728</v>
      </c>
      <c r="T20" s="2" t="s">
        <v>5</v>
      </c>
      <c r="U20" s="14">
        <f t="shared" ref="U20:U29" si="14">Q20/8.033</f>
        <v>2.3258557277370273</v>
      </c>
    </row>
    <row r="21" spans="1:21" s="154" customFormat="1" x14ac:dyDescent="0.2">
      <c r="A21" s="156" t="s">
        <v>402</v>
      </c>
      <c r="B21" s="156" t="s">
        <v>403</v>
      </c>
      <c r="C21" s="34">
        <v>0.85101215249435269</v>
      </c>
      <c r="D21" s="34">
        <v>1.9609675369022853E-3</v>
      </c>
      <c r="E21" s="32">
        <v>1295.9428745169275</v>
      </c>
      <c r="F21" s="32">
        <v>18.510084776857813</v>
      </c>
      <c r="G21" s="36">
        <v>-21.669070496187715</v>
      </c>
      <c r="J21" s="220">
        <v>772.8</v>
      </c>
      <c r="K21">
        <f t="shared" si="8"/>
        <v>1177.2</v>
      </c>
      <c r="L21" s="34">
        <f t="shared" si="9"/>
        <v>0.85101215249435269</v>
      </c>
      <c r="M21" s="2" t="s">
        <v>5</v>
      </c>
      <c r="N21" s="13">
        <f t="shared" si="10"/>
        <v>1.9609675369022853E-3</v>
      </c>
      <c r="O21" s="12">
        <f t="shared" si="4"/>
        <v>1295.9548147892733</v>
      </c>
      <c r="P21" s="66" t="s">
        <v>5</v>
      </c>
      <c r="Q21" s="12">
        <f t="shared" si="11"/>
        <v>18.510255320990368</v>
      </c>
      <c r="R21" s="5">
        <f t="shared" si="12"/>
        <v>-21.669070496187715</v>
      </c>
      <c r="S21" s="9">
        <f t="shared" si="13"/>
        <v>-18.753313087792044</v>
      </c>
      <c r="T21" s="2" t="s">
        <v>5</v>
      </c>
      <c r="U21" s="14">
        <f t="shared" si="14"/>
        <v>2.3042767734333833</v>
      </c>
    </row>
    <row r="22" spans="1:21" s="154" customFormat="1" x14ac:dyDescent="0.2">
      <c r="A22" s="156" t="s">
        <v>404</v>
      </c>
      <c r="B22" s="156" t="s">
        <v>405</v>
      </c>
      <c r="C22" s="34">
        <v>0.85215264714700689</v>
      </c>
      <c r="D22" s="34">
        <v>1.9839753763950621E-3</v>
      </c>
      <c r="E22" s="32">
        <v>1285.1846548710373</v>
      </c>
      <c r="F22" s="32">
        <v>18.702197797487596</v>
      </c>
      <c r="G22" s="36">
        <v>-21.089209242815322</v>
      </c>
      <c r="J22" s="220">
        <v>773.2</v>
      </c>
      <c r="K22">
        <f t="shared" si="8"/>
        <v>1176.8</v>
      </c>
      <c r="L22" s="34">
        <f t="shared" si="9"/>
        <v>0.85215264714700689</v>
      </c>
      <c r="M22" s="2" t="s">
        <v>5</v>
      </c>
      <c r="N22" s="13">
        <f t="shared" si="10"/>
        <v>1.9839753763950621E-3</v>
      </c>
      <c r="O22" s="12">
        <f t="shared" si="4"/>
        <v>1285.196496021674</v>
      </c>
      <c r="P22" s="66" t="s">
        <v>5</v>
      </c>
      <c r="Q22" s="12">
        <f t="shared" si="11"/>
        <v>18.702370111668685</v>
      </c>
      <c r="R22" s="5">
        <f t="shared" si="12"/>
        <v>-21.089209242815322</v>
      </c>
      <c r="S22" s="9">
        <f t="shared" si="13"/>
        <v>-17.485823225607433</v>
      </c>
      <c r="T22" s="2" t="s">
        <v>5</v>
      </c>
      <c r="U22" s="14">
        <f t="shared" si="14"/>
        <v>2.3281924700197543</v>
      </c>
    </row>
    <row r="23" spans="1:21" s="154" customFormat="1" x14ac:dyDescent="0.2">
      <c r="A23" s="156" t="s">
        <v>406</v>
      </c>
      <c r="B23" s="156" t="s">
        <v>298</v>
      </c>
      <c r="C23" s="34">
        <v>0.85234958898482194</v>
      </c>
      <c r="D23" s="34">
        <v>1.9763219963471724E-3</v>
      </c>
      <c r="E23" s="32">
        <v>1283.3283719274148</v>
      </c>
      <c r="F23" s="32">
        <v>18.625747616094579</v>
      </c>
      <c r="G23" s="36">
        <v>-21.886049550865039</v>
      </c>
      <c r="J23" s="220">
        <v>774</v>
      </c>
      <c r="K23">
        <f t="shared" si="8"/>
        <v>1176</v>
      </c>
      <c r="L23" s="34">
        <f t="shared" si="9"/>
        <v>0.85234958898482194</v>
      </c>
      <c r="M23" s="2" t="s">
        <v>5</v>
      </c>
      <c r="N23" s="13">
        <f t="shared" si="10"/>
        <v>1.9763219963471724E-3</v>
      </c>
      <c r="O23" s="12">
        <f t="shared" si="4"/>
        <v>1283.3401959750415</v>
      </c>
      <c r="P23" s="66" t="s">
        <v>5</v>
      </c>
      <c r="Q23" s="12">
        <f t="shared" si="11"/>
        <v>18.625919225895867</v>
      </c>
      <c r="R23" s="5">
        <f t="shared" si="12"/>
        <v>-21.886049550865039</v>
      </c>
      <c r="S23" s="9">
        <f t="shared" si="13"/>
        <v>-17.353848961884964</v>
      </c>
      <c r="T23" s="2" t="s">
        <v>5</v>
      </c>
      <c r="U23" s="14">
        <f t="shared" si="14"/>
        <v>2.3186753673466787</v>
      </c>
    </row>
    <row r="24" spans="1:21" s="154" customFormat="1" x14ac:dyDescent="0.2">
      <c r="A24" s="156" t="s">
        <v>407</v>
      </c>
      <c r="B24" s="156" t="s">
        <v>299</v>
      </c>
      <c r="C24" s="34">
        <v>0.8553319918568778</v>
      </c>
      <c r="D24" s="34">
        <v>1.9542276772762253E-3</v>
      </c>
      <c r="E24" s="32">
        <v>1255.2699257109525</v>
      </c>
      <c r="F24" s="32">
        <v>18.353301928039929</v>
      </c>
      <c r="G24" s="36">
        <v>-23.347974106482262</v>
      </c>
      <c r="J24" s="220">
        <v>775</v>
      </c>
      <c r="K24">
        <f t="shared" si="8"/>
        <v>1175</v>
      </c>
      <c r="L24" s="34">
        <f t="shared" si="9"/>
        <v>0.8553319918568778</v>
      </c>
      <c r="M24" s="2" t="s">
        <v>5</v>
      </c>
      <c r="N24" s="13">
        <f t="shared" si="10"/>
        <v>1.9542276772762253E-3</v>
      </c>
      <c r="O24" s="12">
        <f t="shared" si="4"/>
        <v>1255.2814912398619</v>
      </c>
      <c r="P24" s="66" t="s">
        <v>5</v>
      </c>
      <c r="Q24" s="12">
        <f t="shared" si="11"/>
        <v>18.353471027641287</v>
      </c>
      <c r="R24" s="5">
        <f t="shared" si="12"/>
        <v>-23.347974106482262</v>
      </c>
      <c r="S24" s="9">
        <f t="shared" si="13"/>
        <v>-14.034805967077734</v>
      </c>
      <c r="T24" s="2" t="s">
        <v>5</v>
      </c>
      <c r="U24" s="14">
        <f t="shared" si="14"/>
        <v>2.2847592465630884</v>
      </c>
    </row>
    <row r="25" spans="1:21" s="154" customFormat="1" x14ac:dyDescent="0.2">
      <c r="A25" s="156" t="s">
        <v>408</v>
      </c>
      <c r="B25" s="156" t="s">
        <v>220</v>
      </c>
      <c r="C25" s="34">
        <v>0.86830047265995514</v>
      </c>
      <c r="D25" s="34">
        <v>1.9934950181951317E-3</v>
      </c>
      <c r="E25" s="32">
        <v>1134.3893848308194</v>
      </c>
      <c r="F25" s="32">
        <v>18.442461386151368</v>
      </c>
      <c r="G25" s="36">
        <v>-21.500367839528025</v>
      </c>
      <c r="J25" s="220">
        <v>776</v>
      </c>
      <c r="K25">
        <f t="shared" si="8"/>
        <v>1174</v>
      </c>
      <c r="L25" s="34">
        <f t="shared" si="9"/>
        <v>0.86830047265995514</v>
      </c>
      <c r="M25" s="2" t="s">
        <v>5</v>
      </c>
      <c r="N25" s="13">
        <f t="shared" si="10"/>
        <v>1.9934950181951317E-3</v>
      </c>
      <c r="O25" s="12">
        <f t="shared" si="4"/>
        <v>1134.3998366172887</v>
      </c>
      <c r="P25" s="66" t="s">
        <v>5</v>
      </c>
      <c r="Q25" s="12">
        <f t="shared" si="11"/>
        <v>18.442631307230457</v>
      </c>
      <c r="R25" s="5">
        <f t="shared" si="12"/>
        <v>-21.500367839528025</v>
      </c>
      <c r="S25" s="9">
        <f t="shared" si="13"/>
        <v>0.79325970582200256</v>
      </c>
      <c r="T25" s="2" t="s">
        <v>5</v>
      </c>
      <c r="U25" s="14">
        <f t="shared" si="14"/>
        <v>2.2958584971032563</v>
      </c>
    </row>
    <row r="26" spans="1:21" s="154" customFormat="1" x14ac:dyDescent="0.2">
      <c r="A26" s="156" t="s">
        <v>409</v>
      </c>
      <c r="B26" s="156" t="s">
        <v>221</v>
      </c>
      <c r="C26" s="34">
        <v>0.86649330114850198</v>
      </c>
      <c r="D26" s="34">
        <v>1.9799132954712406E-3</v>
      </c>
      <c r="E26" s="32">
        <v>1151.1255300366154</v>
      </c>
      <c r="F26" s="32">
        <v>18.355014336633509</v>
      </c>
      <c r="G26" s="36">
        <v>-21.845593065704882</v>
      </c>
      <c r="J26" s="220">
        <v>777</v>
      </c>
      <c r="K26">
        <f t="shared" si="8"/>
        <v>1173</v>
      </c>
      <c r="L26" s="34">
        <f t="shared" si="9"/>
        <v>0.86649330114850198</v>
      </c>
      <c r="M26" s="2" t="s">
        <v>5</v>
      </c>
      <c r="N26" s="13">
        <f t="shared" si="10"/>
        <v>1.9799132954712406E-3</v>
      </c>
      <c r="O26" s="12">
        <f t="shared" si="4"/>
        <v>1151.1361360228846</v>
      </c>
      <c r="P26" s="66" t="s">
        <v>5</v>
      </c>
      <c r="Q26" s="12">
        <f t="shared" si="11"/>
        <v>18.355183452012277</v>
      </c>
      <c r="R26" s="5">
        <f t="shared" si="12"/>
        <v>-21.845593065704882</v>
      </c>
      <c r="S26" s="9">
        <f t="shared" si="13"/>
        <v>-1.4104652028089637</v>
      </c>
      <c r="T26" s="2" t="s">
        <v>5</v>
      </c>
      <c r="U26" s="14">
        <f t="shared" si="14"/>
        <v>2.2849724202679296</v>
      </c>
    </row>
    <row r="27" spans="1:21" s="154" customFormat="1" x14ac:dyDescent="0.2">
      <c r="A27" s="156" t="s">
        <v>410</v>
      </c>
      <c r="B27" s="156" t="s">
        <v>222</v>
      </c>
      <c r="C27" s="34">
        <v>0.86667739939283817</v>
      </c>
      <c r="D27" s="34">
        <v>2.002100864309539E-3</v>
      </c>
      <c r="E27" s="32">
        <v>1149.4190073307177</v>
      </c>
      <c r="F27" s="32">
        <v>18.556764114047876</v>
      </c>
      <c r="G27" s="36">
        <v>-21.392920384778691</v>
      </c>
      <c r="J27" s="220">
        <v>778</v>
      </c>
      <c r="K27">
        <f t="shared" si="8"/>
        <v>1172</v>
      </c>
      <c r="L27" s="34">
        <f t="shared" si="9"/>
        <v>0.86667739939283817</v>
      </c>
      <c r="M27" s="2" t="s">
        <v>5</v>
      </c>
      <c r="N27" s="13">
        <f t="shared" si="10"/>
        <v>2.002100864309539E-3</v>
      </c>
      <c r="O27" s="12">
        <f t="shared" si="4"/>
        <v>1149.4295975938046</v>
      </c>
      <c r="P27" s="66" t="s">
        <v>5</v>
      </c>
      <c r="Q27" s="12">
        <f t="shared" si="11"/>
        <v>18.556935088264204</v>
      </c>
      <c r="R27" s="5">
        <f t="shared" si="12"/>
        <v>-21.392920384778691</v>
      </c>
      <c r="S27" s="9">
        <f t="shared" si="13"/>
        <v>-1.3191119309923227</v>
      </c>
      <c r="T27" s="2" t="s">
        <v>5</v>
      </c>
      <c r="U27" s="14">
        <f t="shared" si="14"/>
        <v>2.3100877739654182</v>
      </c>
    </row>
    <row r="28" spans="1:21" s="154" customFormat="1" x14ac:dyDescent="0.2">
      <c r="A28" s="156" t="s">
        <v>411</v>
      </c>
      <c r="B28" s="156" t="s">
        <v>223</v>
      </c>
      <c r="C28" s="34">
        <v>0.86343057212120777</v>
      </c>
      <c r="D28" s="34">
        <v>1.9828878975359536E-3</v>
      </c>
      <c r="E28" s="32">
        <v>1179.5692109212473</v>
      </c>
      <c r="F28" s="32">
        <v>18.447796774528879</v>
      </c>
      <c r="G28" s="36">
        <v>-21.8044020811069</v>
      </c>
      <c r="J28" s="220">
        <v>779</v>
      </c>
      <c r="K28">
        <f t="shared" si="8"/>
        <v>1171</v>
      </c>
      <c r="L28" s="34">
        <f t="shared" si="9"/>
        <v>0.86343057212120777</v>
      </c>
      <c r="M28" s="2" t="s">
        <v>5</v>
      </c>
      <c r="N28" s="13">
        <f t="shared" si="10"/>
        <v>1.9828878975359536E-3</v>
      </c>
      <c r="O28" s="12">
        <f t="shared" si="4"/>
        <v>1179.5800789756238</v>
      </c>
      <c r="P28" s="66" t="s">
        <v>5</v>
      </c>
      <c r="Q28" s="12">
        <f t="shared" si="11"/>
        <v>18.447966744765992</v>
      </c>
      <c r="R28" s="5">
        <f t="shared" si="12"/>
        <v>-21.8044020811069</v>
      </c>
      <c r="S28" s="9">
        <f t="shared" si="13"/>
        <v>-5.1808063749304578</v>
      </c>
      <c r="T28" s="2" t="s">
        <v>5</v>
      </c>
      <c r="U28" s="14">
        <f t="shared" si="14"/>
        <v>2.2965226870118252</v>
      </c>
    </row>
    <row r="29" spans="1:21" s="154" customFormat="1" x14ac:dyDescent="0.2">
      <c r="A29" s="156" t="s">
        <v>412</v>
      </c>
      <c r="B29" s="156" t="s">
        <v>224</v>
      </c>
      <c r="C29" s="34">
        <v>0.86715712267445177</v>
      </c>
      <c r="D29" s="34">
        <v>2.0045146536606436E-3</v>
      </c>
      <c r="E29" s="32">
        <v>1144.9738521960012</v>
      </c>
      <c r="F29" s="32">
        <v>18.568858438313793</v>
      </c>
      <c r="G29" s="36">
        <v>-21.260493257452161</v>
      </c>
      <c r="J29" s="220">
        <v>780</v>
      </c>
      <c r="K29">
        <f t="shared" si="8"/>
        <v>1170</v>
      </c>
      <c r="L29" s="34">
        <f t="shared" si="9"/>
        <v>0.86715712267445177</v>
      </c>
      <c r="M29" s="2" t="s">
        <v>5</v>
      </c>
      <c r="N29" s="13">
        <f t="shared" si="10"/>
        <v>2.0045146536606436E-3</v>
      </c>
      <c r="O29" s="12">
        <f t="shared" si="4"/>
        <v>1144.9844015032993</v>
      </c>
      <c r="P29" s="66" t="s">
        <v>5</v>
      </c>
      <c r="Q29" s="12">
        <f t="shared" si="11"/>
        <v>18.569029523962136</v>
      </c>
      <c r="R29" s="5">
        <f t="shared" si="12"/>
        <v>-21.260493257452161</v>
      </c>
      <c r="S29" s="9">
        <f t="shared" si="13"/>
        <v>-1.0080331737127857</v>
      </c>
      <c r="T29" s="2" t="s">
        <v>5</v>
      </c>
      <c r="U29" s="14">
        <f t="shared" si="14"/>
        <v>2.3115933678528742</v>
      </c>
    </row>
  </sheetData>
  <mergeCells count="3">
    <mergeCell ref="L4:N4"/>
    <mergeCell ref="O4:Q4"/>
    <mergeCell ref="S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Albania ALB01 775 shifted</vt:lpstr>
      <vt:lpstr>Austria EBA AUT01 775</vt:lpstr>
      <vt:lpstr>Austria AUT02 775</vt:lpstr>
      <vt:lpstr>Canada CAN06 775</vt:lpstr>
      <vt:lpstr>China CHN01 775</vt:lpstr>
      <vt:lpstr>Germany GER01 Steinbach 775</vt:lpstr>
      <vt:lpstr>Germany GER07 775</vt:lpstr>
      <vt:lpstr>Greece GRE02 775</vt:lpstr>
      <vt:lpstr>Italia ITA01 775 shifted</vt:lpstr>
      <vt:lpstr>Italy ITA09 775</vt:lpstr>
      <vt:lpstr>Japan Miyake &amp; JAP01 775</vt:lpstr>
      <vt:lpstr>Mongolia MON03 775</vt:lpstr>
      <vt:lpstr>Mongolia MON09 775</vt:lpstr>
      <vt:lpstr>Pakistan PAK04 775</vt:lpstr>
      <vt:lpstr>Russia ALT01 775</vt:lpstr>
      <vt:lpstr>Russia RUS04 775</vt:lpstr>
      <vt:lpstr>Russia RUS15 775</vt:lpstr>
      <vt:lpstr>Russia RUS17 775</vt:lpstr>
      <vt:lpstr>Russia RUS20 775</vt:lpstr>
      <vt:lpstr>Sweden SWE02 Tor 775</vt:lpstr>
      <vt:lpstr>Sweden SWE01 Tor 775 not used</vt:lpstr>
      <vt:lpstr>Sweden SWE05 775</vt:lpstr>
      <vt:lpstr>Switzerland SUI01 Mustair 775</vt:lpstr>
      <vt:lpstr>Tibet TIB01 775</vt:lpstr>
      <vt:lpstr>USA02 775</vt:lpstr>
      <vt:lpstr>USA10 775 not used</vt:lpstr>
      <vt:lpstr>USA11 775</vt:lpstr>
      <vt:lpstr>USA16 775</vt:lpstr>
      <vt:lpstr>USA18 775</vt:lpstr>
      <vt:lpstr>Argentina PAT02 775</vt:lpstr>
      <vt:lpstr>Argentina PAT03 775</vt:lpstr>
      <vt:lpstr>New Zealand DAR01 775 </vt:lpstr>
      <vt:lpstr>New Zealand DAR02 775 (not used</vt:lpstr>
      <vt:lpstr>New Zealand DAR06 775</vt:lpstr>
      <vt:lpstr>New Zealand DAR07 775</vt:lpstr>
      <vt:lpstr>Tasmania TAS01 775</vt:lpstr>
      <vt:lpstr>China CHI01 993</vt:lpstr>
      <vt:lpstr>Mongolia MON05 993</vt:lpstr>
      <vt:lpstr>Russia ALT02 993</vt:lpstr>
      <vt:lpstr>Sweden SWE01 993</vt:lpstr>
      <vt:lpstr>Sweden SWE02 993</vt:lpstr>
      <vt:lpstr>Sweden SWE03 993</vt:lpstr>
      <vt:lpstr>Sweden SWE04 993</vt:lpstr>
      <vt:lpstr>USA07 993 not used</vt:lpstr>
      <vt:lpstr>Argentina PAT03 993</vt:lpstr>
      <vt:lpstr>New Zealand DAR01 993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w</dc:creator>
  <cp:lastModifiedBy>Microsoft Office User</cp:lastModifiedBy>
  <dcterms:created xsi:type="dcterms:W3CDTF">2014-12-15T12:12:20Z</dcterms:created>
  <dcterms:modified xsi:type="dcterms:W3CDTF">2018-09-17T08:38:59Z</dcterms:modified>
</cp:coreProperties>
</file>