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orda\Desktop\Investments\"/>
    </mc:Choice>
  </mc:AlternateContent>
  <xr:revisionPtr revIDLastSave="0" documentId="13_ncr:1_{BF3F361E-2D00-435E-B646-980D14DDDCCA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FSA" sheetId="8" r:id="rId1"/>
    <sheet name="Growth Switch (TFSA)" sheetId="10" r:id="rId2"/>
    <sheet name="RRSP" sheetId="5" r:id="rId3"/>
    <sheet name="Growth Switch (RRSP)" sheetId="9" r:id="rId4"/>
    <sheet name="Fortress (Conservative)" sheetId="7" r:id="rId5"/>
    <sheet name="Crypto" sheetId="13" r:id="rId6"/>
    <sheet name="Margin" sheetId="1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F4" i="9"/>
  <c r="E3" i="10"/>
  <c r="G3" i="10" l="1"/>
  <c r="S13" i="9"/>
  <c r="F8" i="9"/>
  <c r="F6" i="9"/>
  <c r="S8" i="9" l="1"/>
  <c r="S7" i="9"/>
  <c r="S6" i="9"/>
  <c r="S12" i="9"/>
  <c r="S11" i="9"/>
  <c r="S3" i="9"/>
  <c r="S10" i="9"/>
  <c r="S9" i="9"/>
  <c r="F11" i="9"/>
  <c r="F12" i="9"/>
  <c r="F9" i="9"/>
  <c r="F13" i="9"/>
  <c r="F10" i="9"/>
  <c r="B7" i="13" l="1"/>
  <c r="E3" i="13"/>
  <c r="E4" i="13"/>
  <c r="F4" i="13"/>
  <c r="E2" i="13"/>
  <c r="E6" i="13"/>
  <c r="E5" i="13" l="1"/>
  <c r="C5" i="13"/>
  <c r="G7" i="12" l="1"/>
  <c r="F6" i="12"/>
  <c r="E13" i="10"/>
  <c r="E11" i="10"/>
  <c r="E8" i="10"/>
  <c r="F3" i="13" l="1"/>
  <c r="F2" i="13"/>
  <c r="J5" i="13"/>
  <c r="E15" i="10" l="1"/>
  <c r="H4" i="13" l="1"/>
  <c r="I4" i="13" s="1"/>
  <c r="H3" i="13"/>
  <c r="I3" i="13" s="1"/>
  <c r="F9" i="12"/>
  <c r="M6" i="12"/>
  <c r="E5" i="12"/>
  <c r="E3" i="12"/>
  <c r="E4" i="12"/>
  <c r="E2" i="12"/>
  <c r="H5" i="13" l="1"/>
  <c r="G4" i="12"/>
  <c r="G3" i="12"/>
  <c r="G5" i="12"/>
  <c r="F8" i="12"/>
  <c r="E7" i="10"/>
  <c r="J11" i="7" l="1"/>
  <c r="F4" i="12" l="1"/>
  <c r="H4" i="12" s="1"/>
  <c r="F5" i="12"/>
  <c r="K5" i="12" s="1"/>
  <c r="L5" i="12" s="1"/>
  <c r="F3" i="12"/>
  <c r="H3" i="12" s="1"/>
  <c r="E4" i="7"/>
  <c r="J7" i="5"/>
  <c r="E6" i="7"/>
  <c r="H5" i="12" l="1"/>
  <c r="K4" i="12"/>
  <c r="K6" i="12" s="1"/>
  <c r="L4" i="12" l="1"/>
  <c r="I3" i="12"/>
  <c r="I5" i="12"/>
  <c r="I4" i="12"/>
  <c r="R3" i="8"/>
  <c r="R4" i="8"/>
  <c r="R5" i="8"/>
  <c r="R6" i="8"/>
  <c r="R7" i="8"/>
  <c r="R8" i="8"/>
  <c r="R9" i="8"/>
  <c r="R10" i="8"/>
  <c r="A10" i="8"/>
  <c r="A11" i="8" s="1"/>
  <c r="A12" i="8" s="1"/>
  <c r="E11" i="8"/>
  <c r="G6" i="12" l="1"/>
  <c r="E7" i="7"/>
  <c r="F3" i="9" l="1"/>
  <c r="R15" i="10" l="1"/>
  <c r="N16" i="10"/>
  <c r="E10" i="10"/>
  <c r="E12" i="10"/>
  <c r="E4" i="10"/>
  <c r="E9" i="10"/>
  <c r="E6" i="10"/>
  <c r="E5" i="10"/>
  <c r="E14" i="10"/>
  <c r="E2" i="10"/>
  <c r="R5" i="10" l="1"/>
  <c r="R6" i="10"/>
  <c r="R7" i="10"/>
  <c r="G8" i="10"/>
  <c r="G11" i="10"/>
  <c r="G13" i="10"/>
  <c r="R4" i="10"/>
  <c r="R8" i="10"/>
  <c r="G7" i="10"/>
  <c r="G15" i="10"/>
  <c r="R12" i="10"/>
  <c r="R9" i="10"/>
  <c r="R14" i="10"/>
  <c r="R13" i="10"/>
  <c r="R11" i="10"/>
  <c r="R10" i="10"/>
  <c r="G4" i="10"/>
  <c r="G12" i="10"/>
  <c r="G9" i="10"/>
  <c r="G6" i="10"/>
  <c r="G5" i="10"/>
  <c r="G14" i="10"/>
  <c r="G10" i="10"/>
  <c r="E10" i="8"/>
  <c r="G17" i="10" l="1"/>
  <c r="F18" i="10"/>
  <c r="F3" i="10" s="1"/>
  <c r="L3" i="10" s="1"/>
  <c r="M3" i="10" s="1"/>
  <c r="O14" i="9"/>
  <c r="F7" i="9"/>
  <c r="F5" i="9"/>
  <c r="F2" i="9"/>
  <c r="H4" i="9" l="1"/>
  <c r="H6" i="9"/>
  <c r="H8" i="9"/>
  <c r="H12" i="9"/>
  <c r="H9" i="9"/>
  <c r="H10" i="9"/>
  <c r="H13" i="9"/>
  <c r="H11" i="9"/>
  <c r="F11" i="10"/>
  <c r="H11" i="10" s="1"/>
  <c r="F13" i="10"/>
  <c r="H13" i="10" s="1"/>
  <c r="F15" i="10"/>
  <c r="L15" i="10" s="1"/>
  <c r="M15" i="10" s="1"/>
  <c r="F8" i="10"/>
  <c r="H8" i="10" s="1"/>
  <c r="F7" i="10"/>
  <c r="L7" i="10" s="1"/>
  <c r="M7" i="10" s="1"/>
  <c r="H3" i="9"/>
  <c r="F4" i="10"/>
  <c r="F14" i="10"/>
  <c r="H14" i="10" s="1"/>
  <c r="F5" i="10"/>
  <c r="H5" i="10" s="1"/>
  <c r="F9" i="10"/>
  <c r="H9" i="10" s="1"/>
  <c r="F12" i="10"/>
  <c r="H12" i="10" s="1"/>
  <c r="F6" i="10"/>
  <c r="H6" i="10" s="1"/>
  <c r="F10" i="10"/>
  <c r="H5" i="9"/>
  <c r="H7" i="9"/>
  <c r="E3" i="7"/>
  <c r="E5" i="7"/>
  <c r="E10" i="7"/>
  <c r="H15" i="9" l="1"/>
  <c r="G16" i="9"/>
  <c r="L8" i="10"/>
  <c r="M8" i="10" s="1"/>
  <c r="L13" i="10"/>
  <c r="M13" i="10" s="1"/>
  <c r="L11" i="10"/>
  <c r="M11" i="10" s="1"/>
  <c r="H15" i="10"/>
  <c r="F16" i="10"/>
  <c r="J11" i="10" s="1"/>
  <c r="H7" i="10"/>
  <c r="H4" i="10"/>
  <c r="H10" i="10"/>
  <c r="L10" i="10"/>
  <c r="G4" i="9" l="1"/>
  <c r="I4" i="9" s="1"/>
  <c r="G8" i="9"/>
  <c r="G9" i="9"/>
  <c r="G12" i="9"/>
  <c r="G13" i="9"/>
  <c r="G11" i="9"/>
  <c r="G10" i="9"/>
  <c r="G6" i="9"/>
  <c r="J13" i="10"/>
  <c r="J8" i="10"/>
  <c r="J7" i="10"/>
  <c r="J15" i="10"/>
  <c r="G3" i="9"/>
  <c r="G7" i="9"/>
  <c r="I7" i="9" s="1"/>
  <c r="L16" i="10"/>
  <c r="M10" i="10"/>
  <c r="J14" i="10"/>
  <c r="J9" i="10"/>
  <c r="J12" i="10"/>
  <c r="J5" i="10"/>
  <c r="J6" i="10"/>
  <c r="J10" i="10"/>
  <c r="J4" i="10"/>
  <c r="G5" i="9"/>
  <c r="M4" i="9" l="1"/>
  <c r="N4" i="9" s="1"/>
  <c r="G14" i="9"/>
  <c r="K4" i="9" s="1"/>
  <c r="M12" i="9"/>
  <c r="N12" i="9" s="1"/>
  <c r="I12" i="9"/>
  <c r="I5" i="9"/>
  <c r="I6" i="9"/>
  <c r="M10" i="9"/>
  <c r="N10" i="9" s="1"/>
  <c r="I10" i="9"/>
  <c r="M11" i="9"/>
  <c r="N11" i="9" s="1"/>
  <c r="I11" i="9"/>
  <c r="M3" i="9"/>
  <c r="N3" i="9" s="1"/>
  <c r="I3" i="9"/>
  <c r="M13" i="9"/>
  <c r="N13" i="9" s="1"/>
  <c r="I13" i="9"/>
  <c r="M9" i="9"/>
  <c r="N9" i="9" s="1"/>
  <c r="I9" i="9"/>
  <c r="M8" i="9"/>
  <c r="N8" i="9" s="1"/>
  <c r="I8" i="9"/>
  <c r="M6" i="9"/>
  <c r="N6" i="9" s="1"/>
  <c r="G16" i="10"/>
  <c r="N13" i="8"/>
  <c r="E12" i="8"/>
  <c r="E8" i="8"/>
  <c r="E9" i="8"/>
  <c r="E7" i="8"/>
  <c r="E5" i="8"/>
  <c r="E6" i="8"/>
  <c r="E4" i="8"/>
  <c r="E3" i="8"/>
  <c r="A4" i="8"/>
  <c r="A5" i="8" s="1"/>
  <c r="A6" i="8" s="1"/>
  <c r="A7" i="8" s="1"/>
  <c r="A8" i="8" s="1"/>
  <c r="E2" i="8"/>
  <c r="K9" i="9" l="1"/>
  <c r="K10" i="9"/>
  <c r="K6" i="9"/>
  <c r="K5" i="9"/>
  <c r="K13" i="9"/>
  <c r="K3" i="9"/>
  <c r="K12" i="9"/>
  <c r="K11" i="9"/>
  <c r="K8" i="9"/>
  <c r="M14" i="9"/>
  <c r="G11" i="8"/>
  <c r="G10" i="8"/>
  <c r="A9" i="8"/>
  <c r="K7" i="9"/>
  <c r="G7" i="8"/>
  <c r="G12" i="8"/>
  <c r="G3" i="8"/>
  <c r="G8" i="8"/>
  <c r="G9" i="8"/>
  <c r="G5" i="8"/>
  <c r="G6" i="8"/>
  <c r="G4" i="8"/>
  <c r="G14" i="8" l="1"/>
  <c r="R12" i="8"/>
  <c r="F15" i="8"/>
  <c r="F10" i="8" l="1"/>
  <c r="L10" i="8" s="1"/>
  <c r="M10" i="8" s="1"/>
  <c r="F11" i="8"/>
  <c r="R11" i="8"/>
  <c r="F3" i="8"/>
  <c r="H3" i="8" s="1"/>
  <c r="F9" i="8"/>
  <c r="H9" i="8" s="1"/>
  <c r="F5" i="8"/>
  <c r="H5" i="8" s="1"/>
  <c r="F12" i="8"/>
  <c r="H12" i="8" s="1"/>
  <c r="F6" i="8"/>
  <c r="H6" i="8" s="1"/>
  <c r="F4" i="8"/>
  <c r="H4" i="8" s="1"/>
  <c r="F7" i="8"/>
  <c r="H7" i="8" s="1"/>
  <c r="F8" i="8"/>
  <c r="H8" i="8" s="1"/>
  <c r="H10" i="8" l="1"/>
  <c r="L11" i="8"/>
  <c r="M11" i="8" s="1"/>
  <c r="H11" i="8"/>
  <c r="F13" i="8"/>
  <c r="J10" i="8" s="1"/>
  <c r="L13" i="8" l="1"/>
  <c r="J11" i="8"/>
  <c r="J12" i="8"/>
  <c r="J5" i="8"/>
  <c r="J8" i="8"/>
  <c r="J4" i="8"/>
  <c r="J7" i="8"/>
  <c r="J6" i="8"/>
  <c r="J9" i="8"/>
  <c r="J3" i="8"/>
  <c r="G13" i="8" l="1"/>
  <c r="F14" i="7"/>
  <c r="O11" i="7"/>
  <c r="F15" i="7"/>
  <c r="G15" i="7" s="1"/>
  <c r="E9" i="7"/>
  <c r="E8" i="7"/>
  <c r="E2" i="7"/>
  <c r="G4" i="7" l="1"/>
  <c r="G7" i="7"/>
  <c r="G6" i="7"/>
  <c r="G3" i="7"/>
  <c r="G5" i="7"/>
  <c r="G10" i="7"/>
  <c r="G9" i="7"/>
  <c r="G8" i="7"/>
  <c r="F13" i="7" l="1"/>
  <c r="F4" i="7" s="1"/>
  <c r="H4" i="7" s="1"/>
  <c r="G12" i="7"/>
  <c r="M4" i="7" l="1"/>
  <c r="N4" i="7" s="1"/>
  <c r="F7" i="7"/>
  <c r="M7" i="7" s="1"/>
  <c r="N7" i="7" s="1"/>
  <c r="F6" i="7"/>
  <c r="F3" i="7"/>
  <c r="F5" i="7"/>
  <c r="H5" i="7" s="1"/>
  <c r="F10" i="7"/>
  <c r="M10" i="7" s="1"/>
  <c r="N10" i="7" s="1"/>
  <c r="F9" i="7"/>
  <c r="H9" i="7" s="1"/>
  <c r="F8" i="7"/>
  <c r="E5" i="5"/>
  <c r="E3" i="5"/>
  <c r="E6" i="5"/>
  <c r="E4" i="5"/>
  <c r="F11" i="7" l="1"/>
  <c r="K6" i="7" s="1"/>
  <c r="H7" i="7"/>
  <c r="M6" i="7"/>
  <c r="N6" i="7" s="1"/>
  <c r="H6" i="7"/>
  <c r="H3" i="7"/>
  <c r="H10" i="7"/>
  <c r="M5" i="7"/>
  <c r="N5" i="7" s="1"/>
  <c r="M3" i="7"/>
  <c r="N3" i="7" s="1"/>
  <c r="M8" i="7"/>
  <c r="H8" i="7"/>
  <c r="F11" i="5"/>
  <c r="K4" i="7" l="1"/>
  <c r="K10" i="7"/>
  <c r="K3" i="7"/>
  <c r="K7" i="7"/>
  <c r="K5" i="7"/>
  <c r="N8" i="7"/>
  <c r="M11" i="7"/>
  <c r="K8" i="7"/>
  <c r="K9" i="7"/>
  <c r="G11" i="7" l="1"/>
  <c r="O7" i="5"/>
  <c r="A3" i="5"/>
  <c r="A4" i="5" s="1"/>
  <c r="A5" i="5" s="1"/>
  <c r="A6" i="5" s="1"/>
  <c r="E2" i="5"/>
  <c r="G3" i="5" l="1"/>
  <c r="G6" i="5"/>
  <c r="G4" i="5"/>
  <c r="G5" i="5"/>
  <c r="G8" i="5" l="1"/>
  <c r="F9" i="5" l="1"/>
  <c r="F3" i="5" l="1"/>
  <c r="F6" i="5"/>
  <c r="F4" i="5"/>
  <c r="H4" i="5" s="1"/>
  <c r="F5" i="5"/>
  <c r="H6" i="5" l="1"/>
  <c r="M6" i="5"/>
  <c r="N6" i="5" s="1"/>
  <c r="H3" i="5"/>
  <c r="M3" i="5"/>
  <c r="N3" i="5" s="1"/>
  <c r="H5" i="5"/>
  <c r="M5" i="5"/>
  <c r="N5" i="5" s="1"/>
  <c r="F7" i="5"/>
  <c r="K6" i="5" l="1"/>
  <c r="K3" i="5"/>
  <c r="K4" i="5"/>
  <c r="K5" i="5"/>
  <c r="M7" i="5"/>
  <c r="G7" i="5" l="1"/>
</calcChain>
</file>

<file path=xl/sharedStrings.xml><?xml version="1.0" encoding="utf-8"?>
<sst xmlns="http://schemas.openxmlformats.org/spreadsheetml/2006/main" count="274" uniqueCount="99">
  <si>
    <t>Stock</t>
  </si>
  <si>
    <t>Price</t>
  </si>
  <si>
    <t>ATR</t>
  </si>
  <si>
    <t>ATR %</t>
  </si>
  <si>
    <t>SPY</t>
  </si>
  <si>
    <t>Investment</t>
  </si>
  <si>
    <t>Total</t>
  </si>
  <si>
    <t>Plug</t>
  </si>
  <si>
    <t>Goal Investment</t>
  </si>
  <si>
    <t>CAKE</t>
  </si>
  <si>
    <t>SBUX</t>
  </si>
  <si>
    <t>CRUS</t>
  </si>
  <si>
    <t>DAL</t>
  </si>
  <si>
    <t>#</t>
  </si>
  <si>
    <t>NVDA</t>
  </si>
  <si>
    <t>RVLV</t>
  </si>
  <si>
    <t>AMD</t>
  </si>
  <si>
    <t>QCOM</t>
  </si>
  <si>
    <t>RCL</t>
  </si>
  <si>
    <t>SPCE</t>
  </si>
  <si>
    <t>WYNN</t>
  </si>
  <si>
    <t>GOOG</t>
  </si>
  <si>
    <t>TSLA</t>
  </si>
  <si>
    <t>BA</t>
  </si>
  <si>
    <t>SQ</t>
  </si>
  <si>
    <t>SPOT</t>
  </si>
  <si>
    <t>PTON</t>
  </si>
  <si>
    <t>MSFT</t>
  </si>
  <si>
    <t>FB</t>
  </si>
  <si>
    <t>Stability Grade</t>
  </si>
  <si>
    <t>% Portfolio</t>
  </si>
  <si>
    <t>NFLX</t>
  </si>
  <si>
    <t>TD</t>
  </si>
  <si>
    <t>Shares Bought</t>
  </si>
  <si>
    <t>Cash pot.</t>
  </si>
  <si>
    <t>Actual pos.</t>
  </si>
  <si>
    <t>To sell</t>
  </si>
  <si>
    <t>To buy act.</t>
  </si>
  <si>
    <t>To buy share</t>
  </si>
  <si>
    <t>To buy inv.</t>
  </si>
  <si>
    <t>Sell</t>
  </si>
  <si>
    <t>UPWK</t>
  </si>
  <si>
    <t>SHOP</t>
  </si>
  <si>
    <t>AMZN</t>
  </si>
  <si>
    <t>ILMN</t>
  </si>
  <si>
    <t>TDOC</t>
  </si>
  <si>
    <t>ADSK</t>
  </si>
  <si>
    <t>NOVA</t>
  </si>
  <si>
    <t>Graveyard:</t>
  </si>
  <si>
    <t>Equal Weight Grade</t>
  </si>
  <si>
    <t>KL</t>
  </si>
  <si>
    <t>KDP</t>
  </si>
  <si>
    <t>FL</t>
  </si>
  <si>
    <t>DBX</t>
  </si>
  <si>
    <t>Shopping List:</t>
  </si>
  <si>
    <t>QQQ</t>
  </si>
  <si>
    <t>Dividend</t>
  </si>
  <si>
    <t>Annual Income</t>
  </si>
  <si>
    <t>Saving Contribution</t>
  </si>
  <si>
    <t>Equal Weight Grade:</t>
  </si>
  <si>
    <t>HD</t>
  </si>
  <si>
    <t>AAPL</t>
  </si>
  <si>
    <t>GOLD</t>
  </si>
  <si>
    <t>To sell:</t>
  </si>
  <si>
    <t>Years to income=</t>
  </si>
  <si>
    <t>ADBE</t>
  </si>
  <si>
    <t>XLV</t>
  </si>
  <si>
    <t>Shares Owned</t>
  </si>
  <si>
    <t>JPM</t>
  </si>
  <si>
    <t>INTC</t>
  </si>
  <si>
    <t>DKNG</t>
  </si>
  <si>
    <t>BABA</t>
  </si>
  <si>
    <t>NIO</t>
  </si>
  <si>
    <t>MCD</t>
  </si>
  <si>
    <t>BYND</t>
  </si>
  <si>
    <t>XBI</t>
  </si>
  <si>
    <t>SFT</t>
  </si>
  <si>
    <t>SBE</t>
  </si>
  <si>
    <t>VRYYF</t>
  </si>
  <si>
    <t>NCLH</t>
  </si>
  <si>
    <t>CAD</t>
  </si>
  <si>
    <t>CRSR</t>
  </si>
  <si>
    <t>PLUG</t>
  </si>
  <si>
    <t>ABNB</t>
  </si>
  <si>
    <t>BTC</t>
  </si>
  <si>
    <t>ETH</t>
  </si>
  <si>
    <t>XRP</t>
  </si>
  <si>
    <t>Column1</t>
  </si>
  <si>
    <t>CRM</t>
  </si>
  <si>
    <t>MRNA</t>
  </si>
  <si>
    <t>JMIA</t>
  </si>
  <si>
    <t>QS</t>
  </si>
  <si>
    <t>XPEV</t>
  </si>
  <si>
    <t>ENPH</t>
  </si>
  <si>
    <t>SNOW</t>
  </si>
  <si>
    <t>OFF 52w HIGH</t>
  </si>
  <si>
    <t>TTCF</t>
  </si>
  <si>
    <t>ETSY</t>
  </si>
  <si>
    <t>GBTC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</si>
</sst>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USD]\ #,##0.00"/>
    <numFmt numFmtId="166" formatCode="[$CAD]\ #,##0.00"/>
    <numFmt numFmtId="167" formatCode="[$CAD]\ #,##0.00;\-[$CAD]\ #,##0.00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2">
    <xf numFmtId="0" fontId="0" fillId="0" borderId="0" xfId="0"/>
    <xf numFmtId="164" fontId="6" fillId="0" borderId="0" xfId="1" applyFont="1" applyFill="1"/>
    <xf numFmtId="0" fontId="4" fillId="0" borderId="0" xfId="0" applyFont="1" applyFill="1"/>
    <xf numFmtId="164" fontId="4" fillId="0" borderId="0" xfId="1" applyFont="1" applyFill="1"/>
    <xf numFmtId="10" fontId="4" fillId="0" borderId="0" xfId="2" applyNumberFormat="1" applyFont="1" applyFill="1"/>
    <xf numFmtId="10" fontId="4" fillId="0" borderId="0" xfId="1" applyNumberFormat="1" applyFont="1" applyFill="1"/>
    <xf numFmtId="2" fontId="4" fillId="0" borderId="0" xfId="1" applyNumberFormat="1" applyFont="1" applyFill="1"/>
    <xf numFmtId="164" fontId="12" fillId="0" borderId="0" xfId="1" applyFont="1" applyFill="1"/>
    <xf numFmtId="2" fontId="3" fillId="4" borderId="3" xfId="0" applyNumberFormat="1" applyFont="1" applyFill="1" applyBorder="1" applyAlignment="1">
      <alignment horizontal="center" wrapText="1"/>
    </xf>
    <xf numFmtId="0" fontId="0" fillId="4" borderId="0" xfId="0" applyFill="1"/>
    <xf numFmtId="0" fontId="4" fillId="4" borderId="0" xfId="0" applyFont="1" applyFill="1"/>
    <xf numFmtId="10" fontId="5" fillId="5" borderId="0" xfId="3" applyNumberFormat="1" applyFont="1" applyFill="1"/>
    <xf numFmtId="2" fontId="5" fillId="5" borderId="0" xfId="3" applyNumberFormat="1" applyFont="1" applyFill="1"/>
    <xf numFmtId="0" fontId="10" fillId="5" borderId="0" xfId="3" applyNumberFormat="1" applyFont="1" applyFill="1"/>
    <xf numFmtId="0" fontId="4" fillId="4" borderId="0" xfId="0" applyFont="1" applyFill="1" applyAlignment="1">
      <alignment horizontal="center"/>
    </xf>
    <xf numFmtId="164" fontId="6" fillId="4" borderId="0" xfId="1" applyFont="1" applyFill="1"/>
    <xf numFmtId="2" fontId="6" fillId="4" borderId="0" xfId="1" applyNumberFormat="1" applyFont="1" applyFill="1"/>
    <xf numFmtId="0" fontId="9" fillId="4" borderId="0" xfId="1" applyNumberFormat="1" applyFont="1" applyFill="1"/>
    <xf numFmtId="10" fontId="0" fillId="4" borderId="0" xfId="0" applyNumberFormat="1" applyFill="1"/>
    <xf numFmtId="0" fontId="3" fillId="4" borderId="0" xfId="0" applyFont="1" applyFill="1"/>
    <xf numFmtId="164" fontId="3" fillId="4" borderId="2" xfId="1" applyFont="1" applyFill="1" applyBorder="1"/>
    <xf numFmtId="10" fontId="3" fillId="4" borderId="2" xfId="1" applyNumberFormat="1" applyFont="1" applyFill="1" applyBorder="1"/>
    <xf numFmtId="2" fontId="0" fillId="4" borderId="0" xfId="0" applyNumberFormat="1" applyFill="1"/>
    <xf numFmtId="164" fontId="7" fillId="4" borderId="0" xfId="0" applyNumberFormat="1" applyFont="1" applyFill="1"/>
    <xf numFmtId="2" fontId="7" fillId="4" borderId="0" xfId="0" applyNumberFormat="1" applyFont="1" applyFill="1"/>
    <xf numFmtId="44" fontId="9" fillId="4" borderId="0" xfId="0" applyNumberFormat="1" applyFont="1" applyFill="1"/>
    <xf numFmtId="0" fontId="11" fillId="4" borderId="0" xfId="0" applyFont="1" applyFill="1"/>
    <xf numFmtId="0" fontId="9" fillId="4" borderId="0" xfId="0" applyNumberFormat="1" applyFont="1" applyFill="1"/>
    <xf numFmtId="0" fontId="12" fillId="4" borderId="0" xfId="0" applyFont="1" applyFill="1"/>
    <xf numFmtId="9" fontId="4" fillId="4" borderId="0" xfId="1" applyNumberFormat="1" applyFont="1" applyFill="1" applyBorder="1"/>
    <xf numFmtId="164" fontId="12" fillId="4" borderId="0" xfId="1" applyFont="1" applyFill="1" applyBorder="1"/>
    <xf numFmtId="44" fontId="4" fillId="4" borderId="0" xfId="0" applyNumberFormat="1" applyFont="1" applyFill="1"/>
    <xf numFmtId="0" fontId="6" fillId="4" borderId="0" xfId="0" applyFont="1" applyFill="1"/>
    <xf numFmtId="0" fontId="0" fillId="4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0" fontId="3" fillId="0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wrapText="1"/>
    </xf>
    <xf numFmtId="0" fontId="0" fillId="0" borderId="0" xfId="0" applyFill="1"/>
    <xf numFmtId="0" fontId="4" fillId="0" borderId="0" xfId="0" applyFont="1" applyFill="1" applyAlignment="1">
      <alignment horizontal="center"/>
    </xf>
    <xf numFmtId="164" fontId="5" fillId="0" borderId="0" xfId="3" applyNumberFormat="1" applyFont="1" applyFill="1"/>
    <xf numFmtId="10" fontId="5" fillId="0" borderId="0" xfId="3" applyNumberFormat="1" applyFont="1" applyFill="1"/>
    <xf numFmtId="2" fontId="5" fillId="0" borderId="0" xfId="3" applyNumberFormat="1" applyFont="1" applyFill="1"/>
    <xf numFmtId="0" fontId="10" fillId="0" borderId="0" xfId="3" applyNumberFormat="1" applyFont="1" applyFill="1"/>
    <xf numFmtId="2" fontId="6" fillId="0" borderId="0" xfId="1" applyNumberFormat="1" applyFont="1" applyFill="1"/>
    <xf numFmtId="0" fontId="9" fillId="0" borderId="0" xfId="1" applyNumberFormat="1" applyFont="1" applyFill="1"/>
    <xf numFmtId="10" fontId="0" fillId="0" borderId="0" xfId="0" applyNumberFormat="1" applyFill="1"/>
    <xf numFmtId="0" fontId="0" fillId="4" borderId="0" xfId="0" applyFill="1" applyBorder="1"/>
    <xf numFmtId="0" fontId="13" fillId="4" borderId="0" xfId="0" applyFont="1" applyFill="1"/>
    <xf numFmtId="165" fontId="13" fillId="4" borderId="0" xfId="1" applyNumberFormat="1" applyFont="1" applyFill="1" applyBorder="1"/>
    <xf numFmtId="167" fontId="13" fillId="4" borderId="0" xfId="1" applyNumberFormat="1" applyFont="1" applyFill="1" applyBorder="1"/>
    <xf numFmtId="166" fontId="12" fillId="4" borderId="0" xfId="1" applyNumberFormat="1" applyFont="1" applyFill="1" applyBorder="1"/>
    <xf numFmtId="0" fontId="8" fillId="4" borderId="0" xfId="0" applyFont="1" applyFill="1"/>
    <xf numFmtId="10" fontId="3" fillId="0" borderId="3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right"/>
    </xf>
    <xf numFmtId="165" fontId="12" fillId="4" borderId="0" xfId="1" applyNumberFormat="1" applyFont="1" applyFill="1" applyBorder="1"/>
    <xf numFmtId="166" fontId="4" fillId="4" borderId="0" xfId="0" applyNumberFormat="1" applyFont="1" applyFill="1"/>
    <xf numFmtId="0" fontId="3" fillId="0" borderId="3" xfId="0" applyNumberFormat="1" applyFont="1" applyFill="1" applyBorder="1" applyAlignment="1">
      <alignment horizontal="center" wrapText="1"/>
    </xf>
    <xf numFmtId="0" fontId="5" fillId="0" borderId="0" xfId="3" applyNumberFormat="1" applyFont="1" applyFill="1"/>
    <xf numFmtId="0" fontId="4" fillId="0" borderId="0" xfId="1" applyNumberFormat="1" applyFont="1" applyFill="1"/>
    <xf numFmtId="0" fontId="0" fillId="4" borderId="0" xfId="0" applyNumberFormat="1" applyFill="1"/>
    <xf numFmtId="10" fontId="12" fillId="0" borderId="0" xfId="1" applyNumberFormat="1" applyFont="1" applyFill="1"/>
    <xf numFmtId="164" fontId="6" fillId="5" borderId="0" xfId="1" applyFont="1" applyFill="1"/>
    <xf numFmtId="2" fontId="6" fillId="5" borderId="0" xfId="1" applyNumberFormat="1" applyFont="1" applyFill="1"/>
    <xf numFmtId="0" fontId="9" fillId="5" borderId="0" xfId="1" applyNumberFormat="1" applyFont="1" applyFill="1"/>
    <xf numFmtId="0" fontId="4" fillId="6" borderId="0" xfId="0" applyFont="1" applyFill="1"/>
    <xf numFmtId="0" fontId="4" fillId="4" borderId="0" xfId="0" applyFont="1" applyFill="1" applyAlignment="1">
      <alignment wrapText="1"/>
    </xf>
    <xf numFmtId="164" fontId="13" fillId="0" borderId="0" xfId="3" applyNumberFormat="1" applyFont="1" applyFill="1"/>
    <xf numFmtId="10" fontId="13" fillId="0" borderId="0" xfId="3" applyNumberFormat="1" applyFont="1" applyFill="1"/>
    <xf numFmtId="2" fontId="13" fillId="0" borderId="0" xfId="1" applyNumberFormat="1" applyFont="1" applyFill="1"/>
    <xf numFmtId="164" fontId="12" fillId="0" borderId="0" xfId="3" applyNumberFormat="1" applyFont="1" applyFill="1"/>
    <xf numFmtId="168" fontId="3" fillId="4" borderId="2" xfId="1" applyNumberFormat="1" applyFont="1" applyFill="1" applyBorder="1"/>
  </cellXfs>
  <cellStyles count="5">
    <cellStyle name="Accent3" xfId="3" builtinId="37"/>
    <cellStyle name="Accent6" xfId="4" builtinId="49" customBuiltin="1"/>
    <cellStyle name="Currency" xfId="1" builtinId="4"/>
    <cellStyle name="Normal" xfId="0" builtinId="0"/>
    <cellStyle name="Percent" xfId="2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>
          <bgColor rgb="FF92D050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>
          <bgColor rgb="FF92D050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>
          <bgColor rgb="FF92D050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>
          <bgColor rgb="FF92D050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B05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C9382-94AD-49F5-9A85-710722A74F0C}" name="Table135" displayName="Table135" ref="B1:Q12" totalsRowShown="0" headerRowDxfId="136" dataDxfId="134" headerRowBorderDxfId="135" tableBorderDxfId="133" dataCellStyle="Currency">
  <autoFilter ref="B1:Q12" xr:uid="{C4CEB690-98FE-4BF7-9CCD-145A7022FEAC}"/>
  <sortState xmlns:xlrd2="http://schemas.microsoft.com/office/spreadsheetml/2017/richdata2" ref="B2:Q12">
    <sortCondition ref="E1:E12"/>
  </sortState>
  <tableColumns count="16">
    <tableColumn id="1" xr3:uid="{2924E863-5A3E-43F4-9650-C99FCD8C1C1D}" name="Stock" dataDxfId="132"/>
    <tableColumn id="2" xr3:uid="{126DB705-B6CA-44E2-9A10-17EEAA607EED}" name="Price" dataDxfId="131" dataCellStyle="Currency"/>
    <tableColumn id="3" xr3:uid="{5FCE490F-717F-4645-9E6B-C68BE60B406C}" name="ATR" dataDxfId="130" dataCellStyle="Currency"/>
    <tableColumn id="4" xr3:uid="{4776E750-7995-4ABE-94E1-BE3137B64EC2}" name="ATR %" dataDxfId="129" dataCellStyle="Percent">
      <calculatedColumnFormula>D2/C2</calculatedColumnFormula>
    </tableColumn>
    <tableColumn id="5" xr3:uid="{3BDA2415-8AA0-439A-AB38-E1BDA5E304CC}" name="Investment" dataDxfId="128" dataCellStyle="Currency">
      <calculatedColumnFormula>((1/(E2/$E$2))*$F$15)*$F$16</calculatedColumnFormula>
    </tableColumn>
    <tableColumn id="6" xr3:uid="{B4B2EBEF-90F5-4A01-8720-3BB17BB18BAF}" name="Stability Grade" dataDxfId="127" dataCellStyle="Currency">
      <calculatedColumnFormula>$E$2/E2</calculatedColumnFormula>
    </tableColumn>
    <tableColumn id="7" xr3:uid="{A2323C78-C33F-4EE8-816E-21AF5063D197}" name="Shares Bought" dataDxfId="126" dataCellStyle="Currency"/>
    <tableColumn id="16" xr3:uid="{EBC7566E-5FE8-4C1F-BB21-FCA34995F9FD}" name="Shares Owned" dataDxfId="125" dataCellStyle="Currency"/>
    <tableColumn id="8" xr3:uid="{076BE363-3076-43BC-8078-5D77A21B07B0}" name="% Portfolio" dataDxfId="124" dataCellStyle="Currency"/>
    <tableColumn id="9" xr3:uid="{DF360AB2-7785-4060-9187-1C2B10EEF805}" name="Actual pos." dataDxfId="123" dataCellStyle="Currency"/>
    <tableColumn id="10" xr3:uid="{FE67E1B9-82A0-45A9-98A2-3994433697FA}" name="Cash pot." dataDxfId="122" dataCellStyle="Currency">
      <calculatedColumnFormula>K2-Table135[[#This Row],[Investment]]</calculatedColumnFormula>
    </tableColumn>
    <tableColumn id="11" xr3:uid="{5AE11A44-7C87-4995-A08B-995C14ABDDA0}" name="To sell" dataDxfId="121" dataCellStyle="Currency">
      <calculatedColumnFormula>L2/Table135[[#This Row],[Price]]</calculatedColumnFormula>
    </tableColumn>
    <tableColumn id="12" xr3:uid="{8AB5E578-3410-4A29-A9AD-6E57E915DE3D}" name="To buy inv." dataDxfId="120" dataCellStyle="Currency"/>
    <tableColumn id="13" xr3:uid="{8985874D-76DF-4302-9FAE-BB145BCAFB09}" name="To buy share" dataDxfId="119" dataCellStyle="Currency"/>
    <tableColumn id="14" xr3:uid="{1257F3EF-0A1D-43BE-943B-80602E34733F}" name="To buy act." dataDxfId="118" dataCellStyle="Currency"/>
    <tableColumn id="15" xr3:uid="{67AD20BF-85C4-4AF5-9FD5-6C6BD2F17188}" name="Sell" dataDxfId="117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2B6D6-5771-4771-9D07-7ADC691F477C}" name="Table1356" displayName="Table1356" ref="B1:Q15" totalsRowShown="0" headerRowDxfId="116" dataDxfId="114" headerRowBorderDxfId="115" tableBorderDxfId="113" dataCellStyle="Currency">
  <autoFilter ref="B1:Q15" xr:uid="{C4CEB690-98FE-4BF7-9CCD-145A7022FEAC}"/>
  <sortState xmlns:xlrd2="http://schemas.microsoft.com/office/spreadsheetml/2017/richdata2" ref="B2:Q15">
    <sortCondition ref="E1:E15"/>
  </sortState>
  <tableColumns count="16">
    <tableColumn id="1" xr3:uid="{1472587B-6C2B-4450-A45B-9103DF456A88}" name="Stock" dataDxfId="112"/>
    <tableColumn id="2" xr3:uid="{D473451C-5896-4FE6-A6EA-D8C39434733F}" name="Price" dataDxfId="111" dataCellStyle="Currency"/>
    <tableColumn id="3" xr3:uid="{F5F049CE-0773-43C4-83BD-736EA10ED5C8}" name="ATR" dataDxfId="110" dataCellStyle="Currency"/>
    <tableColumn id="4" xr3:uid="{7416BC22-A301-4891-9CAC-FF3A78A1CFD4}" name="ATR %" dataDxfId="109" dataCellStyle="Percent">
      <calculatedColumnFormula>D2/C2</calculatedColumnFormula>
    </tableColumn>
    <tableColumn id="5" xr3:uid="{C9A2AC59-1815-4428-95D8-17593381567E}" name="Investment" dataDxfId="108" dataCellStyle="Currency">
      <calculatedColumnFormula>((1/(E2/$E$2))*$F$18)*$F$19</calculatedColumnFormula>
    </tableColumn>
    <tableColumn id="6" xr3:uid="{7B6FA617-C178-4837-8F56-C7FB691B4B9F}" name="Stability Grade" dataDxfId="107" dataCellStyle="Currency">
      <calculatedColumnFormula>$E$2/E2</calculatedColumnFormula>
    </tableColumn>
    <tableColumn id="7" xr3:uid="{15B36C66-7794-4925-9C20-E6284B5F1A71}" name="Shares Bought" dataDxfId="106" dataCellStyle="Currency"/>
    <tableColumn id="16" xr3:uid="{A816AE5A-9616-4623-8087-95C304A2E0E2}" name="Shares Owned" dataDxfId="105" dataCellStyle="Currency"/>
    <tableColumn id="8" xr3:uid="{C22C388D-DBDA-4C73-AE7E-A616D989B064}" name="% Portfolio" dataDxfId="104" dataCellStyle="Currency"/>
    <tableColumn id="9" xr3:uid="{EAA65FF4-738F-44E3-A771-CDDFE053329B}" name="Actual pos." dataDxfId="103" dataCellStyle="Currency"/>
    <tableColumn id="10" xr3:uid="{8B9D82E7-5090-44DB-828C-9B04CC7CAE3F}" name="Cash pot." dataDxfId="102" dataCellStyle="Currency">
      <calculatedColumnFormula>K2-Table1356[[#This Row],[Investment]]</calculatedColumnFormula>
    </tableColumn>
    <tableColumn id="11" xr3:uid="{FB7145E6-6795-4310-A120-65400EA19AF6}" name="To sell" dataDxfId="101" dataCellStyle="Currency">
      <calculatedColumnFormula>L2/Table1356[[#This Row],[Price]]</calculatedColumnFormula>
    </tableColumn>
    <tableColumn id="12" xr3:uid="{99DA605F-2DCF-4952-BFEB-C63B4C946D1C}" name="To buy inv." dataDxfId="100" dataCellStyle="Currency"/>
    <tableColumn id="13" xr3:uid="{C763DC89-2198-4B2C-A8A4-DDFC119A3179}" name="To buy share" dataDxfId="99" dataCellStyle="Currency"/>
    <tableColumn id="14" xr3:uid="{B0A3D037-110E-44A2-B8D0-DAD17DF345B9}" name="To buy act." dataDxfId="98" dataCellStyle="Currency"/>
    <tableColumn id="15" xr3:uid="{B927A217-3BAF-4DBF-8A7C-199E7AC15080}" name="Sell" dataDxfId="97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D852F-C587-43B9-9C82-B36280EFF066}" name="Table14" displayName="Table14" ref="B1:R6" totalsRowShown="0" headerRowDxfId="96" dataDxfId="94" headerRowBorderDxfId="95" tableBorderDxfId="93" dataCellStyle="Currency">
  <autoFilter ref="B1:R6" xr:uid="{C4CEB690-98FE-4BF7-9CCD-145A7022FEAC}"/>
  <sortState xmlns:xlrd2="http://schemas.microsoft.com/office/spreadsheetml/2017/richdata2" ref="B2:R6">
    <sortCondition ref="E1:E6"/>
  </sortState>
  <tableColumns count="17">
    <tableColumn id="1" xr3:uid="{D4E0C3E5-37DF-45E7-9931-7A284A71BD02}" name="Stock" dataDxfId="92"/>
    <tableColumn id="2" xr3:uid="{B2F5B356-091E-45FA-8F0E-64375D07851B}" name="Price" dataDxfId="91" dataCellStyle="Currency"/>
    <tableColumn id="3" xr3:uid="{AC358AC5-1C49-4DF8-A671-835CFCF302F0}" name="ATR" dataDxfId="90" dataCellStyle="Currency"/>
    <tableColumn id="4" xr3:uid="{9216AD2B-891A-41D5-8C6B-690B34B1865C}" name="ATR %" dataDxfId="89" dataCellStyle="Percent">
      <calculatedColumnFormula>D2/C2</calculatedColumnFormula>
    </tableColumn>
    <tableColumn id="5" xr3:uid="{A9C93568-32F2-4CCE-A428-77999CCE9E19}" name="Investment" dataDxfId="88" dataCellStyle="Currency">
      <calculatedColumnFormula>((1/(E2/$E$2))*$F$9)*$F$10</calculatedColumnFormula>
    </tableColumn>
    <tableColumn id="6" xr3:uid="{DBDEF433-451B-4E24-9C1A-6CC8F31B5F09}" name="Stability Grade" dataDxfId="87" dataCellStyle="Currency">
      <calculatedColumnFormula>$E$2/E2</calculatedColumnFormula>
    </tableColumn>
    <tableColumn id="7" xr3:uid="{EA21F141-198F-485B-9B47-57888573CE99}" name="Shares Bought" dataDxfId="86" dataCellStyle="Currency"/>
    <tableColumn id="17" xr3:uid="{10B8FFF9-3136-4D14-B995-08D2BCD04D71}" name="Shares Owned" dataDxfId="85" dataCellStyle="Currency"/>
    <tableColumn id="16" xr3:uid="{BA3E3817-F53A-413D-887C-E48592FC8CFB}" name="Dividend" dataDxfId="84" dataCellStyle="Currency"/>
    <tableColumn id="8" xr3:uid="{5FCDBE3E-6C64-48D4-AFDE-FE621E8B2A1B}" name="% Portfolio" dataDxfId="83" dataCellStyle="Currency"/>
    <tableColumn id="9" xr3:uid="{EA3DB880-81A9-4443-836F-2842698972B8}" name="Actual pos." dataDxfId="82" dataCellStyle="Currency"/>
    <tableColumn id="10" xr3:uid="{BC7F6523-26E5-4271-84C4-34DE067638D8}" name="Cash pot." dataDxfId="81" dataCellStyle="Currency">
      <calculatedColumnFormula>L2-Table14[[#This Row],[Investment]]</calculatedColumnFormula>
    </tableColumn>
    <tableColumn id="11" xr3:uid="{F532506B-204D-4E5F-BC48-5E3F227A1AC0}" name="To sell" dataDxfId="80" dataCellStyle="Currency">
      <calculatedColumnFormula>M2/Table14[[#This Row],[Price]]</calculatedColumnFormula>
    </tableColumn>
    <tableColumn id="12" xr3:uid="{0DB18D62-8962-480D-8068-0E5F0EB6D1F2}" name="To buy inv." dataDxfId="79" dataCellStyle="Currency"/>
    <tableColumn id="13" xr3:uid="{B69BC90C-5F89-4BFB-BF01-DF37C9DDA85C}" name="To buy share" dataDxfId="78" dataCellStyle="Currency"/>
    <tableColumn id="14" xr3:uid="{D5416845-7349-48DE-9A04-AF0B7B54F17D}" name="To buy act." dataDxfId="77" dataCellStyle="Currency"/>
    <tableColumn id="15" xr3:uid="{D3277208-B02A-4AB3-A406-B0F7107D03C6}" name="Sell" dataDxfId="76" dataCellStyle="Currenc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524F-DB07-4C5F-A8F0-62A112E53AB9}" name="Table1353" displayName="Table1353" ref="B1:R13" totalsRowShown="0" headerRowDxfId="75" dataDxfId="73" headerRowBorderDxfId="74" tableBorderDxfId="72" dataCellStyle="Currency">
  <autoFilter ref="B1:R13" xr:uid="{C4CEB690-98FE-4BF7-9CCD-145A7022FEAC}"/>
  <sortState xmlns:xlrd2="http://schemas.microsoft.com/office/spreadsheetml/2017/richdata2" ref="B2:R13">
    <sortCondition ref="F1:F13"/>
  </sortState>
  <tableColumns count="17">
    <tableColumn id="1" xr3:uid="{828217CF-E6DB-45D0-AF00-2C648DBA4A3A}" name="Stock" dataDxfId="71"/>
    <tableColumn id="2" xr3:uid="{BB7F3FDB-98A6-47DC-99B4-BF309D071FEB}" name="Price" dataDxfId="70" dataCellStyle="Currency"/>
    <tableColumn id="3" xr3:uid="{2E4E1AFB-D0FA-4899-92B0-4214325C0A51}" name="ATR" dataDxfId="69" dataCellStyle="Currency"/>
    <tableColumn id="17" xr3:uid="{C5FF207E-2D12-4116-9FC9-2203AC370D8D}" name="OFF 52w HIGH" dataDxfId="68" dataCellStyle="Currency"/>
    <tableColumn id="4" xr3:uid="{9436F3BD-5E7A-4915-AFB3-442446B9D99B}" name="ATR %" dataDxfId="67" dataCellStyle="Percent">
      <calculatedColumnFormula>D2/C2</calculatedColumnFormula>
    </tableColumn>
    <tableColumn id="5" xr3:uid="{9A44737D-FF8B-434B-AB6E-9F5A29906C6B}" name="Investment" dataDxfId="66" dataCellStyle="Currency">
      <calculatedColumnFormula>((1/(F2/$F$2))*$G$16)*$G$17</calculatedColumnFormula>
    </tableColumn>
    <tableColumn id="6" xr3:uid="{E80EE12C-0C19-47F5-9F1E-E46912A78BA2}" name="Stability Grade" dataDxfId="65" dataCellStyle="Currency">
      <calculatedColumnFormula>$F$2/F2</calculatedColumnFormula>
    </tableColumn>
    <tableColumn id="7" xr3:uid="{647930D4-E0A1-4BD3-A397-1DB36593D5BC}" name="Shares Bought" dataDxfId="64" dataCellStyle="Currency"/>
    <tableColumn id="16" xr3:uid="{133CEC33-44C4-4184-A4D0-B2567D7FEB47}" name="Shares Owned" dataDxfId="63" dataCellStyle="Currency"/>
    <tableColumn id="8" xr3:uid="{6EF548A0-6FBF-443F-8477-86D884205379}" name="% Portfolio" dataDxfId="62" dataCellStyle="Currency"/>
    <tableColumn id="9" xr3:uid="{7124FB7A-ABC9-4114-B22F-7DE1B4B88578}" name="Actual pos." dataDxfId="61" dataCellStyle="Currency"/>
    <tableColumn id="10" xr3:uid="{C7572FBF-1581-47D6-A701-D348C96E5A27}" name="Cash pot." dataDxfId="60" dataCellStyle="Currency">
      <calculatedColumnFormula>L2-Table1353[[#This Row],[Investment]]</calculatedColumnFormula>
    </tableColumn>
    <tableColumn id="11" xr3:uid="{83F17424-F894-4636-B73A-3B611BB533F1}" name="To sell" dataDxfId="59" dataCellStyle="Currency">
      <calculatedColumnFormula>M2/Table1353[[#This Row],[Price]]</calculatedColumnFormula>
    </tableColumn>
    <tableColumn id="12" xr3:uid="{5DF3C163-7D7E-4F96-B5F8-DA4926AA21CE}" name="To buy inv." dataDxfId="58" dataCellStyle="Currency"/>
    <tableColumn id="13" xr3:uid="{0FB7CB2B-24F3-4955-8AE2-B28692E07DB9}" name="To buy share" dataDxfId="57" dataCellStyle="Currency"/>
    <tableColumn id="14" xr3:uid="{3E52DB31-6D7E-4571-8C3D-9563437619FC}" name="To buy act." dataDxfId="56" dataCellStyle="Currency"/>
    <tableColumn id="15" xr3:uid="{5522A567-60C3-4DC4-BB91-A459BC0AC9F4}" name="Sell" dataDxfId="55" dataCellStyle="Currenc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D631-725C-4279-86BB-1FF08CB4C4BD}" name="Table142" displayName="Table142" ref="B1:R10" totalsRowShown="0" headerRowDxfId="54" dataDxfId="52" headerRowBorderDxfId="53" tableBorderDxfId="51" dataCellStyle="Currency">
  <autoFilter ref="B1:R10" xr:uid="{C4CEB690-98FE-4BF7-9CCD-145A7022FEAC}"/>
  <sortState xmlns:xlrd2="http://schemas.microsoft.com/office/spreadsheetml/2017/richdata2" ref="B2:R10">
    <sortCondition ref="E1:E10"/>
  </sortState>
  <tableColumns count="17">
    <tableColumn id="1" xr3:uid="{656E7DF1-076F-4E28-BFA8-91EE38A5BC9C}" name="Stock" dataDxfId="50"/>
    <tableColumn id="2" xr3:uid="{132E14FB-C26E-4571-BBCE-389D028E7615}" name="Price" dataDxfId="49" dataCellStyle="Currency"/>
    <tableColumn id="3" xr3:uid="{F3A5DE10-AD34-4EB6-A48A-B85593B7C268}" name="ATR" dataDxfId="48" dataCellStyle="Currency"/>
    <tableColumn id="4" xr3:uid="{87B867F8-5046-40E2-91FE-F47A6D85FC25}" name="ATR %" dataDxfId="47" dataCellStyle="Percent">
      <calculatedColumnFormula>D2/C2</calculatedColumnFormula>
    </tableColumn>
    <tableColumn id="5" xr3:uid="{24CC62F5-0948-4924-AB82-4AB743DB321C}" name="Investment" dataDxfId="46" dataCellStyle="Currency">
      <calculatedColumnFormula>((1/(E2/$E$2))*$F$13)*$F$14</calculatedColumnFormula>
    </tableColumn>
    <tableColumn id="6" xr3:uid="{2C45E1F8-E931-4447-B6EA-B2FB05BCD6EA}" name="Stability Grade" dataDxfId="45" dataCellStyle="Currency">
      <calculatedColumnFormula>$E$2/E2</calculatedColumnFormula>
    </tableColumn>
    <tableColumn id="7" xr3:uid="{D8FDE3F5-A542-493B-A0CE-C9F2C1BE77EB}" name="Shares Bought" dataDxfId="44" dataCellStyle="Currency"/>
    <tableColumn id="17" xr3:uid="{349D5B54-1069-4BAC-926B-34C94EB4CB42}" name="Shares Owned" dataDxfId="43" dataCellStyle="Currency"/>
    <tableColumn id="16" xr3:uid="{6D29EFFC-4BE4-43ED-BB32-2315C5D328CC}" name="Dividend" dataDxfId="42" dataCellStyle="Currency"/>
    <tableColumn id="8" xr3:uid="{36290BA9-FFE3-413E-B67E-B69398145681}" name="% Portfolio" dataDxfId="41" dataCellStyle="Currency"/>
    <tableColumn id="9" xr3:uid="{51CBC70D-112D-47C9-8CC8-AF296DC01BDF}" name="Actual pos." dataDxfId="40" dataCellStyle="Currency"/>
    <tableColumn id="10" xr3:uid="{958D9904-D94A-4E19-A837-B00B388BB1A4}" name="Cash pot." dataDxfId="39" dataCellStyle="Currency">
      <calculatedColumnFormula>L2-Table142[[#This Row],[Investment]]</calculatedColumnFormula>
    </tableColumn>
    <tableColumn id="11" xr3:uid="{5B94C770-1458-46D0-BE22-69BA7465DAB0}" name="To sell" dataDxfId="38" dataCellStyle="Currency">
      <calculatedColumnFormula>M2/Table142[[#This Row],[Price]]</calculatedColumnFormula>
    </tableColumn>
    <tableColumn id="12" xr3:uid="{6209A87B-6D0B-422E-90EA-98B0D5B51CCE}" name="To buy inv." dataDxfId="37" dataCellStyle="Currency"/>
    <tableColumn id="13" xr3:uid="{F92C83D9-FD95-47BE-9420-EEAC7ADA1205}" name="To buy share" dataDxfId="36" dataCellStyle="Currency"/>
    <tableColumn id="14" xr3:uid="{B1DC900B-57E5-4EE6-8739-6207C257AC25}" name="To buy act." dataDxfId="35" dataCellStyle="Currency"/>
    <tableColumn id="15" xr3:uid="{27B25FD6-F047-4E90-B08C-9C3235EED537}" name="Sell" dataDxfId="34" dataCellStyle="Currenc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662F5B-7564-4398-8DEC-237A42C38AAB}" name="Table1487" displayName="Table1487" ref="B1:M4" totalsRowShown="0" headerRowDxfId="33" dataDxfId="31" headerRowBorderDxfId="32" tableBorderDxfId="30" dataCellStyle="Currency">
  <autoFilter ref="B1:M4" xr:uid="{C4CEB690-98FE-4BF7-9CCD-145A7022FEAC}"/>
  <tableColumns count="12">
    <tableColumn id="1" xr3:uid="{B1EFC58D-D0CF-4B18-837B-CD6A6BE5211F}" name="Stock" dataDxfId="29"/>
    <tableColumn id="5" xr3:uid="{644C0FC0-4C75-4FE4-973E-34E5BD7459D1}" name="Investment" dataDxfId="28" dataCellStyle="Currency">
      <calculatedColumnFormula>((1/(#REF!/#REF!))*$C$7)*$C$8</calculatedColumnFormula>
    </tableColumn>
    <tableColumn id="7" xr3:uid="{76DBDC39-58A0-4B7D-A7B7-CDE60C92EB1A}" name="Shares Bought" dataDxfId="27" dataCellStyle="Currency"/>
    <tableColumn id="2" xr3:uid="{275C0CB0-16A9-4D45-BE39-CF9BDEDAC4A5}" name="Column1">
      <calculatedColumnFormula>(0.7*$E$6)-Table1487[[#This Row],[Investment]]</calculatedColumnFormula>
    </tableColumn>
    <tableColumn id="8" xr3:uid="{D728B6E4-BA36-4BEC-AF22-EB3D16C26939}" name="% Portfolio" dataDxfId="26" dataCellStyle="Currency">
      <calculatedColumnFormula>Table1487[[#This Row],[Investment]]/$C$5</calculatedColumnFormula>
    </tableColumn>
    <tableColumn id="9" xr3:uid="{B834A4AF-E608-41A4-90C4-4D15851671BF}" name="Actual pos." dataDxfId="25" dataCellStyle="Currency"/>
    <tableColumn id="10" xr3:uid="{16670D3A-76FF-46B9-B757-0C099817491F}" name="Cash pot." dataDxfId="24" dataCellStyle="Currency">
      <calculatedColumnFormula>G2-Table1487[[#This Row],[Investment]]</calculatedColumnFormula>
    </tableColumn>
    <tableColumn id="11" xr3:uid="{076CBB0D-16F7-4FDE-9086-56A22CA888AF}" name="To sell" dataDxfId="23" dataCellStyle="Currency">
      <calculatedColumnFormula>H2/#REF!</calculatedColumnFormula>
    </tableColumn>
    <tableColumn id="12" xr3:uid="{F3EB85FB-E831-42B8-9AF4-C596F7BEFEEE}" name="To buy inv." dataDxfId="22" dataCellStyle="Currency"/>
    <tableColumn id="13" xr3:uid="{1C9B798E-4520-4B18-8EAD-8895A92DCCB9}" name="To buy share" dataDxfId="21" dataCellStyle="Currency"/>
    <tableColumn id="14" xr3:uid="{88C7C090-2512-4E8B-A0D2-393AD7C3EF64}" name="To buy act." dataDxfId="20" dataCellStyle="Currency"/>
    <tableColumn id="15" xr3:uid="{0ABB1883-392F-4C24-BF8A-77803A867942}" name="Sell" dataDxfId="19" dataCellStyle="Currenc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C4784E-F95E-4448-AC2E-347DDC0E7257}" name="Table148" displayName="Table148" ref="B1:P5" totalsRowShown="0" headerRowDxfId="18" dataDxfId="16" headerRowBorderDxfId="17" tableBorderDxfId="15" dataCellStyle="Currency">
  <autoFilter ref="B1:P5" xr:uid="{C4CEB690-98FE-4BF7-9CCD-145A7022FEAC}"/>
  <sortState xmlns:xlrd2="http://schemas.microsoft.com/office/spreadsheetml/2017/richdata2" ref="B2:P5">
    <sortCondition ref="E1:E5"/>
  </sortState>
  <tableColumns count="15">
    <tableColumn id="1" xr3:uid="{1C3741C4-1E5D-4DC6-974E-9FEDAADE0026}" name="Stock" dataDxfId="14"/>
    <tableColumn id="2" xr3:uid="{CF2D0ED3-79F2-4673-9005-F5E5CEDE212B}" name="Price" dataDxfId="13" dataCellStyle="Currency"/>
    <tableColumn id="3" xr3:uid="{65349709-CDAF-4982-BFE5-BDEF08AB4744}" name="ATR" dataDxfId="12" dataCellStyle="Currency"/>
    <tableColumn id="4" xr3:uid="{D07EE801-C4F8-4B04-86EC-2A44241D860C}" name="ATR %" dataDxfId="11" dataCellStyle="Percent">
      <calculatedColumnFormula>D2/C2</calculatedColumnFormula>
    </tableColumn>
    <tableColumn id="5" xr3:uid="{DAD6609B-36D5-4773-ACF4-3DEB17752BD7}" name="Investment" dataDxfId="10" dataCellStyle="Currency">
      <calculatedColumnFormula>((1/(E2/$E$2))*$F$8)*$F$9</calculatedColumnFormula>
    </tableColumn>
    <tableColumn id="6" xr3:uid="{C90A8933-45D2-406B-9226-99E939EFE4CD}" name="Stability Grade" dataDxfId="9" dataCellStyle="Currency">
      <calculatedColumnFormula>$E$2/E2</calculatedColumnFormula>
    </tableColumn>
    <tableColumn id="7" xr3:uid="{CD38111D-6379-4B28-948A-7753573EB745}" name="Shares Bought" dataDxfId="8" dataCellStyle="Currency"/>
    <tableColumn id="8" xr3:uid="{A79657BE-0302-4D22-88A8-035DC06F9145}" name="% Portfolio" dataDxfId="7" dataCellStyle="Currency"/>
    <tableColumn id="9" xr3:uid="{3AB7DD2E-9A73-48DF-819F-4B24420FADC1}" name="Actual pos." dataDxfId="6" dataCellStyle="Currency"/>
    <tableColumn id="10" xr3:uid="{E32057BB-F98F-4309-8766-BEEB034DE82B}" name="Cash pot." dataDxfId="5" dataCellStyle="Currency">
      <calculatedColumnFormula>J2-Table148[[#This Row],[Investment]]</calculatedColumnFormula>
    </tableColumn>
    <tableColumn id="11" xr3:uid="{BB379056-65CB-4518-9D42-D785FD67AF79}" name="To sell" dataDxfId="4" dataCellStyle="Currency">
      <calculatedColumnFormula>K2/Table148[[#This Row],[Price]]</calculatedColumnFormula>
    </tableColumn>
    <tableColumn id="12" xr3:uid="{75EB8791-62A2-4548-9D69-6BCE9BD372E4}" name="To buy inv." dataDxfId="3" dataCellStyle="Currency"/>
    <tableColumn id="13" xr3:uid="{0CF20C36-8B90-487B-87B6-B0D443B5663A}" name="To buy share" dataDxfId="2" dataCellStyle="Currency"/>
    <tableColumn id="14" xr3:uid="{787C959E-3975-4917-945A-EA9C0B30FB68}" name="To buy act." dataDxfId="1" dataCellStyle="Currency"/>
    <tableColumn id="15" xr3:uid="{B46BC793-439B-4138-A7A9-AE5841566293}" name="Sell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5914-F7AE-48AE-AAB5-1ED2D7ADFA64}">
  <dimension ref="A1:R175"/>
  <sheetViews>
    <sheetView zoomScale="125" zoomScaleNormal="125" workbookViewId="0">
      <selection activeCell="F17" sqref="F17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1.42578125" style="10" customWidth="1"/>
    <col min="4" max="4" width="19" style="10" customWidth="1"/>
    <col min="5" max="5" width="27.85546875" style="10" bestFit="1" customWidth="1"/>
    <col min="6" max="6" width="26.5703125" style="10" bestFit="1" customWidth="1"/>
    <col min="7" max="7" width="25" style="18" customWidth="1"/>
    <col min="8" max="8" width="14.7109375" style="22" bestFit="1" customWidth="1"/>
    <col min="9" max="9" width="14.7109375" style="60" customWidth="1"/>
    <col min="10" max="10" width="24.85546875" style="18" customWidth="1"/>
    <col min="11" max="11" width="15" style="9" hidden="1" customWidth="1"/>
    <col min="12" max="12" width="13.85546875" style="9" hidden="1" customWidth="1"/>
    <col min="13" max="13" width="13.7109375" style="22" hidden="1" customWidth="1"/>
    <col min="14" max="14" width="12.140625" style="9" hidden="1" customWidth="1"/>
    <col min="15" max="15" width="14.85546875" style="22" hidden="1" customWidth="1"/>
    <col min="16" max="16" width="16.28515625" style="27" hidden="1" customWidth="1"/>
    <col min="17" max="17" width="12.5703125" style="27" hidden="1" customWidth="1"/>
    <col min="18" max="16384" width="9.140625" style="9"/>
  </cols>
  <sheetData>
    <row r="1" spans="1:18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6" t="s">
        <v>29</v>
      </c>
      <c r="H1" s="37" t="s">
        <v>33</v>
      </c>
      <c r="I1" s="57" t="s">
        <v>67</v>
      </c>
      <c r="J1" s="36" t="s">
        <v>30</v>
      </c>
      <c r="K1" s="37" t="s">
        <v>35</v>
      </c>
      <c r="L1" s="37" t="s">
        <v>34</v>
      </c>
      <c r="M1" s="37" t="s">
        <v>36</v>
      </c>
      <c r="N1" s="37" t="s">
        <v>39</v>
      </c>
      <c r="O1" s="37" t="s">
        <v>38</v>
      </c>
      <c r="P1" s="37" t="s">
        <v>37</v>
      </c>
      <c r="Q1" s="37" t="s">
        <v>40</v>
      </c>
      <c r="R1" s="38"/>
    </row>
    <row r="2" spans="1:18" x14ac:dyDescent="0.35">
      <c r="A2" s="39">
        <v>0</v>
      </c>
      <c r="B2" s="2" t="s">
        <v>55</v>
      </c>
      <c r="C2" s="7">
        <v>290.38</v>
      </c>
      <c r="D2" s="7">
        <v>5.69</v>
      </c>
      <c r="E2" s="4">
        <f t="shared" ref="E2:E12" si="0">D2/C2</f>
        <v>1.9595013430677044E-2</v>
      </c>
      <c r="F2" s="40"/>
      <c r="G2" s="41">
        <v>1</v>
      </c>
      <c r="H2" s="40"/>
      <c r="I2" s="58"/>
      <c r="J2" s="41"/>
      <c r="K2" s="41"/>
      <c r="L2" s="41"/>
      <c r="M2" s="42"/>
      <c r="N2" s="41"/>
      <c r="O2" s="42"/>
      <c r="P2" s="43"/>
      <c r="Q2" s="43"/>
      <c r="R2" s="38"/>
    </row>
    <row r="3" spans="1:18" x14ac:dyDescent="0.35">
      <c r="A3" s="39">
        <v>1</v>
      </c>
      <c r="B3" s="2" t="s">
        <v>21</v>
      </c>
      <c r="C3" s="7">
        <v>1742.19</v>
      </c>
      <c r="D3" s="7">
        <v>42.83</v>
      </c>
      <c r="E3" s="4">
        <f t="shared" si="0"/>
        <v>2.4584000596949814E-2</v>
      </c>
      <c r="F3" s="3">
        <f t="shared" ref="F3:F12" si="1">((1/(E3/$E$2))*$F$15)*$F$16</f>
        <v>5732.9927796336888</v>
      </c>
      <c r="G3" s="5">
        <f t="shared" ref="G3:G12" si="2">$E$2/E3</f>
        <v>0.79706365745485042</v>
      </c>
      <c r="H3" s="6">
        <f>Table135[[#This Row],[Investment]]/Table135[[#This Row],[Price]]</f>
        <v>3.290681716479654</v>
      </c>
      <c r="I3" s="59">
        <v>0</v>
      </c>
      <c r="J3" s="5">
        <f>Table135[[#This Row],[Investment]]/$F$13</f>
        <v>0.15287980745689836</v>
      </c>
      <c r="K3" s="1"/>
      <c r="L3" s="1"/>
      <c r="M3" s="44"/>
      <c r="N3" s="1"/>
      <c r="O3" s="44"/>
      <c r="P3" s="45"/>
      <c r="Q3" s="45"/>
      <c r="R3" s="46">
        <f t="shared" ref="R3:R10" si="3">R$12</f>
        <v>0.1</v>
      </c>
    </row>
    <row r="4" spans="1:18" x14ac:dyDescent="0.35">
      <c r="A4" s="39">
        <f t="shared" ref="A4:A12" si="4">A3+1</f>
        <v>2</v>
      </c>
      <c r="B4" s="2" t="s">
        <v>27</v>
      </c>
      <c r="C4" s="7">
        <v>210.39</v>
      </c>
      <c r="D4" s="7">
        <v>5.36</v>
      </c>
      <c r="E4" s="4">
        <f t="shared" si="0"/>
        <v>2.5476496031180192E-2</v>
      </c>
      <c r="F4" s="3">
        <f t="shared" si="1"/>
        <v>5532.1539408060644</v>
      </c>
      <c r="G4" s="5">
        <f t="shared" si="2"/>
        <v>0.76914083501495201</v>
      </c>
      <c r="H4" s="6">
        <f>Table135[[#This Row],[Investment]]/Table135[[#This Row],[Price]]</f>
        <v>26.294757074034244</v>
      </c>
      <c r="I4" s="59">
        <v>0</v>
      </c>
      <c r="J4" s="5">
        <f>Table135[[#This Row],[Investment]]/$F$13</f>
        <v>0.14752410508816172</v>
      </c>
      <c r="K4" s="1"/>
      <c r="L4" s="1"/>
      <c r="M4" s="44"/>
      <c r="N4" s="1"/>
      <c r="O4" s="44"/>
      <c r="P4" s="45"/>
      <c r="Q4" s="45"/>
      <c r="R4" s="46">
        <f t="shared" si="3"/>
        <v>0.1</v>
      </c>
    </row>
    <row r="5" spans="1:18" x14ac:dyDescent="0.35">
      <c r="A5" s="39">
        <f t="shared" si="4"/>
        <v>3</v>
      </c>
      <c r="B5" s="2" t="s">
        <v>61</v>
      </c>
      <c r="C5" s="7">
        <v>117.34</v>
      </c>
      <c r="D5" s="7">
        <v>3.15</v>
      </c>
      <c r="E5" s="4">
        <f t="shared" si="0"/>
        <v>2.6845065621271518E-2</v>
      </c>
      <c r="F5" s="3">
        <f t="shared" si="1"/>
        <v>5250.1230544635173</v>
      </c>
      <c r="G5" s="5">
        <f t="shared" si="2"/>
        <v>0.7299298018906808</v>
      </c>
      <c r="H5" s="6">
        <f>Table135[[#This Row],[Investment]]/Table135[[#This Row],[Price]]</f>
        <v>44.742824735499546</v>
      </c>
      <c r="I5" s="59">
        <v>50</v>
      </c>
      <c r="J5" s="5">
        <f>Table135[[#This Row],[Investment]]/$F$13</f>
        <v>0.14000328145236046</v>
      </c>
      <c r="K5" s="1"/>
      <c r="L5" s="1"/>
      <c r="M5" s="44"/>
      <c r="N5" s="1"/>
      <c r="O5" s="44"/>
      <c r="P5" s="45"/>
      <c r="Q5" s="45"/>
      <c r="R5" s="46">
        <f t="shared" si="3"/>
        <v>0.1</v>
      </c>
    </row>
    <row r="6" spans="1:18" x14ac:dyDescent="0.35">
      <c r="A6" s="39">
        <f t="shared" si="4"/>
        <v>4</v>
      </c>
      <c r="B6" s="2" t="s">
        <v>43</v>
      </c>
      <c r="C6" s="7">
        <v>3099.4</v>
      </c>
      <c r="D6" s="7">
        <v>94.72</v>
      </c>
      <c r="E6" s="4">
        <f t="shared" si="0"/>
        <v>3.0560753694263403E-2</v>
      </c>
      <c r="F6" s="3">
        <f t="shared" si="1"/>
        <v>4611.793914731873</v>
      </c>
      <c r="G6" s="5">
        <f t="shared" si="2"/>
        <v>0.64118227013345053</v>
      </c>
      <c r="H6" s="6">
        <f>Table135[[#This Row],[Investment]]/Table135[[#This Row],[Price]]</f>
        <v>1.4879634492907894</v>
      </c>
      <c r="I6" s="59">
        <v>2</v>
      </c>
      <c r="J6" s="5">
        <f>Table135[[#This Row],[Investment]]/$F$13</f>
        <v>0.12298117105951661</v>
      </c>
      <c r="K6" s="1"/>
      <c r="L6" s="1"/>
      <c r="M6" s="44"/>
      <c r="N6" s="1"/>
      <c r="O6" s="44"/>
      <c r="P6" s="45"/>
      <c r="Q6" s="45"/>
      <c r="R6" s="46">
        <f t="shared" si="3"/>
        <v>0.1</v>
      </c>
    </row>
    <row r="7" spans="1:18" x14ac:dyDescent="0.35">
      <c r="A7" s="39">
        <f t="shared" si="4"/>
        <v>5</v>
      </c>
      <c r="B7" s="2" t="s">
        <v>14</v>
      </c>
      <c r="C7" s="7">
        <v>523.51</v>
      </c>
      <c r="D7" s="7">
        <v>20.96</v>
      </c>
      <c r="E7" s="4">
        <f t="shared" si="0"/>
        <v>4.0037439590456726E-2</v>
      </c>
      <c r="F7" s="3">
        <f t="shared" si="1"/>
        <v>3520.2025743528775</v>
      </c>
      <c r="G7" s="5">
        <f t="shared" si="2"/>
        <v>0.48941724623538829</v>
      </c>
      <c r="H7" s="6">
        <f>Table135[[#This Row],[Investment]]/Table135[[#This Row],[Price]]</f>
        <v>6.7242317708408201</v>
      </c>
      <c r="I7" s="59">
        <v>10</v>
      </c>
      <c r="J7" s="5">
        <f>Table135[[#This Row],[Investment]]/$F$13</f>
        <v>9.387206864941007E-2</v>
      </c>
      <c r="K7" s="1"/>
      <c r="L7" s="1"/>
      <c r="M7" s="44"/>
      <c r="N7" s="1"/>
      <c r="O7" s="44"/>
      <c r="P7" s="45"/>
      <c r="Q7" s="45"/>
      <c r="R7" s="46">
        <f t="shared" si="3"/>
        <v>0.1</v>
      </c>
    </row>
    <row r="8" spans="1:18" x14ac:dyDescent="0.35">
      <c r="A8" s="39">
        <f t="shared" si="4"/>
        <v>6</v>
      </c>
      <c r="B8" s="2" t="s">
        <v>22</v>
      </c>
      <c r="C8" s="7">
        <v>489.61</v>
      </c>
      <c r="D8" s="7">
        <v>21.52</v>
      </c>
      <c r="E8" s="4">
        <f t="shared" si="0"/>
        <v>4.3953350626008456E-2</v>
      </c>
      <c r="F8" s="3">
        <f t="shared" si="1"/>
        <v>3206.5791551605939</v>
      </c>
      <c r="G8" s="5">
        <f t="shared" si="2"/>
        <v>0.44581387201643996</v>
      </c>
      <c r="H8" s="6">
        <f>Table135[[#This Row],[Investment]]/Table135[[#This Row],[Price]]</f>
        <v>6.5492517619341797</v>
      </c>
      <c r="I8" s="59">
        <v>20</v>
      </c>
      <c r="J8" s="5">
        <f>Table135[[#This Row],[Investment]]/$F$13</f>
        <v>8.5508777470949177E-2</v>
      </c>
      <c r="K8" s="1"/>
      <c r="L8" s="1"/>
      <c r="M8" s="44"/>
      <c r="N8" s="1"/>
      <c r="O8" s="44"/>
      <c r="P8" s="45"/>
      <c r="Q8" s="45"/>
      <c r="R8" s="46">
        <f t="shared" si="3"/>
        <v>0.1</v>
      </c>
    </row>
    <row r="9" spans="1:18" x14ac:dyDescent="0.35">
      <c r="A9" s="39">
        <f t="shared" si="4"/>
        <v>7</v>
      </c>
      <c r="B9" s="2" t="s">
        <v>24</v>
      </c>
      <c r="C9" s="7">
        <v>195.97</v>
      </c>
      <c r="D9" s="7">
        <v>9.59</v>
      </c>
      <c r="E9" s="4">
        <f t="shared" si="0"/>
        <v>4.8936061642088073E-2</v>
      </c>
      <c r="F9" s="3">
        <f t="shared" si="1"/>
        <v>2880.0825646256435</v>
      </c>
      <c r="G9" s="5">
        <f t="shared" si="2"/>
        <v>0.40042072805107198</v>
      </c>
      <c r="H9" s="6">
        <f>Table135[[#This Row],[Investment]]/Table135[[#This Row],[Price]]</f>
        <v>14.696548270784525</v>
      </c>
      <c r="I9" s="59">
        <v>25</v>
      </c>
      <c r="J9" s="5">
        <f>Table135[[#This Row],[Investment]]/$F$13</f>
        <v>7.6802201723350491E-2</v>
      </c>
      <c r="K9" s="1"/>
      <c r="L9" s="1"/>
      <c r="M9" s="44"/>
      <c r="N9" s="1"/>
      <c r="O9" s="44"/>
      <c r="P9" s="45"/>
      <c r="Q9" s="45"/>
      <c r="R9" s="46">
        <f t="shared" si="3"/>
        <v>0.1</v>
      </c>
    </row>
    <row r="10" spans="1:18" x14ac:dyDescent="0.35">
      <c r="A10" s="39">
        <f t="shared" si="4"/>
        <v>8</v>
      </c>
      <c r="B10" s="2" t="s">
        <v>70</v>
      </c>
      <c r="C10" s="7">
        <v>48.23</v>
      </c>
      <c r="D10" s="7">
        <v>2.8</v>
      </c>
      <c r="E10" s="4">
        <f t="shared" si="0"/>
        <v>5.8055152394775038E-2</v>
      </c>
      <c r="F10" s="3">
        <f t="shared" si="1"/>
        <v>2427.689741617286</v>
      </c>
      <c r="G10" s="5">
        <f t="shared" si="2"/>
        <v>0.33752410634341207</v>
      </c>
      <c r="H10" s="6">
        <f>Table135[[#This Row],[Investment]]/Table135[[#This Row],[Price]]</f>
        <v>50.335677827436996</v>
      </c>
      <c r="I10" s="59">
        <v>60</v>
      </c>
      <c r="J10" s="5">
        <f>Table135[[#This Row],[Investment]]/$F$13</f>
        <v>6.473839310979429E-2</v>
      </c>
      <c r="K10" s="1"/>
      <c r="L10" s="1">
        <f>K10-Table135[[#This Row],[Investment]]</f>
        <v>-2427.689741617286</v>
      </c>
      <c r="M10" s="44">
        <f>L10/Table135[[#This Row],[Price]]</f>
        <v>-50.335677827436996</v>
      </c>
      <c r="N10" s="1"/>
      <c r="O10" s="44"/>
      <c r="P10" s="45"/>
      <c r="Q10" s="45"/>
      <c r="R10" s="46">
        <f t="shared" si="3"/>
        <v>0.1</v>
      </c>
    </row>
    <row r="11" spans="1:18" x14ac:dyDescent="0.35">
      <c r="A11" s="39">
        <f t="shared" si="4"/>
        <v>9</v>
      </c>
      <c r="B11" s="2" t="s">
        <v>74</v>
      </c>
      <c r="C11" s="7">
        <v>136.56</v>
      </c>
      <c r="D11" s="7">
        <v>8.57</v>
      </c>
      <c r="E11" s="4">
        <f t="shared" si="0"/>
        <v>6.2756297598125371E-2</v>
      </c>
      <c r="F11" s="3">
        <f t="shared" si="1"/>
        <v>2245.8287584039003</v>
      </c>
      <c r="G11" s="5">
        <f t="shared" si="2"/>
        <v>0.31223979394320384</v>
      </c>
      <c r="H11" s="6">
        <f>Table135[[#This Row],[Investment]]/Table135[[#This Row],[Price]]</f>
        <v>16.44572904513694</v>
      </c>
      <c r="I11" s="59">
        <v>0</v>
      </c>
      <c r="J11" s="5">
        <f>Table135[[#This Row],[Investment]]/$F$13</f>
        <v>5.9888766890770675E-2</v>
      </c>
      <c r="K11" s="1"/>
      <c r="L11" s="1">
        <f>K11-Table135[[#This Row],[Investment]]</f>
        <v>-2245.8287584039003</v>
      </c>
      <c r="M11" s="44">
        <f>L11/Table135[[#This Row],[Price]]</f>
        <v>-16.44572904513694</v>
      </c>
      <c r="N11" s="1"/>
      <c r="O11" s="44"/>
      <c r="P11" s="45"/>
      <c r="Q11" s="45"/>
      <c r="R11" s="46">
        <f>R$12</f>
        <v>0.1</v>
      </c>
    </row>
    <row r="12" spans="1:18" x14ac:dyDescent="0.35">
      <c r="A12" s="39">
        <f t="shared" si="4"/>
        <v>10</v>
      </c>
      <c r="B12" s="2" t="s">
        <v>19</v>
      </c>
      <c r="C12" s="7">
        <v>23.31</v>
      </c>
      <c r="D12" s="7">
        <v>1.57</v>
      </c>
      <c r="E12" s="4">
        <f t="shared" si="0"/>
        <v>6.7353067353067356E-2</v>
      </c>
      <c r="F12" s="3">
        <f t="shared" si="1"/>
        <v>2092.5535162045589</v>
      </c>
      <c r="G12" s="5">
        <f t="shared" si="2"/>
        <v>0.29092978539431968</v>
      </c>
      <c r="H12" s="6">
        <f>Table135[[#This Row],[Investment]]/Table135[[#This Row],[Price]]</f>
        <v>89.770635615811202</v>
      </c>
      <c r="I12" s="59">
        <v>125</v>
      </c>
      <c r="J12" s="5">
        <f>Table135[[#This Row],[Investment]]/$F$13</f>
        <v>5.5801427098788235E-2</v>
      </c>
      <c r="K12" s="1"/>
      <c r="L12" s="1"/>
      <c r="M12" s="44"/>
      <c r="N12" s="1"/>
      <c r="O12" s="44"/>
      <c r="P12" s="45"/>
      <c r="Q12" s="45"/>
      <c r="R12" s="46">
        <f>1/A12</f>
        <v>0.1</v>
      </c>
    </row>
    <row r="13" spans="1:18" ht="21.75" thickBot="1" x14ac:dyDescent="0.4">
      <c r="A13" s="14"/>
      <c r="E13" s="19" t="s">
        <v>6</v>
      </c>
      <c r="F13" s="20">
        <f>SUM(F3:F12)</f>
        <v>37500</v>
      </c>
      <c r="G13" s="21">
        <f>G3*J3+G4*J4+G5*J5+G6*J6+G7*J7+G8*J8+G9*J9+G11*J11+G12*J12</f>
        <v>0.56611842127966161</v>
      </c>
      <c r="L13" s="23">
        <f>SUM(L3:L12)</f>
        <v>-4673.5185000211859</v>
      </c>
      <c r="M13" s="24"/>
      <c r="N13" s="23">
        <f>SUM(N3:N12)</f>
        <v>0</v>
      </c>
      <c r="O13" s="24"/>
      <c r="P13" s="25"/>
      <c r="Q13" s="25"/>
    </row>
    <row r="14" spans="1:18" ht="22.5" thickTop="1" thickBot="1" x14ac:dyDescent="0.4">
      <c r="A14" s="14"/>
      <c r="C14" s="26" t="s">
        <v>63</v>
      </c>
      <c r="F14" s="10" t="s">
        <v>49</v>
      </c>
      <c r="G14" s="21">
        <f>AVERAGE(G3:G12)</f>
        <v>0.52136620964777691</v>
      </c>
      <c r="J14" s="26" t="s">
        <v>48</v>
      </c>
    </row>
    <row r="15" spans="1:18" ht="21.75" thickTop="1" x14ac:dyDescent="0.35">
      <c r="A15" s="28" t="s">
        <v>54</v>
      </c>
      <c r="C15" s="9"/>
      <c r="E15" s="10" t="s">
        <v>7</v>
      </c>
      <c r="F15" s="29">
        <f>1/(SUM(G3:G12))</f>
        <v>0.19180376125172691</v>
      </c>
      <c r="J15" s="10" t="s">
        <v>23</v>
      </c>
    </row>
    <row r="16" spans="1:18" x14ac:dyDescent="0.35">
      <c r="A16" s="10"/>
      <c r="C16" s="9"/>
      <c r="E16" s="10" t="s">
        <v>8</v>
      </c>
      <c r="F16" s="30">
        <v>37500</v>
      </c>
      <c r="J16" s="10" t="s">
        <v>20</v>
      </c>
    </row>
    <row r="17" spans="1:10" x14ac:dyDescent="0.35">
      <c r="A17" s="10"/>
      <c r="C17" s="9"/>
      <c r="F17" s="31"/>
      <c r="J17" s="10" t="s">
        <v>12</v>
      </c>
    </row>
    <row r="18" spans="1:10" x14ac:dyDescent="0.35">
      <c r="A18" s="10"/>
      <c r="F18" s="31"/>
      <c r="J18" s="10" t="s">
        <v>9</v>
      </c>
    </row>
    <row r="19" spans="1:10" x14ac:dyDescent="0.35">
      <c r="A19" s="10"/>
      <c r="J19" s="10" t="s">
        <v>18</v>
      </c>
    </row>
    <row r="20" spans="1:10" x14ac:dyDescent="0.35">
      <c r="A20" s="10"/>
      <c r="C20" s="32"/>
      <c r="J20" s="10" t="s">
        <v>52</v>
      </c>
    </row>
    <row r="21" spans="1:10" x14ac:dyDescent="0.35">
      <c r="A21" s="10"/>
      <c r="C21" s="32"/>
      <c r="J21" s="10" t="s">
        <v>11</v>
      </c>
    </row>
    <row r="22" spans="1:10" x14ac:dyDescent="0.35">
      <c r="J22" s="10" t="s">
        <v>51</v>
      </c>
    </row>
    <row r="23" spans="1:10" x14ac:dyDescent="0.35">
      <c r="J23" s="10" t="s">
        <v>17</v>
      </c>
    </row>
    <row r="24" spans="1:10" x14ac:dyDescent="0.35">
      <c r="J24" s="10" t="s">
        <v>10</v>
      </c>
    </row>
    <row r="25" spans="1:10" x14ac:dyDescent="0.35">
      <c r="J25" s="10" t="s">
        <v>62</v>
      </c>
    </row>
    <row r="26" spans="1:10" x14ac:dyDescent="0.35">
      <c r="J26" s="10" t="s">
        <v>44</v>
      </c>
    </row>
    <row r="27" spans="1:10" x14ac:dyDescent="0.35">
      <c r="J27" s="10" t="s">
        <v>28</v>
      </c>
    </row>
    <row r="28" spans="1:10" x14ac:dyDescent="0.35">
      <c r="J28" s="10" t="s">
        <v>26</v>
      </c>
    </row>
    <row r="29" spans="1:10" x14ac:dyDescent="0.35">
      <c r="J29" s="10" t="s">
        <v>25</v>
      </c>
    </row>
    <row r="30" spans="1:10" x14ac:dyDescent="0.35">
      <c r="J30" s="10" t="s">
        <v>41</v>
      </c>
    </row>
    <row r="31" spans="1:10" x14ac:dyDescent="0.35">
      <c r="J31" s="10" t="s">
        <v>47</v>
      </c>
    </row>
    <row r="32" spans="1:10" x14ac:dyDescent="0.35">
      <c r="J32" s="10" t="s">
        <v>16</v>
      </c>
    </row>
    <row r="33" spans="10:10" x14ac:dyDescent="0.35">
      <c r="J33" s="10" t="s">
        <v>53</v>
      </c>
    </row>
    <row r="34" spans="10:10" x14ac:dyDescent="0.35">
      <c r="J34" s="10" t="s">
        <v>42</v>
      </c>
    </row>
    <row r="35" spans="10:10" x14ac:dyDescent="0.35">
      <c r="J35" s="10" t="s">
        <v>31</v>
      </c>
    </row>
    <row r="36" spans="10:10" x14ac:dyDescent="0.35">
      <c r="J36" s="10" t="s">
        <v>46</v>
      </c>
    </row>
    <row r="37" spans="10:10" x14ac:dyDescent="0.35">
      <c r="J37" s="10" t="s">
        <v>65</v>
      </c>
    </row>
    <row r="38" spans="10:10" x14ac:dyDescent="0.35">
      <c r="J38" s="10" t="s">
        <v>15</v>
      </c>
    </row>
    <row r="39" spans="10:10" x14ac:dyDescent="0.35">
      <c r="J39" s="10" t="s">
        <v>50</v>
      </c>
    </row>
    <row r="40" spans="10:10" x14ac:dyDescent="0.35">
      <c r="J40" s="10" t="s">
        <v>32</v>
      </c>
    </row>
    <row r="41" spans="10:10" x14ac:dyDescent="0.35">
      <c r="J41" s="10" t="s">
        <v>45</v>
      </c>
    </row>
    <row r="42" spans="10:10" x14ac:dyDescent="0.35">
      <c r="J42" s="10" t="s">
        <v>26</v>
      </c>
    </row>
    <row r="43" spans="10:10" x14ac:dyDescent="0.35">
      <c r="J43" s="10"/>
    </row>
    <row r="44" spans="10:10" x14ac:dyDescent="0.35">
      <c r="J44" s="10"/>
    </row>
    <row r="45" spans="10:10" x14ac:dyDescent="0.35">
      <c r="J45" s="10"/>
    </row>
    <row r="46" spans="10:10" x14ac:dyDescent="0.35">
      <c r="J46" s="10"/>
    </row>
    <row r="47" spans="10:10" x14ac:dyDescent="0.35">
      <c r="J47" s="10"/>
    </row>
    <row r="48" spans="10:10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  <row r="54" spans="10:10" x14ac:dyDescent="0.35">
      <c r="J54" s="10"/>
    </row>
    <row r="55" spans="10:10" x14ac:dyDescent="0.35">
      <c r="J55" s="10"/>
    </row>
    <row r="56" spans="10:10" x14ac:dyDescent="0.35">
      <c r="J56" s="10"/>
    </row>
    <row r="57" spans="10:10" x14ac:dyDescent="0.35">
      <c r="J57" s="10"/>
    </row>
    <row r="58" spans="10:10" x14ac:dyDescent="0.35">
      <c r="J58" s="10"/>
    </row>
    <row r="59" spans="10:10" x14ac:dyDescent="0.35">
      <c r="J59" s="10"/>
    </row>
    <row r="60" spans="10:10" x14ac:dyDescent="0.35">
      <c r="J60" s="10"/>
    </row>
    <row r="61" spans="10:10" x14ac:dyDescent="0.35">
      <c r="J61" s="10"/>
    </row>
    <row r="62" spans="10:10" x14ac:dyDescent="0.35">
      <c r="J62" s="10"/>
    </row>
    <row r="63" spans="10:10" x14ac:dyDescent="0.35">
      <c r="J63" s="10"/>
    </row>
    <row r="64" spans="10:10" x14ac:dyDescent="0.35">
      <c r="J64" s="10"/>
    </row>
    <row r="65" spans="10:10" x14ac:dyDescent="0.35">
      <c r="J65" s="10"/>
    </row>
    <row r="66" spans="10:10" x14ac:dyDescent="0.35">
      <c r="J66" s="10"/>
    </row>
    <row r="67" spans="10:10" x14ac:dyDescent="0.35">
      <c r="J67" s="10"/>
    </row>
    <row r="68" spans="10:10" x14ac:dyDescent="0.35">
      <c r="J68" s="10"/>
    </row>
    <row r="69" spans="10:10" x14ac:dyDescent="0.35">
      <c r="J69" s="10"/>
    </row>
    <row r="70" spans="10:10" x14ac:dyDescent="0.35">
      <c r="J70" s="10"/>
    </row>
    <row r="71" spans="10:10" x14ac:dyDescent="0.35">
      <c r="J71" s="10"/>
    </row>
    <row r="72" spans="10:10" x14ac:dyDescent="0.35">
      <c r="J72" s="10"/>
    </row>
    <row r="73" spans="10:10" x14ac:dyDescent="0.35">
      <c r="J73" s="10"/>
    </row>
    <row r="74" spans="10:10" x14ac:dyDescent="0.35">
      <c r="J74" s="10"/>
    </row>
    <row r="75" spans="10:10" x14ac:dyDescent="0.35">
      <c r="J75" s="10"/>
    </row>
    <row r="76" spans="10:10" x14ac:dyDescent="0.35">
      <c r="J76" s="10"/>
    </row>
    <row r="77" spans="10:10" x14ac:dyDescent="0.35">
      <c r="J77" s="10"/>
    </row>
    <row r="78" spans="10:10" x14ac:dyDescent="0.35">
      <c r="J78" s="10"/>
    </row>
    <row r="79" spans="10:10" x14ac:dyDescent="0.35">
      <c r="J79" s="10"/>
    </row>
    <row r="80" spans="10:10" x14ac:dyDescent="0.35">
      <c r="J80" s="10"/>
    </row>
    <row r="81" spans="10:10" x14ac:dyDescent="0.35">
      <c r="J81" s="10"/>
    </row>
    <row r="82" spans="10:10" x14ac:dyDescent="0.35">
      <c r="J82" s="10"/>
    </row>
    <row r="83" spans="10:10" x14ac:dyDescent="0.35">
      <c r="J83" s="10"/>
    </row>
    <row r="84" spans="10:10" x14ac:dyDescent="0.35">
      <c r="J84" s="10"/>
    </row>
    <row r="85" spans="10:10" x14ac:dyDescent="0.35">
      <c r="J85" s="10"/>
    </row>
    <row r="86" spans="10:10" x14ac:dyDescent="0.35">
      <c r="J86" s="10"/>
    </row>
    <row r="87" spans="10:10" x14ac:dyDescent="0.35">
      <c r="J87" s="10"/>
    </row>
    <row r="88" spans="10:10" x14ac:dyDescent="0.35">
      <c r="J88" s="10"/>
    </row>
    <row r="89" spans="10:10" x14ac:dyDescent="0.35">
      <c r="J89" s="10"/>
    </row>
    <row r="90" spans="10:10" x14ac:dyDescent="0.35">
      <c r="J90" s="10"/>
    </row>
    <row r="91" spans="10:10" x14ac:dyDescent="0.35">
      <c r="J91" s="10"/>
    </row>
    <row r="92" spans="10:10" x14ac:dyDescent="0.35">
      <c r="J92" s="10"/>
    </row>
    <row r="93" spans="10:10" x14ac:dyDescent="0.35">
      <c r="J93" s="10"/>
    </row>
    <row r="94" spans="10:10" x14ac:dyDescent="0.35">
      <c r="J94" s="10"/>
    </row>
    <row r="95" spans="10:10" x14ac:dyDescent="0.35">
      <c r="J95" s="10"/>
    </row>
    <row r="96" spans="10:10" x14ac:dyDescent="0.35">
      <c r="J96" s="10"/>
    </row>
    <row r="97" spans="10:10" x14ac:dyDescent="0.35">
      <c r="J97" s="10"/>
    </row>
    <row r="98" spans="10:10" x14ac:dyDescent="0.35">
      <c r="J98" s="10"/>
    </row>
    <row r="99" spans="10:10" x14ac:dyDescent="0.35">
      <c r="J99" s="10"/>
    </row>
    <row r="100" spans="10:10" x14ac:dyDescent="0.35">
      <c r="J100" s="10"/>
    </row>
    <row r="101" spans="10:10" x14ac:dyDescent="0.35">
      <c r="J101" s="10"/>
    </row>
    <row r="102" spans="10:10" x14ac:dyDescent="0.35">
      <c r="J102" s="10"/>
    </row>
    <row r="103" spans="10:10" x14ac:dyDescent="0.35">
      <c r="J103" s="10"/>
    </row>
    <row r="104" spans="10:10" x14ac:dyDescent="0.35">
      <c r="J104" s="10"/>
    </row>
    <row r="105" spans="10:10" x14ac:dyDescent="0.35">
      <c r="J105" s="10"/>
    </row>
    <row r="106" spans="10:10" x14ac:dyDescent="0.35">
      <c r="J106" s="10"/>
    </row>
    <row r="107" spans="10:10" x14ac:dyDescent="0.35">
      <c r="J107" s="10"/>
    </row>
    <row r="108" spans="10:10" x14ac:dyDescent="0.35">
      <c r="J108" s="10"/>
    </row>
    <row r="109" spans="10:10" x14ac:dyDescent="0.35">
      <c r="J109" s="10"/>
    </row>
    <row r="110" spans="10:10" x14ac:dyDescent="0.35">
      <c r="J110" s="10"/>
    </row>
    <row r="111" spans="10:10" x14ac:dyDescent="0.35">
      <c r="J111" s="10"/>
    </row>
    <row r="112" spans="10:10" x14ac:dyDescent="0.35">
      <c r="J112" s="10"/>
    </row>
    <row r="113" spans="10:10" x14ac:dyDescent="0.35">
      <c r="J113" s="10"/>
    </row>
    <row r="114" spans="10:10" x14ac:dyDescent="0.35">
      <c r="J114" s="10"/>
    </row>
    <row r="115" spans="10:10" x14ac:dyDescent="0.35">
      <c r="J115" s="10"/>
    </row>
    <row r="116" spans="10:10" x14ac:dyDescent="0.35">
      <c r="J116" s="10"/>
    </row>
    <row r="117" spans="10:10" x14ac:dyDescent="0.35">
      <c r="J117" s="10"/>
    </row>
    <row r="118" spans="10:10" x14ac:dyDescent="0.35">
      <c r="J118" s="10"/>
    </row>
    <row r="119" spans="10:10" x14ac:dyDescent="0.35">
      <c r="J119" s="10"/>
    </row>
    <row r="120" spans="10:10" x14ac:dyDescent="0.35">
      <c r="J120" s="10"/>
    </row>
    <row r="121" spans="10:10" x14ac:dyDescent="0.35">
      <c r="J121" s="10"/>
    </row>
    <row r="122" spans="10:10" x14ac:dyDescent="0.35">
      <c r="J122" s="10"/>
    </row>
    <row r="123" spans="10:10" x14ac:dyDescent="0.35">
      <c r="J123" s="10"/>
    </row>
    <row r="124" spans="10:10" x14ac:dyDescent="0.35">
      <c r="J124" s="10"/>
    </row>
    <row r="125" spans="10:10" x14ac:dyDescent="0.35">
      <c r="J125" s="10"/>
    </row>
    <row r="126" spans="10:10" x14ac:dyDescent="0.35">
      <c r="J126" s="10"/>
    </row>
    <row r="127" spans="10:10" x14ac:dyDescent="0.35">
      <c r="J127" s="10"/>
    </row>
    <row r="128" spans="10:10" x14ac:dyDescent="0.35">
      <c r="J128" s="10"/>
    </row>
    <row r="129" spans="10:10" x14ac:dyDescent="0.35">
      <c r="J129" s="10"/>
    </row>
    <row r="130" spans="10:10" x14ac:dyDescent="0.35">
      <c r="J130" s="10"/>
    </row>
    <row r="131" spans="10:10" x14ac:dyDescent="0.35">
      <c r="J131" s="10"/>
    </row>
    <row r="132" spans="10:10" x14ac:dyDescent="0.35">
      <c r="J132" s="10"/>
    </row>
    <row r="133" spans="10:10" x14ac:dyDescent="0.35">
      <c r="J133" s="10"/>
    </row>
    <row r="134" spans="10:10" x14ac:dyDescent="0.35">
      <c r="J134" s="10"/>
    </row>
    <row r="135" spans="10:10" x14ac:dyDescent="0.35">
      <c r="J135" s="10"/>
    </row>
    <row r="136" spans="10:10" x14ac:dyDescent="0.35">
      <c r="J136" s="10"/>
    </row>
    <row r="137" spans="10:10" x14ac:dyDescent="0.35">
      <c r="J137" s="10"/>
    </row>
    <row r="138" spans="10:10" x14ac:dyDescent="0.35">
      <c r="J138" s="10"/>
    </row>
    <row r="139" spans="10:10" x14ac:dyDescent="0.35">
      <c r="J139" s="10"/>
    </row>
    <row r="140" spans="10:10" x14ac:dyDescent="0.35">
      <c r="J140" s="10"/>
    </row>
    <row r="141" spans="10:10" x14ac:dyDescent="0.35">
      <c r="J141" s="10"/>
    </row>
    <row r="142" spans="10:10" x14ac:dyDescent="0.35">
      <c r="J142" s="10"/>
    </row>
    <row r="143" spans="10:10" x14ac:dyDescent="0.35">
      <c r="J143" s="10"/>
    </row>
    <row r="144" spans="10:10" x14ac:dyDescent="0.35">
      <c r="J144" s="10"/>
    </row>
    <row r="145" spans="10:10" x14ac:dyDescent="0.35">
      <c r="J145" s="10"/>
    </row>
    <row r="146" spans="10:10" x14ac:dyDescent="0.35">
      <c r="J146" s="10"/>
    </row>
    <row r="147" spans="10:10" x14ac:dyDescent="0.35">
      <c r="J147" s="10"/>
    </row>
    <row r="148" spans="10:10" x14ac:dyDescent="0.35">
      <c r="J148" s="10"/>
    </row>
    <row r="149" spans="10:10" x14ac:dyDescent="0.35">
      <c r="J149" s="10"/>
    </row>
    <row r="150" spans="10:10" x14ac:dyDescent="0.35">
      <c r="J150" s="10"/>
    </row>
    <row r="151" spans="10:10" x14ac:dyDescent="0.35">
      <c r="J151" s="10"/>
    </row>
    <row r="152" spans="10:10" x14ac:dyDescent="0.35">
      <c r="J152" s="10"/>
    </row>
    <row r="153" spans="10:10" x14ac:dyDescent="0.35">
      <c r="J153" s="10"/>
    </row>
    <row r="154" spans="10:10" x14ac:dyDescent="0.35">
      <c r="J154" s="10"/>
    </row>
    <row r="155" spans="10:10" x14ac:dyDescent="0.35">
      <c r="J155" s="10"/>
    </row>
    <row r="156" spans="10:10" x14ac:dyDescent="0.35">
      <c r="J156" s="10"/>
    </row>
    <row r="157" spans="10:10" x14ac:dyDescent="0.35">
      <c r="J157" s="10"/>
    </row>
    <row r="158" spans="10:10" x14ac:dyDescent="0.35">
      <c r="J158" s="10"/>
    </row>
    <row r="159" spans="10:10" x14ac:dyDescent="0.35">
      <c r="J159" s="10"/>
    </row>
    <row r="160" spans="10:10" x14ac:dyDescent="0.35">
      <c r="J160" s="10"/>
    </row>
    <row r="161" spans="10:10" x14ac:dyDescent="0.35">
      <c r="J161" s="10"/>
    </row>
    <row r="162" spans="10:10" x14ac:dyDescent="0.35">
      <c r="J162" s="10"/>
    </row>
    <row r="163" spans="10:10" x14ac:dyDescent="0.35">
      <c r="J163" s="10"/>
    </row>
    <row r="164" spans="10:10" x14ac:dyDescent="0.35">
      <c r="J164" s="10"/>
    </row>
    <row r="165" spans="10:10" x14ac:dyDescent="0.35">
      <c r="J165" s="10"/>
    </row>
    <row r="166" spans="10:10" x14ac:dyDescent="0.35">
      <c r="J166" s="10"/>
    </row>
    <row r="167" spans="10:10" x14ac:dyDescent="0.35">
      <c r="J167" s="10"/>
    </row>
    <row r="168" spans="10:10" x14ac:dyDescent="0.35">
      <c r="J168" s="10"/>
    </row>
    <row r="169" spans="10:10" x14ac:dyDescent="0.35">
      <c r="J169" s="10"/>
    </row>
    <row r="170" spans="10:10" x14ac:dyDescent="0.35">
      <c r="J170" s="10"/>
    </row>
    <row r="171" spans="10:10" x14ac:dyDescent="0.35">
      <c r="J171" s="10"/>
    </row>
    <row r="172" spans="10:10" x14ac:dyDescent="0.35">
      <c r="J172" s="10"/>
    </row>
    <row r="173" spans="10:10" x14ac:dyDescent="0.35">
      <c r="J173" s="10"/>
    </row>
    <row r="174" spans="10:10" x14ac:dyDescent="0.35">
      <c r="J174" s="10"/>
    </row>
    <row r="175" spans="10:10" x14ac:dyDescent="0.35">
      <c r="J175" s="10"/>
    </row>
  </sheetData>
  <conditionalFormatting sqref="E13:E1048576 E1:E2 F1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{FF4D1D18-460A-4BF2-A11B-ABD3090A9DF7}</x14:id>
        </ext>
      </extLst>
    </cfRule>
  </conditionalFormatting>
  <conditionalFormatting sqref="G1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{133DEC7D-2464-4BB7-9F8B-A70D453E8DF2}</x14:id>
        </ext>
      </extLst>
    </cfRule>
  </conditionalFormatting>
  <conditionalFormatting sqref="E4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{D9246967-04EC-427D-8B46-5C3EF7DA934C}</x14:id>
        </ext>
      </extLst>
    </cfRule>
  </conditionalFormatting>
  <conditionalFormatting sqref="E5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{B43183AA-7D50-4AA1-9E2A-1BF4811ED7F4}</x14:id>
        </ext>
      </extLst>
    </cfRule>
  </conditionalFormatting>
  <conditionalFormatting sqref="E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{301B3804-81E6-4400-AD19-33424179B352}</x14:id>
        </ext>
      </extLst>
    </cfRule>
  </conditionalFormatting>
  <conditionalFormatting sqref="E7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{E5B417A1-7D70-48DC-979D-E1F7EE64799C}</x14:id>
        </ext>
      </extLst>
    </cfRule>
  </conditionalFormatting>
  <conditionalFormatting sqref="E13:E1048576 E1:E10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{418AEF06-725A-4F84-B361-906ACA7B434D}</x14:id>
        </ext>
      </extLst>
    </cfRule>
  </conditionalFormatting>
  <conditionalFormatting sqref="E3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{680AFB2D-D460-42D4-B661-02A6B13AEC09}</x14:id>
        </ext>
      </extLst>
    </cfRule>
  </conditionalFormatting>
  <conditionalFormatting sqref="E11:E1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{0748476B-5361-421D-9EE4-6FBB7D0320D3}</x14:id>
        </ext>
      </extLst>
    </cfRule>
  </conditionalFormatting>
  <conditionalFormatting sqref="E11:E12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{3EA05DBB-1C76-489F-86C2-3312998C7FB5}</x14:id>
        </ext>
      </extLst>
    </cfRule>
  </conditionalFormatting>
  <conditionalFormatting sqref="J10:J12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{16D53ECD-77A1-4E20-8D73-4A92837BC89C}</x14:id>
        </ext>
      </extLst>
    </cfRule>
  </conditionalFormatting>
  <conditionalFormatting sqref="E8:E10">
    <cfRule type="dataBar" priority="4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{EB2FADB4-B006-4609-8D8D-5255C843AC32}</x14:id>
        </ext>
      </extLst>
    </cfRule>
  </conditionalFormatting>
  <conditionalFormatting sqref="J3:J10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{B45EFBFF-F04A-43BC-B68C-0DA02DB93124}</x14:id>
        </ext>
      </extLst>
    </cfRule>
  </conditionalFormatting>
  <conditionalFormatting sqref="J3:J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{DB30673B-AC00-4B8C-A11A-DFF44451D5E2}</x14:id>
        </ext>
      </extLst>
    </cfRule>
  </conditionalFormatting>
  <conditionalFormatting sqref="E2:E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{24FC5645-B7EB-431B-B045-E3388A613028}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D1D18-460A-4BF2-A11B-ABD3090A9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E13:E1048576 E1:E2 F1</xm:sqref>
        </x14:conditionalFormatting>
        <x14:conditionalFormatting xmlns:xm="http://schemas.microsoft.com/office/excel/2006/main">
          <x14:cfRule type="dataBar" id="{133DEC7D-2464-4BB7-9F8B-A70D453E8D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D9246967-04EC-427D-8B46-5C3EF7DA93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B43183AA-7D50-4AA1-9E2A-1BF4811ED7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301B3804-81E6-4400-AD19-33424179B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E5B417A1-7D70-48DC-979D-E1F7EE6479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18AEF06-725A-4F84-B361-906ACA7B4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E13:E1048576 E1:E10</xm:sqref>
        </x14:conditionalFormatting>
        <x14:conditionalFormatting xmlns:xm="http://schemas.microsoft.com/office/excel/2006/main">
          <x14:cfRule type="dataBar" id="{680AFB2D-D460-42D4-B661-02A6B13AEC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0748476B-5361-421D-9EE4-6FBB7D032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3EA05DBB-1C76-489F-86C2-3312998C7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16D53ECD-77A1-4E20-8D73-4A92837BC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J10:J12</xm:sqref>
        </x14:conditionalFormatting>
        <x14:conditionalFormatting xmlns:xm="http://schemas.microsoft.com/office/excel/2006/main">
          <x14:cfRule type="dataBar" id="{EB2FADB4-B006-4609-8D8D-5255C843AC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dataBar" id="{B45EFBFF-F04A-43BC-B68C-0DA02DB93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DB30673B-AC00-4B8C-A11A-DFF44451D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  <x14:conditionalFormatting xmlns:xm="http://schemas.microsoft.com/office/excel/2006/main">
          <x14:cfRule type="dataBar" id="{24FC5645-B7EB-431B-B045-E3388A613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B1C0-A31A-4D46-9426-DBFAE1F71582}">
  <dimension ref="A1:R178"/>
  <sheetViews>
    <sheetView zoomScale="125" zoomScaleNormal="125" workbookViewId="0">
      <selection activeCell="C4" sqref="C4"/>
    </sheetView>
  </sheetViews>
  <sheetFormatPr defaultRowHeight="21" x14ac:dyDescent="0.35"/>
  <cols>
    <col min="1" max="1" width="6.140625" style="33" bestFit="1" customWidth="1"/>
    <col min="2" max="2" width="13.140625" style="10" bestFit="1" customWidth="1"/>
    <col min="3" max="3" width="21.42578125" style="10" customWidth="1"/>
    <col min="4" max="4" width="19" style="10" customWidth="1"/>
    <col min="5" max="5" width="27.85546875" style="10" bestFit="1" customWidth="1"/>
    <col min="6" max="6" width="26.5703125" style="10" bestFit="1" customWidth="1"/>
    <col min="7" max="7" width="25" style="18" customWidth="1"/>
    <col min="8" max="8" width="14.7109375" style="22" bestFit="1" customWidth="1"/>
    <col min="9" max="9" width="14.7109375" style="60" customWidth="1"/>
    <col min="10" max="10" width="24.85546875" style="18" customWidth="1"/>
    <col min="11" max="11" width="15" style="9" hidden="1" customWidth="1"/>
    <col min="12" max="12" width="13.85546875" style="9" hidden="1" customWidth="1"/>
    <col min="13" max="13" width="13.7109375" style="22" hidden="1" customWidth="1"/>
    <col min="14" max="14" width="12.140625" style="9" hidden="1" customWidth="1"/>
    <col min="15" max="15" width="14.85546875" style="22" hidden="1" customWidth="1"/>
    <col min="16" max="16" width="16.28515625" style="27" hidden="1" customWidth="1"/>
    <col min="17" max="17" width="12.5703125" style="27" hidden="1" customWidth="1"/>
    <col min="18" max="16384" width="9.140625" style="9"/>
  </cols>
  <sheetData>
    <row r="1" spans="1:18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6" t="s">
        <v>29</v>
      </c>
      <c r="H1" s="37" t="s">
        <v>33</v>
      </c>
      <c r="I1" s="57" t="s">
        <v>67</v>
      </c>
      <c r="J1" s="36" t="s">
        <v>30</v>
      </c>
      <c r="K1" s="37" t="s">
        <v>35</v>
      </c>
      <c r="L1" s="37" t="s">
        <v>34</v>
      </c>
      <c r="M1" s="37" t="s">
        <v>36</v>
      </c>
      <c r="N1" s="37" t="s">
        <v>39</v>
      </c>
      <c r="O1" s="37" t="s">
        <v>38</v>
      </c>
      <c r="P1" s="37" t="s">
        <v>37</v>
      </c>
      <c r="Q1" s="37" t="s">
        <v>40</v>
      </c>
      <c r="R1" s="38"/>
    </row>
    <row r="2" spans="1:18" x14ac:dyDescent="0.35">
      <c r="A2" s="39">
        <v>0</v>
      </c>
      <c r="B2" s="2" t="s">
        <v>55</v>
      </c>
      <c r="C2" s="7">
        <v>313.74</v>
      </c>
      <c r="D2" s="7">
        <v>3.5</v>
      </c>
      <c r="E2" s="4">
        <f t="shared" ref="E2:E15" si="0">D2/C2</f>
        <v>1.1155734047300312E-2</v>
      </c>
      <c r="F2" s="40"/>
      <c r="G2" s="41">
        <v>1</v>
      </c>
      <c r="H2" s="40"/>
      <c r="I2" s="58"/>
      <c r="J2" s="41"/>
      <c r="K2" s="41"/>
      <c r="L2" s="41"/>
      <c r="M2" s="42"/>
      <c r="N2" s="41"/>
      <c r="O2" s="42"/>
      <c r="P2" s="43"/>
      <c r="Q2" s="43"/>
      <c r="R2" s="38"/>
    </row>
    <row r="3" spans="1:18" x14ac:dyDescent="0.35">
      <c r="A3" s="39">
        <v>1</v>
      </c>
      <c r="B3" s="2" t="s">
        <v>96</v>
      </c>
      <c r="C3" s="7"/>
      <c r="D3" s="7"/>
      <c r="E3" s="4" t="e">
        <f>D3/C3</f>
        <v>#DIV/0!</v>
      </c>
      <c r="F3" s="3" t="e">
        <f>((1/(E3/$E$2))*$F$18)*$F$19</f>
        <v>#DIV/0!</v>
      </c>
      <c r="G3" s="5" t="e">
        <f>$E$2/E3</f>
        <v>#DIV/0!</v>
      </c>
      <c r="H3" s="6"/>
      <c r="I3" s="59"/>
      <c r="J3" s="5"/>
      <c r="K3" s="1"/>
      <c r="L3" s="1" t="e">
        <f>K3-Table1356[[#This Row],[Investment]]</f>
        <v>#DIV/0!</v>
      </c>
      <c r="M3" s="44" t="e">
        <f>L3/Table1356[[#This Row],[Price]]</f>
        <v>#DIV/0!</v>
      </c>
      <c r="N3" s="1"/>
      <c r="O3" s="44"/>
      <c r="P3" s="45"/>
      <c r="Q3" s="45"/>
      <c r="R3" s="38"/>
    </row>
    <row r="4" spans="1:18" x14ac:dyDescent="0.35">
      <c r="A4" s="39">
        <v>2</v>
      </c>
      <c r="B4" s="2" t="s">
        <v>22</v>
      </c>
      <c r="C4" s="7">
        <v>705.67</v>
      </c>
      <c r="D4" s="7">
        <v>12</v>
      </c>
      <c r="E4" s="4">
        <f t="shared" si="0"/>
        <v>1.7005115705641449E-2</v>
      </c>
      <c r="F4" s="3">
        <f t="shared" ref="F4:F15" si="1">((1/(E4/$E$2))*$F$18)*$F$19</f>
        <v>8786.1020992102294</v>
      </c>
      <c r="G4" s="5">
        <f t="shared" ref="G4:G15" si="2">$E$2/E4</f>
        <v>0.65602223709653418</v>
      </c>
      <c r="H4" s="6">
        <f>Table1356[[#This Row],[Investment]]/Table1356[[#This Row],[Price]]</f>
        <v>12.450723566554098</v>
      </c>
      <c r="I4" s="59"/>
      <c r="J4" s="5">
        <f>Table1356[[#This Row],[Investment]]/$F$16</f>
        <v>0.19968413861841436</v>
      </c>
      <c r="K4" s="1"/>
      <c r="L4" s="1"/>
      <c r="M4" s="44"/>
      <c r="N4" s="1"/>
      <c r="O4" s="44"/>
      <c r="P4" s="45"/>
      <c r="Q4" s="45"/>
      <c r="R4" s="46">
        <f t="shared" ref="R4:R14" si="3">R$15</f>
        <v>7.6923076923076927E-2</v>
      </c>
    </row>
    <row r="5" spans="1:18" x14ac:dyDescent="0.35">
      <c r="A5" s="39">
        <v>3</v>
      </c>
      <c r="B5" s="2" t="s">
        <v>43</v>
      </c>
      <c r="C5" s="7">
        <v>3256.93</v>
      </c>
      <c r="D5" s="7">
        <v>61.14</v>
      </c>
      <c r="E5" s="4">
        <f t="shared" si="0"/>
        <v>1.8772279416505729E-2</v>
      </c>
      <c r="F5" s="3">
        <f t="shared" si="1"/>
        <v>7959.0059088551589</v>
      </c>
      <c r="G5" s="5">
        <f t="shared" si="2"/>
        <v>0.59426635411635265</v>
      </c>
      <c r="H5" s="6">
        <f>Table1356[[#This Row],[Investment]]/Table1356[[#This Row],[Price]]</f>
        <v>2.4437141445641015</v>
      </c>
      <c r="I5" s="59"/>
      <c r="J5" s="5">
        <f>Table1356[[#This Row],[Investment]]/$F$16</f>
        <v>0.1808864979285264</v>
      </c>
      <c r="K5" s="1"/>
      <c r="L5" s="1"/>
      <c r="M5" s="44"/>
      <c r="N5" s="1"/>
      <c r="O5" s="44"/>
      <c r="P5" s="45"/>
      <c r="Q5" s="45"/>
      <c r="R5" s="46">
        <f t="shared" si="3"/>
        <v>7.6923076923076927E-2</v>
      </c>
    </row>
    <row r="6" spans="1:18" x14ac:dyDescent="0.35">
      <c r="A6" s="39">
        <v>4</v>
      </c>
      <c r="B6" s="2" t="s">
        <v>14</v>
      </c>
      <c r="C6" s="7">
        <v>522.20000000000005</v>
      </c>
      <c r="D6" s="7">
        <v>11.74</v>
      </c>
      <c r="E6" s="4">
        <f t="shared" si="0"/>
        <v>2.2481807736499423E-2</v>
      </c>
      <c r="F6" s="3">
        <f t="shared" si="1"/>
        <v>6645.7592979092515</v>
      </c>
      <c r="G6" s="5">
        <f t="shared" si="2"/>
        <v>0.49621161154175669</v>
      </c>
      <c r="H6" s="6">
        <f>Table1356[[#This Row],[Investment]]/Table1356[[#This Row],[Price]]</f>
        <v>12.726463611469267</v>
      </c>
      <c r="I6" s="59"/>
      <c r="J6" s="5">
        <f>Table1356[[#This Row],[Investment]]/$F$16</f>
        <v>0.15103998404339214</v>
      </c>
      <c r="K6" s="1"/>
      <c r="L6" s="1"/>
      <c r="M6" s="44"/>
      <c r="N6" s="1"/>
      <c r="O6" s="44"/>
      <c r="P6" s="45"/>
      <c r="Q6" s="45"/>
      <c r="R6" s="46">
        <f t="shared" si="3"/>
        <v>7.6923076923076927E-2</v>
      </c>
    </row>
    <row r="7" spans="1:18" x14ac:dyDescent="0.35">
      <c r="A7" s="39">
        <v>5</v>
      </c>
      <c r="B7" s="2" t="s">
        <v>74</v>
      </c>
      <c r="C7" s="7">
        <v>125</v>
      </c>
      <c r="D7" s="7">
        <v>5.54</v>
      </c>
      <c r="E7" s="4">
        <f t="shared" si="0"/>
        <v>4.4319999999999998E-2</v>
      </c>
      <c r="F7" s="3">
        <f t="shared" si="1"/>
        <v>3371.1345396807124</v>
      </c>
      <c r="G7" s="5">
        <f t="shared" si="2"/>
        <v>0.25170880070623447</v>
      </c>
      <c r="H7" s="6">
        <f>Table1356[[#This Row],[Investment]]/Table1356[[#This Row],[Price]]</f>
        <v>26.969076317445698</v>
      </c>
      <c r="I7" s="59"/>
      <c r="J7" s="5">
        <f>Table1356[[#This Row],[Investment]]/$F$16</f>
        <v>7.6616694083652584E-2</v>
      </c>
      <c r="K7" s="1"/>
      <c r="L7" s="1">
        <f>K7-Table1356[[#This Row],[Investment]]</f>
        <v>-3371.1345396807124</v>
      </c>
      <c r="M7" s="44">
        <f>L7/Table1356[[#This Row],[Price]]</f>
        <v>-26.969076317445698</v>
      </c>
      <c r="N7" s="1"/>
      <c r="O7" s="44"/>
      <c r="P7" s="45"/>
      <c r="Q7" s="45"/>
      <c r="R7" s="46">
        <f t="shared" si="3"/>
        <v>7.6923076923076927E-2</v>
      </c>
    </row>
    <row r="8" spans="1:18" x14ac:dyDescent="0.35">
      <c r="A8" s="39">
        <v>6</v>
      </c>
      <c r="B8" s="2" t="s">
        <v>42</v>
      </c>
      <c r="C8" s="7">
        <v>1131.95</v>
      </c>
      <c r="D8" s="7">
        <v>50.26</v>
      </c>
      <c r="E8" s="4">
        <f t="shared" si="0"/>
        <v>4.4401254472370685E-2</v>
      </c>
      <c r="F8" s="3">
        <f t="shared" si="1"/>
        <v>3364.9653500583154</v>
      </c>
      <c r="G8" s="5">
        <f t="shared" si="2"/>
        <v>0.25124817259931531</v>
      </c>
      <c r="H8" s="6">
        <f>Table1356[[#This Row],[Investment]]/Table1356[[#This Row],[Price]]</f>
        <v>2.9727155351899954</v>
      </c>
      <c r="I8" s="59"/>
      <c r="J8" s="5">
        <f>Table1356[[#This Row],[Investment]]/$F$16</f>
        <v>7.6476485228598096E-2</v>
      </c>
      <c r="K8" s="1"/>
      <c r="L8" s="1">
        <f>K8-Table1356[[#This Row],[Investment]]</f>
        <v>-3364.9653500583154</v>
      </c>
      <c r="M8" s="44">
        <f>L8/Table1356[[#This Row],[Price]]</f>
        <v>-2.9727155351899954</v>
      </c>
      <c r="N8" s="1"/>
      <c r="O8" s="44"/>
      <c r="P8" s="45"/>
      <c r="Q8" s="45"/>
      <c r="R8" s="46">
        <f t="shared" si="3"/>
        <v>7.6923076923076927E-2</v>
      </c>
    </row>
    <row r="9" spans="1:18" x14ac:dyDescent="0.35">
      <c r="A9" s="39">
        <v>7</v>
      </c>
      <c r="B9" s="2" t="s">
        <v>24</v>
      </c>
      <c r="C9" s="7">
        <v>217.64</v>
      </c>
      <c r="D9" s="7">
        <v>9.67</v>
      </c>
      <c r="E9" s="4">
        <f t="shared" si="0"/>
        <v>4.4431170740672675E-2</v>
      </c>
      <c r="F9" s="3">
        <f t="shared" si="1"/>
        <v>3362.6996612510861</v>
      </c>
      <c r="G9" s="5">
        <f t="shared" si="2"/>
        <v>0.25107900290118301</v>
      </c>
      <c r="H9" s="6">
        <f>Table1356[[#This Row],[Investment]]/Table1356[[#This Row],[Price]]</f>
        <v>15.450742792000948</v>
      </c>
      <c r="I9" s="59"/>
      <c r="J9" s="5">
        <f>Table1356[[#This Row],[Investment]]/$F$16</f>
        <v>7.6424992301161079E-2</v>
      </c>
      <c r="K9" s="1"/>
      <c r="L9" s="1"/>
      <c r="M9" s="44"/>
      <c r="N9" s="1"/>
      <c r="O9" s="44"/>
      <c r="P9" s="45"/>
      <c r="Q9" s="45"/>
      <c r="R9" s="46">
        <f t="shared" si="3"/>
        <v>7.6923076923076927E-2</v>
      </c>
    </row>
    <row r="10" spans="1:18" x14ac:dyDescent="0.35">
      <c r="A10" s="39">
        <v>8</v>
      </c>
      <c r="B10" s="2" t="s">
        <v>70</v>
      </c>
      <c r="C10" s="7">
        <v>46.56</v>
      </c>
      <c r="D10" s="7">
        <v>2.9</v>
      </c>
      <c r="E10" s="4">
        <f t="shared" si="0"/>
        <v>6.2285223367697588E-2</v>
      </c>
      <c r="F10" s="3">
        <f t="shared" si="1"/>
        <v>2398.7821624500361</v>
      </c>
      <c r="G10" s="5">
        <f t="shared" si="2"/>
        <v>0.17910723353182847</v>
      </c>
      <c r="H10" s="6">
        <f>Table1356[[#This Row],[Investment]]/Table1356[[#This Row],[Price]]</f>
        <v>51.520235447810052</v>
      </c>
      <c r="I10" s="59"/>
      <c r="J10" s="5">
        <f>Table1356[[#This Row],[Investment]]/$F$16</f>
        <v>5.4517776419319021E-2</v>
      </c>
      <c r="K10" s="1"/>
      <c r="L10" s="1">
        <f>K10-Table1356[[#This Row],[Investment]]</f>
        <v>-2398.7821624500361</v>
      </c>
      <c r="M10" s="44">
        <f>L10/Table1356[[#This Row],[Price]]</f>
        <v>-51.520235447810052</v>
      </c>
      <c r="N10" s="1"/>
      <c r="O10" s="44"/>
      <c r="P10" s="45"/>
      <c r="Q10" s="45"/>
      <c r="R10" s="46">
        <f t="shared" si="3"/>
        <v>7.6923076923076927E-2</v>
      </c>
    </row>
    <row r="11" spans="1:18" x14ac:dyDescent="0.35">
      <c r="A11" s="39">
        <v>9</v>
      </c>
      <c r="B11" s="2" t="s">
        <v>82</v>
      </c>
      <c r="C11" s="7">
        <v>33.909999999999997</v>
      </c>
      <c r="D11" s="7">
        <v>2.4500000000000002</v>
      </c>
      <c r="E11" s="4">
        <f t="shared" si="0"/>
        <v>7.2250073724565031E-2</v>
      </c>
      <c r="F11" s="3">
        <f t="shared" si="1"/>
        <v>2067.9381362049771</v>
      </c>
      <c r="G11" s="5">
        <f t="shared" si="2"/>
        <v>0.15440446593630758</v>
      </c>
      <c r="H11" s="6">
        <f>Table1356[[#This Row],[Investment]]/Table1356[[#This Row],[Price]]</f>
        <v>60.983135836183351</v>
      </c>
      <c r="I11" s="59"/>
      <c r="J11" s="5">
        <f>Table1356[[#This Row],[Investment]]/$F$16</f>
        <v>4.6998594004658584E-2</v>
      </c>
      <c r="K11" s="1"/>
      <c r="L11" s="1">
        <f>K11-Table1356[[#This Row],[Investment]]</f>
        <v>-2067.9381362049771</v>
      </c>
      <c r="M11" s="44">
        <f>L11/Table1356[[#This Row],[Price]]</f>
        <v>-60.983135836183351</v>
      </c>
      <c r="N11" s="1"/>
      <c r="O11" s="44"/>
      <c r="P11" s="45"/>
      <c r="Q11" s="45"/>
      <c r="R11" s="46">
        <f t="shared" si="3"/>
        <v>7.6923076923076927E-2</v>
      </c>
    </row>
    <row r="12" spans="1:18" x14ac:dyDescent="0.35">
      <c r="A12" s="39">
        <v>10</v>
      </c>
      <c r="B12" s="2" t="s">
        <v>19</v>
      </c>
      <c r="C12" s="7">
        <v>23.73</v>
      </c>
      <c r="D12" s="7">
        <v>2.11</v>
      </c>
      <c r="E12" s="4">
        <f t="shared" si="0"/>
        <v>8.8916982722292454E-2</v>
      </c>
      <c r="F12" s="3">
        <f t="shared" si="1"/>
        <v>1680.3166079677464</v>
      </c>
      <c r="G12" s="5">
        <f t="shared" si="2"/>
        <v>0.125462354949022</v>
      </c>
      <c r="H12" s="6">
        <f>Table1356[[#This Row],[Investment]]/Table1356[[#This Row],[Price]]</f>
        <v>70.809802274241321</v>
      </c>
      <c r="I12" s="59"/>
      <c r="J12" s="5">
        <f>Table1356[[#This Row],[Investment]]/$F$16</f>
        <v>3.8189013817448797E-2</v>
      </c>
      <c r="K12" s="1"/>
      <c r="L12" s="1"/>
      <c r="M12" s="44"/>
      <c r="N12" s="1"/>
      <c r="O12" s="44"/>
      <c r="P12" s="45"/>
      <c r="Q12" s="45"/>
      <c r="R12" s="46">
        <f t="shared" si="3"/>
        <v>7.6923076923076927E-2</v>
      </c>
    </row>
    <row r="13" spans="1:18" x14ac:dyDescent="0.35">
      <c r="A13" s="39">
        <v>11</v>
      </c>
      <c r="B13" s="2" t="s">
        <v>83</v>
      </c>
      <c r="C13" s="7">
        <v>146.80000000000001</v>
      </c>
      <c r="D13" s="7">
        <v>13.58</v>
      </c>
      <c r="E13" s="4">
        <f t="shared" si="0"/>
        <v>9.2506811989100809E-2</v>
      </c>
      <c r="F13" s="3">
        <f t="shared" si="1"/>
        <v>1615.1100614758248</v>
      </c>
      <c r="G13" s="5">
        <f t="shared" si="2"/>
        <v>0.12059364934784138</v>
      </c>
      <c r="H13" s="6">
        <f>Table1356[[#This Row],[Investment]]/Table1356[[#This Row],[Price]]</f>
        <v>11.002112135393901</v>
      </c>
      <c r="I13" s="59"/>
      <c r="J13" s="5">
        <f>Table1356[[#This Row],[Investment]]/$F$16</f>
        <v>3.6707046851723303E-2</v>
      </c>
      <c r="K13" s="1"/>
      <c r="L13" s="1">
        <f>K13-Table1356[[#This Row],[Investment]]</f>
        <v>-1615.1100614758248</v>
      </c>
      <c r="M13" s="44">
        <f>L13/Table1356[[#This Row],[Price]]</f>
        <v>-11.002112135393901</v>
      </c>
      <c r="N13" s="1"/>
      <c r="O13" s="44"/>
      <c r="P13" s="45"/>
      <c r="Q13" s="45"/>
      <c r="R13" s="46">
        <f t="shared" si="3"/>
        <v>7.6923076923076927E-2</v>
      </c>
    </row>
    <row r="14" spans="1:18" x14ac:dyDescent="0.35">
      <c r="A14" s="39">
        <v>12</v>
      </c>
      <c r="B14" s="2" t="s">
        <v>81</v>
      </c>
      <c r="C14" s="7">
        <v>36.22</v>
      </c>
      <c r="D14" s="7">
        <v>3.6</v>
      </c>
      <c r="E14" s="4">
        <f t="shared" si="0"/>
        <v>9.9392600773053563E-2</v>
      </c>
      <c r="F14" s="3">
        <f t="shared" si="1"/>
        <v>1503.2173586019649</v>
      </c>
      <c r="G14" s="5">
        <f t="shared" si="2"/>
        <v>0.11223907977589369</v>
      </c>
      <c r="H14" s="6">
        <f>Table1356[[#This Row],[Investment]]/Table1356[[#This Row],[Price]]</f>
        <v>41.502411888513663</v>
      </c>
      <c r="I14" s="59"/>
      <c r="J14" s="5">
        <f>Table1356[[#This Row],[Investment]]/$F$16</f>
        <v>3.4164030877317397E-2</v>
      </c>
      <c r="K14" s="1"/>
      <c r="L14" s="1"/>
      <c r="M14" s="44"/>
      <c r="N14" s="1"/>
      <c r="O14" s="44"/>
      <c r="P14" s="45"/>
      <c r="Q14" s="45"/>
      <c r="R14" s="46">
        <f t="shared" si="3"/>
        <v>7.6923076923076927E-2</v>
      </c>
    </row>
    <row r="15" spans="1:18" x14ac:dyDescent="0.35">
      <c r="A15" s="39">
        <v>13</v>
      </c>
      <c r="B15" s="2" t="s">
        <v>77</v>
      </c>
      <c r="C15" s="7">
        <v>40.08</v>
      </c>
      <c r="D15" s="7">
        <v>4.8099999999999996</v>
      </c>
      <c r="E15" s="4">
        <f t="shared" si="0"/>
        <v>0.12000998003992015</v>
      </c>
      <c r="F15" s="3">
        <f t="shared" si="1"/>
        <v>1244.9688163346902</v>
      </c>
      <c r="G15" s="5">
        <f t="shared" si="2"/>
        <v>9.2956719462743559E-2</v>
      </c>
      <c r="H15" s="6">
        <f>Table1356[[#This Row],[Investment]]/Table1356[[#This Row],[Price]]</f>
        <v>31.062096215935387</v>
      </c>
      <c r="I15" s="59"/>
      <c r="J15" s="5">
        <f>Table1356[[#This Row],[Investment]]/$F$16</f>
        <v>2.8294745825788423E-2</v>
      </c>
      <c r="K15" s="1"/>
      <c r="L15" s="1">
        <f>K15-Table1356[[#This Row],[Investment]]</f>
        <v>-1244.9688163346902</v>
      </c>
      <c r="M15" s="44">
        <f>L15/Table1356[[#This Row],[Price]]</f>
        <v>-31.062096215935387</v>
      </c>
      <c r="N15" s="1"/>
      <c r="O15" s="44"/>
      <c r="P15" s="45"/>
      <c r="Q15" s="45"/>
      <c r="R15" s="46">
        <f>1/A15</f>
        <v>7.6923076923076927E-2</v>
      </c>
    </row>
    <row r="16" spans="1:18" ht="21.75" thickBot="1" x14ac:dyDescent="0.4">
      <c r="A16" s="14"/>
      <c r="E16" s="19" t="s">
        <v>6</v>
      </c>
      <c r="F16" s="20">
        <f>SUM(F4:F15)</f>
        <v>43999.999999999985</v>
      </c>
      <c r="G16" s="21">
        <f>G9*J9+G10*J10+G11*J11+G12*J12+G13*J13+G14*J14+G15*J15+G4*J4+G8*J8+G5*J5+G6*J6+G7*J7</f>
        <v>0.40383214045777233</v>
      </c>
      <c r="L16" s="23">
        <f>SUM(L9:L15)</f>
        <v>-7326.799176465528</v>
      </c>
      <c r="M16" s="24"/>
      <c r="N16" s="23">
        <f>SUM(N9:N15)</f>
        <v>0</v>
      </c>
      <c r="O16" s="24"/>
      <c r="P16" s="25"/>
      <c r="Q16" s="25"/>
    </row>
    <row r="17" spans="1:10" ht="22.5" thickTop="1" thickBot="1" x14ac:dyDescent="0.4">
      <c r="A17" s="14"/>
      <c r="C17" s="26" t="s">
        <v>63</v>
      </c>
      <c r="F17" s="10" t="s">
        <v>49</v>
      </c>
      <c r="G17" s="21">
        <f>AVERAGE(G4:G15)</f>
        <v>0.27377497349708446</v>
      </c>
      <c r="J17" s="26" t="s">
        <v>48</v>
      </c>
    </row>
    <row r="18" spans="1:10" ht="21.75" thickTop="1" x14ac:dyDescent="0.35">
      <c r="A18" s="28" t="s">
        <v>54</v>
      </c>
      <c r="C18" s="9"/>
      <c r="E18" s="10" t="s">
        <v>7</v>
      </c>
      <c r="F18" s="29">
        <f>1/(SUM(G4:G15))</f>
        <v>0.30438623468342985</v>
      </c>
      <c r="J18" s="10" t="s">
        <v>23</v>
      </c>
    </row>
    <row r="19" spans="1:10" x14ac:dyDescent="0.35">
      <c r="A19" s="10"/>
      <c r="B19" s="10" t="s">
        <v>88</v>
      </c>
      <c r="C19" s="9"/>
      <c r="E19" s="10" t="s">
        <v>8</v>
      </c>
      <c r="F19" s="30">
        <v>44000</v>
      </c>
      <c r="J19" s="10" t="s">
        <v>20</v>
      </c>
    </row>
    <row r="20" spans="1:10" x14ac:dyDescent="0.35">
      <c r="A20" s="10"/>
      <c r="C20" s="9"/>
      <c r="F20" s="31"/>
      <c r="J20" s="10" t="s">
        <v>12</v>
      </c>
    </row>
    <row r="21" spans="1:10" x14ac:dyDescent="0.35">
      <c r="A21" s="10"/>
      <c r="F21" s="31"/>
      <c r="J21" s="10" t="s">
        <v>9</v>
      </c>
    </row>
    <row r="22" spans="1:10" x14ac:dyDescent="0.35">
      <c r="A22" s="10"/>
      <c r="J22" s="10" t="s">
        <v>18</v>
      </c>
    </row>
    <row r="23" spans="1:10" x14ac:dyDescent="0.35">
      <c r="A23" s="10"/>
      <c r="C23" s="32"/>
      <c r="J23" s="10" t="s">
        <v>52</v>
      </c>
    </row>
    <row r="24" spans="1:10" x14ac:dyDescent="0.35">
      <c r="A24" s="10"/>
      <c r="C24" s="32"/>
      <c r="J24" s="10" t="s">
        <v>11</v>
      </c>
    </row>
    <row r="25" spans="1:10" x14ac:dyDescent="0.35">
      <c r="J25" s="10" t="s">
        <v>51</v>
      </c>
    </row>
    <row r="26" spans="1:10" x14ac:dyDescent="0.35">
      <c r="J26" s="10" t="s">
        <v>17</v>
      </c>
    </row>
    <row r="27" spans="1:10" x14ac:dyDescent="0.35">
      <c r="J27" s="10" t="s">
        <v>10</v>
      </c>
    </row>
    <row r="28" spans="1:10" x14ac:dyDescent="0.35">
      <c r="J28" s="10" t="s">
        <v>62</v>
      </c>
    </row>
    <row r="29" spans="1:10" x14ac:dyDescent="0.35">
      <c r="J29" s="10" t="s">
        <v>44</v>
      </c>
    </row>
    <row r="30" spans="1:10" x14ac:dyDescent="0.35">
      <c r="J30" s="10" t="s">
        <v>28</v>
      </c>
    </row>
    <row r="31" spans="1:10" x14ac:dyDescent="0.35">
      <c r="J31" s="10" t="s">
        <v>26</v>
      </c>
    </row>
    <row r="32" spans="1:10" x14ac:dyDescent="0.35">
      <c r="J32" s="10" t="s">
        <v>25</v>
      </c>
    </row>
    <row r="33" spans="10:10" x14ac:dyDescent="0.35">
      <c r="J33" s="10" t="s">
        <v>41</v>
      </c>
    </row>
    <row r="34" spans="10:10" x14ac:dyDescent="0.35">
      <c r="J34" s="10" t="s">
        <v>47</v>
      </c>
    </row>
    <row r="35" spans="10:10" x14ac:dyDescent="0.35">
      <c r="J35" s="10" t="s">
        <v>16</v>
      </c>
    </row>
    <row r="36" spans="10:10" x14ac:dyDescent="0.35">
      <c r="J36" s="10" t="s">
        <v>53</v>
      </c>
    </row>
    <row r="37" spans="10:10" x14ac:dyDescent="0.35">
      <c r="J37" s="10" t="s">
        <v>42</v>
      </c>
    </row>
    <row r="38" spans="10:10" x14ac:dyDescent="0.35">
      <c r="J38" s="10" t="s">
        <v>31</v>
      </c>
    </row>
    <row r="39" spans="10:10" x14ac:dyDescent="0.35">
      <c r="J39" s="10" t="s">
        <v>46</v>
      </c>
    </row>
    <row r="40" spans="10:10" x14ac:dyDescent="0.35">
      <c r="J40" s="10" t="s">
        <v>65</v>
      </c>
    </row>
    <row r="41" spans="10:10" x14ac:dyDescent="0.35">
      <c r="J41" s="10" t="s">
        <v>15</v>
      </c>
    </row>
    <row r="42" spans="10:10" x14ac:dyDescent="0.35">
      <c r="J42" s="10" t="s">
        <v>50</v>
      </c>
    </row>
    <row r="43" spans="10:10" x14ac:dyDescent="0.35">
      <c r="J43" s="10" t="s">
        <v>32</v>
      </c>
    </row>
    <row r="44" spans="10:10" x14ac:dyDescent="0.35">
      <c r="J44" s="10" t="s">
        <v>45</v>
      </c>
    </row>
    <row r="45" spans="10:10" x14ac:dyDescent="0.35">
      <c r="J45" s="10" t="s">
        <v>26</v>
      </c>
    </row>
    <row r="46" spans="10:10" x14ac:dyDescent="0.35">
      <c r="J46" s="10"/>
    </row>
    <row r="47" spans="10:10" x14ac:dyDescent="0.35">
      <c r="J47" s="10"/>
    </row>
    <row r="48" spans="10:10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  <row r="54" spans="10:10" x14ac:dyDescent="0.35">
      <c r="J54" s="10"/>
    </row>
    <row r="55" spans="10:10" x14ac:dyDescent="0.35">
      <c r="J55" s="10"/>
    </row>
    <row r="56" spans="10:10" x14ac:dyDescent="0.35">
      <c r="J56" s="10"/>
    </row>
    <row r="57" spans="10:10" x14ac:dyDescent="0.35">
      <c r="J57" s="10"/>
    </row>
    <row r="58" spans="10:10" x14ac:dyDescent="0.35">
      <c r="J58" s="10"/>
    </row>
    <row r="59" spans="10:10" x14ac:dyDescent="0.35">
      <c r="J59" s="10"/>
    </row>
    <row r="60" spans="10:10" x14ac:dyDescent="0.35">
      <c r="J60" s="10"/>
    </row>
    <row r="61" spans="10:10" x14ac:dyDescent="0.35">
      <c r="J61" s="10"/>
    </row>
    <row r="62" spans="10:10" x14ac:dyDescent="0.35">
      <c r="J62" s="10"/>
    </row>
    <row r="63" spans="10:10" x14ac:dyDescent="0.35">
      <c r="J63" s="10"/>
    </row>
    <row r="64" spans="10:10" x14ac:dyDescent="0.35">
      <c r="J64" s="10"/>
    </row>
    <row r="65" spans="10:10" x14ac:dyDescent="0.35">
      <c r="J65" s="10"/>
    </row>
    <row r="66" spans="10:10" x14ac:dyDescent="0.35">
      <c r="J66" s="10"/>
    </row>
    <row r="67" spans="10:10" x14ac:dyDescent="0.35">
      <c r="J67" s="10"/>
    </row>
    <row r="68" spans="10:10" x14ac:dyDescent="0.35">
      <c r="J68" s="10"/>
    </row>
    <row r="69" spans="10:10" x14ac:dyDescent="0.35">
      <c r="J69" s="10"/>
    </row>
    <row r="70" spans="10:10" x14ac:dyDescent="0.35">
      <c r="J70" s="10"/>
    </row>
    <row r="71" spans="10:10" x14ac:dyDescent="0.35">
      <c r="J71" s="10"/>
    </row>
    <row r="72" spans="10:10" x14ac:dyDescent="0.35">
      <c r="J72" s="10"/>
    </row>
    <row r="73" spans="10:10" x14ac:dyDescent="0.35">
      <c r="J73" s="10"/>
    </row>
    <row r="74" spans="10:10" x14ac:dyDescent="0.35">
      <c r="J74" s="10"/>
    </row>
    <row r="75" spans="10:10" x14ac:dyDescent="0.35">
      <c r="J75" s="10"/>
    </row>
    <row r="76" spans="10:10" x14ac:dyDescent="0.35">
      <c r="J76" s="10"/>
    </row>
    <row r="77" spans="10:10" x14ac:dyDescent="0.35">
      <c r="J77" s="10"/>
    </row>
    <row r="78" spans="10:10" x14ac:dyDescent="0.35">
      <c r="J78" s="10"/>
    </row>
    <row r="79" spans="10:10" x14ac:dyDescent="0.35">
      <c r="J79" s="10"/>
    </row>
    <row r="80" spans="10:10" x14ac:dyDescent="0.35">
      <c r="J80" s="10"/>
    </row>
    <row r="81" spans="10:10" x14ac:dyDescent="0.35">
      <c r="J81" s="10"/>
    </row>
    <row r="82" spans="10:10" x14ac:dyDescent="0.35">
      <c r="J82" s="10"/>
    </row>
    <row r="83" spans="10:10" x14ac:dyDescent="0.35">
      <c r="J83" s="10"/>
    </row>
    <row r="84" spans="10:10" x14ac:dyDescent="0.35">
      <c r="J84" s="10"/>
    </row>
    <row r="85" spans="10:10" x14ac:dyDescent="0.35">
      <c r="J85" s="10"/>
    </row>
    <row r="86" spans="10:10" x14ac:dyDescent="0.35">
      <c r="J86" s="10"/>
    </row>
    <row r="87" spans="10:10" x14ac:dyDescent="0.35">
      <c r="J87" s="10"/>
    </row>
    <row r="88" spans="10:10" x14ac:dyDescent="0.35">
      <c r="J88" s="10"/>
    </row>
    <row r="89" spans="10:10" x14ac:dyDescent="0.35">
      <c r="J89" s="10"/>
    </row>
    <row r="90" spans="10:10" x14ac:dyDescent="0.35">
      <c r="J90" s="10"/>
    </row>
    <row r="91" spans="10:10" x14ac:dyDescent="0.35">
      <c r="J91" s="10"/>
    </row>
    <row r="92" spans="10:10" x14ac:dyDescent="0.35">
      <c r="J92" s="10"/>
    </row>
    <row r="93" spans="10:10" x14ac:dyDescent="0.35">
      <c r="J93" s="10"/>
    </row>
    <row r="94" spans="10:10" x14ac:dyDescent="0.35">
      <c r="J94" s="10"/>
    </row>
    <row r="95" spans="10:10" x14ac:dyDescent="0.35">
      <c r="J95" s="10"/>
    </row>
    <row r="96" spans="10:10" x14ac:dyDescent="0.35">
      <c r="J96" s="10"/>
    </row>
    <row r="97" spans="10:10" x14ac:dyDescent="0.35">
      <c r="J97" s="10"/>
    </row>
    <row r="98" spans="10:10" x14ac:dyDescent="0.35">
      <c r="J98" s="10"/>
    </row>
    <row r="99" spans="10:10" x14ac:dyDescent="0.35">
      <c r="J99" s="10"/>
    </row>
    <row r="100" spans="10:10" x14ac:dyDescent="0.35">
      <c r="J100" s="10"/>
    </row>
    <row r="101" spans="10:10" x14ac:dyDescent="0.35">
      <c r="J101" s="10"/>
    </row>
    <row r="102" spans="10:10" x14ac:dyDescent="0.35">
      <c r="J102" s="10"/>
    </row>
    <row r="103" spans="10:10" x14ac:dyDescent="0.35">
      <c r="J103" s="10"/>
    </row>
    <row r="104" spans="10:10" x14ac:dyDescent="0.35">
      <c r="J104" s="10"/>
    </row>
    <row r="105" spans="10:10" x14ac:dyDescent="0.35">
      <c r="J105" s="10"/>
    </row>
    <row r="106" spans="10:10" x14ac:dyDescent="0.35">
      <c r="J106" s="10"/>
    </row>
    <row r="107" spans="10:10" x14ac:dyDescent="0.35">
      <c r="J107" s="10"/>
    </row>
    <row r="108" spans="10:10" x14ac:dyDescent="0.35">
      <c r="J108" s="10"/>
    </row>
    <row r="109" spans="10:10" x14ac:dyDescent="0.35">
      <c r="J109" s="10"/>
    </row>
    <row r="110" spans="10:10" x14ac:dyDescent="0.35">
      <c r="J110" s="10"/>
    </row>
    <row r="111" spans="10:10" x14ac:dyDescent="0.35">
      <c r="J111" s="10"/>
    </row>
    <row r="112" spans="10:10" x14ac:dyDescent="0.35">
      <c r="J112" s="10"/>
    </row>
    <row r="113" spans="10:10" x14ac:dyDescent="0.35">
      <c r="J113" s="10"/>
    </row>
    <row r="114" spans="10:10" x14ac:dyDescent="0.35">
      <c r="J114" s="10"/>
    </row>
    <row r="115" spans="10:10" x14ac:dyDescent="0.35">
      <c r="J115" s="10"/>
    </row>
    <row r="116" spans="10:10" x14ac:dyDescent="0.35">
      <c r="J116" s="10"/>
    </row>
    <row r="117" spans="10:10" x14ac:dyDescent="0.35">
      <c r="J117" s="10"/>
    </row>
    <row r="118" spans="10:10" x14ac:dyDescent="0.35">
      <c r="J118" s="10"/>
    </row>
    <row r="119" spans="10:10" x14ac:dyDescent="0.35">
      <c r="J119" s="10"/>
    </row>
    <row r="120" spans="10:10" x14ac:dyDescent="0.35">
      <c r="J120" s="10"/>
    </row>
    <row r="121" spans="10:10" x14ac:dyDescent="0.35">
      <c r="J121" s="10"/>
    </row>
    <row r="122" spans="10:10" x14ac:dyDescent="0.35">
      <c r="J122" s="10"/>
    </row>
    <row r="123" spans="10:10" x14ac:dyDescent="0.35">
      <c r="J123" s="10"/>
    </row>
    <row r="124" spans="10:10" x14ac:dyDescent="0.35">
      <c r="J124" s="10"/>
    </row>
    <row r="125" spans="10:10" x14ac:dyDescent="0.35">
      <c r="J125" s="10"/>
    </row>
    <row r="126" spans="10:10" x14ac:dyDescent="0.35">
      <c r="J126" s="10"/>
    </row>
    <row r="127" spans="10:10" x14ac:dyDescent="0.35">
      <c r="J127" s="10"/>
    </row>
    <row r="128" spans="10:10" x14ac:dyDescent="0.35">
      <c r="J128" s="10"/>
    </row>
    <row r="129" spans="10:10" x14ac:dyDescent="0.35">
      <c r="J129" s="10"/>
    </row>
    <row r="130" spans="10:10" x14ac:dyDescent="0.35">
      <c r="J130" s="10"/>
    </row>
    <row r="131" spans="10:10" x14ac:dyDescent="0.35">
      <c r="J131" s="10"/>
    </row>
    <row r="132" spans="10:10" x14ac:dyDescent="0.35">
      <c r="J132" s="10"/>
    </row>
    <row r="133" spans="10:10" x14ac:dyDescent="0.35">
      <c r="J133" s="10"/>
    </row>
    <row r="134" spans="10:10" x14ac:dyDescent="0.35">
      <c r="J134" s="10"/>
    </row>
    <row r="135" spans="10:10" x14ac:dyDescent="0.35">
      <c r="J135" s="10"/>
    </row>
    <row r="136" spans="10:10" x14ac:dyDescent="0.35">
      <c r="J136" s="10"/>
    </row>
    <row r="137" spans="10:10" x14ac:dyDescent="0.35">
      <c r="J137" s="10"/>
    </row>
    <row r="138" spans="10:10" x14ac:dyDescent="0.35">
      <c r="J138" s="10"/>
    </row>
    <row r="139" spans="10:10" x14ac:dyDescent="0.35">
      <c r="J139" s="10"/>
    </row>
    <row r="140" spans="10:10" x14ac:dyDescent="0.35">
      <c r="J140" s="10"/>
    </row>
    <row r="141" spans="10:10" x14ac:dyDescent="0.35">
      <c r="J141" s="10"/>
    </row>
    <row r="142" spans="10:10" x14ac:dyDescent="0.35">
      <c r="J142" s="10"/>
    </row>
    <row r="143" spans="10:10" x14ac:dyDescent="0.35">
      <c r="J143" s="10"/>
    </row>
    <row r="144" spans="10:10" x14ac:dyDescent="0.35">
      <c r="J144" s="10"/>
    </row>
    <row r="145" spans="10:10" x14ac:dyDescent="0.35">
      <c r="J145" s="10"/>
    </row>
    <row r="146" spans="10:10" x14ac:dyDescent="0.35">
      <c r="J146" s="10"/>
    </row>
    <row r="147" spans="10:10" x14ac:dyDescent="0.35">
      <c r="J147" s="10"/>
    </row>
    <row r="148" spans="10:10" x14ac:dyDescent="0.35">
      <c r="J148" s="10"/>
    </row>
    <row r="149" spans="10:10" x14ac:dyDescent="0.35">
      <c r="J149" s="10"/>
    </row>
    <row r="150" spans="10:10" x14ac:dyDescent="0.35">
      <c r="J150" s="10"/>
    </row>
    <row r="151" spans="10:10" x14ac:dyDescent="0.35">
      <c r="J151" s="10"/>
    </row>
    <row r="152" spans="10:10" x14ac:dyDescent="0.35">
      <c r="J152" s="10"/>
    </row>
    <row r="153" spans="10:10" x14ac:dyDescent="0.35">
      <c r="J153" s="10"/>
    </row>
    <row r="154" spans="10:10" x14ac:dyDescent="0.35">
      <c r="J154" s="10"/>
    </row>
    <row r="155" spans="10:10" x14ac:dyDescent="0.35">
      <c r="J155" s="10"/>
    </row>
    <row r="156" spans="10:10" x14ac:dyDescent="0.35">
      <c r="J156" s="10"/>
    </row>
    <row r="157" spans="10:10" x14ac:dyDescent="0.35">
      <c r="J157" s="10"/>
    </row>
    <row r="158" spans="10:10" x14ac:dyDescent="0.35">
      <c r="J158" s="10"/>
    </row>
    <row r="159" spans="10:10" x14ac:dyDescent="0.35">
      <c r="J159" s="10"/>
    </row>
    <row r="160" spans="10:10" x14ac:dyDescent="0.35">
      <c r="J160" s="10"/>
    </row>
    <row r="161" spans="10:10" x14ac:dyDescent="0.35">
      <c r="J161" s="10"/>
    </row>
    <row r="162" spans="10:10" x14ac:dyDescent="0.35">
      <c r="J162" s="10"/>
    </row>
    <row r="163" spans="10:10" x14ac:dyDescent="0.35">
      <c r="J163" s="10"/>
    </row>
    <row r="164" spans="10:10" x14ac:dyDescent="0.35">
      <c r="J164" s="10"/>
    </row>
    <row r="165" spans="10:10" x14ac:dyDescent="0.35">
      <c r="J165" s="10"/>
    </row>
    <row r="166" spans="10:10" x14ac:dyDescent="0.35">
      <c r="J166" s="10"/>
    </row>
    <row r="167" spans="10:10" x14ac:dyDescent="0.35">
      <c r="J167" s="10"/>
    </row>
    <row r="168" spans="10:10" x14ac:dyDescent="0.35">
      <c r="J168" s="10"/>
    </row>
    <row r="169" spans="10:10" x14ac:dyDescent="0.35">
      <c r="J169" s="10"/>
    </row>
    <row r="170" spans="10:10" x14ac:dyDescent="0.35">
      <c r="J170" s="10"/>
    </row>
    <row r="171" spans="10:10" x14ac:dyDescent="0.35">
      <c r="J171" s="10"/>
    </row>
    <row r="172" spans="10:10" x14ac:dyDescent="0.35">
      <c r="J172" s="10"/>
    </row>
    <row r="173" spans="10:10" x14ac:dyDescent="0.35">
      <c r="J173" s="10"/>
    </row>
    <row r="174" spans="10:10" x14ac:dyDescent="0.35">
      <c r="J174" s="10"/>
    </row>
    <row r="175" spans="10:10" x14ac:dyDescent="0.35">
      <c r="J175" s="10"/>
    </row>
    <row r="176" spans="10:10" x14ac:dyDescent="0.35">
      <c r="J176" s="10"/>
    </row>
    <row r="177" spans="10:10" x14ac:dyDescent="0.35">
      <c r="J177" s="10"/>
    </row>
    <row r="178" spans="10:10" x14ac:dyDescent="0.35">
      <c r="J178" s="10"/>
    </row>
  </sheetData>
  <conditionalFormatting sqref="E16:E1048576 E1:E8 F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{79A1469C-F159-4B01-A987-AD4569CDFBF2}</x14:id>
        </ext>
      </extLst>
    </cfRule>
  </conditionalFormatting>
  <conditionalFormatting sqref="G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{04E2C494-FA73-46C8-AA5E-7350CF8AD5FD}</x14:id>
        </ext>
      </extLst>
    </cfRule>
  </conditionalFormatting>
  <conditionalFormatting sqref="E1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{6D6108D8-EFCE-4E4B-BEFB-EA8C43E1E638}</x14:id>
        </ext>
      </extLst>
    </cfRule>
  </conditionalFormatting>
  <conditionalFormatting sqref="E1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{46688C64-17F7-4C56-8BFD-CE97DD474DEF}</x14:id>
        </ext>
      </extLst>
    </cfRule>
  </conditionalFormatting>
  <conditionalFormatting sqref="E16:E1048576 E1:E1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{4FB315D2-09AA-4188-9507-77E952CEECFD}</x14:id>
        </ext>
      </extLst>
    </cfRule>
  </conditionalFormatting>
  <conditionalFormatting sqref="E14:E15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{01EF60F6-710E-4BE3-98E8-AB364B0A14E2}</x14:id>
        </ext>
      </extLst>
    </cfRule>
  </conditionalFormatting>
  <conditionalFormatting sqref="E14:E1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{B70E33DE-8659-4BF0-AED7-6C5F700E0CD3}</x14:id>
        </ext>
      </extLst>
    </cfRule>
  </conditionalFormatting>
  <conditionalFormatting sqref="J14:J15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{B3F826F7-D0A7-46FC-A6B6-0945915E4613}</x14:id>
        </ext>
      </extLst>
    </cfRule>
  </conditionalFormatting>
  <conditionalFormatting sqref="E12:E13">
    <cfRule type="dataBar" priority="4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{1D6FED26-2F9C-494E-9D72-9C8AFC6A59D0}</x14:id>
        </ext>
      </extLst>
    </cfRule>
  </conditionalFormatting>
  <conditionalFormatting sqref="E9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{4E750404-98CA-467B-BDF3-586626BDE606}</x14:id>
        </ext>
      </extLst>
    </cfRule>
  </conditionalFormatting>
  <conditionalFormatting sqref="J4:J13">
    <cfRule type="dataBar" priority="4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{4ED3FE0C-98CE-43DD-9AD1-33A71E1E1DD4}</x14:id>
        </ext>
      </extLst>
    </cfRule>
  </conditionalFormatting>
  <conditionalFormatting sqref="J4:J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{4BDDA7B1-E84E-46C0-8302-136EBAD762D2}</x14:id>
        </ext>
      </extLst>
    </cfRule>
  </conditionalFormatting>
  <conditionalFormatting sqref="E2:E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{7BD02C70-09F8-4F2D-8851-997CFAEB2C20}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A1469C-F159-4B01-A987-AD4569CDFB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E16:E1048576 E1:E8 F1</xm:sqref>
        </x14:conditionalFormatting>
        <x14:conditionalFormatting xmlns:xm="http://schemas.microsoft.com/office/excel/2006/main">
          <x14:cfRule type="dataBar" id="{04E2C494-FA73-46C8-AA5E-7350CF8AD5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D6108D8-EFCE-4E4B-BEFB-EA8C43E1E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6688C64-17F7-4C56-8BFD-CE97DD474D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4FB315D2-09AA-4188-9507-77E952CE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E16:E1048576 E1:E13</xm:sqref>
        </x14:conditionalFormatting>
        <x14:conditionalFormatting xmlns:xm="http://schemas.microsoft.com/office/excel/2006/main">
          <x14:cfRule type="dataBar" id="{01EF60F6-710E-4BE3-98E8-AB364B0A1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B70E33DE-8659-4BF0-AED7-6C5F700E0C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B3F826F7-D0A7-46FC-A6B6-0945915E4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1D6FED26-2F9C-494E-9D72-9C8AFC6A59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E12:E13</xm:sqref>
        </x14:conditionalFormatting>
        <x14:conditionalFormatting xmlns:xm="http://schemas.microsoft.com/office/excel/2006/main">
          <x14:cfRule type="dataBar" id="{4E750404-98CA-467B-BDF3-586626BDE6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ED3FE0C-98CE-43DD-9AD1-33A71E1E1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BDDA7B1-E84E-46C0-8302-136EBAD76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J4:J15</xm:sqref>
        </x14:conditionalFormatting>
        <x14:conditionalFormatting xmlns:xm="http://schemas.microsoft.com/office/excel/2006/main">
          <x14:cfRule type="dataBar" id="{7BD02C70-09F8-4F2D-8851-997CFAEB2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AD56-9227-412E-A701-73072567774E}">
  <dimension ref="A1:T17"/>
  <sheetViews>
    <sheetView zoomScale="125" zoomScaleNormal="125" workbookViewId="0">
      <selection activeCell="C5" sqref="C5:D5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1.42578125" style="10" customWidth="1"/>
    <col min="4" max="4" width="19" style="10" customWidth="1"/>
    <col min="5" max="5" width="27.85546875" style="10" bestFit="1" customWidth="1"/>
    <col min="6" max="6" width="26.5703125" style="10" bestFit="1" customWidth="1"/>
    <col min="7" max="7" width="25" style="18" customWidth="1"/>
    <col min="8" max="8" width="14.7109375" style="22" bestFit="1" customWidth="1"/>
    <col min="9" max="9" width="14.7109375" style="60" customWidth="1"/>
    <col min="10" max="10" width="13.7109375" style="18" bestFit="1" customWidth="1"/>
    <col min="11" max="11" width="24.85546875" style="18" customWidth="1"/>
    <col min="12" max="12" width="15" style="9" hidden="1" customWidth="1"/>
    <col min="13" max="13" width="13.85546875" style="9" hidden="1" customWidth="1"/>
    <col min="14" max="14" width="13.7109375" style="22" hidden="1" customWidth="1"/>
    <col min="15" max="15" width="12.140625" style="9" hidden="1" customWidth="1"/>
    <col min="16" max="16" width="14.85546875" style="22" hidden="1" customWidth="1"/>
    <col min="17" max="17" width="16.28515625" style="27" hidden="1" customWidth="1"/>
    <col min="18" max="18" width="12.5703125" style="27" hidden="1" customWidth="1"/>
    <col min="19" max="16384" width="9.140625" style="9"/>
  </cols>
  <sheetData>
    <row r="1" spans="1:20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6" t="s">
        <v>29</v>
      </c>
      <c r="H1" s="37" t="s">
        <v>33</v>
      </c>
      <c r="I1" s="57" t="s">
        <v>67</v>
      </c>
      <c r="J1" s="53" t="s">
        <v>56</v>
      </c>
      <c r="K1" s="36" t="s">
        <v>30</v>
      </c>
      <c r="L1" s="8" t="s">
        <v>35</v>
      </c>
      <c r="M1" s="8" t="s">
        <v>34</v>
      </c>
      <c r="N1" s="8" t="s">
        <v>36</v>
      </c>
      <c r="O1" s="8" t="s">
        <v>39</v>
      </c>
      <c r="P1" s="8" t="s">
        <v>38</v>
      </c>
      <c r="Q1" s="8" t="s">
        <v>37</v>
      </c>
      <c r="R1" s="8" t="s">
        <v>40</v>
      </c>
    </row>
    <row r="2" spans="1:20" x14ac:dyDescent="0.35">
      <c r="A2" s="39">
        <v>0</v>
      </c>
      <c r="B2" s="2" t="s">
        <v>4</v>
      </c>
      <c r="C2" s="7">
        <v>355.33</v>
      </c>
      <c r="D2" s="7">
        <v>5.8</v>
      </c>
      <c r="E2" s="4">
        <f>D2/C2</f>
        <v>1.6322854811020741E-2</v>
      </c>
      <c r="F2" s="40"/>
      <c r="G2" s="41">
        <v>1</v>
      </c>
      <c r="H2" s="40"/>
      <c r="I2" s="58"/>
      <c r="J2" s="41">
        <v>1.89E-2</v>
      </c>
      <c r="K2" s="41"/>
      <c r="L2" s="11"/>
      <c r="M2" s="11"/>
      <c r="N2" s="12"/>
      <c r="O2" s="11"/>
      <c r="P2" s="12"/>
      <c r="Q2" s="13"/>
      <c r="R2" s="13"/>
    </row>
    <row r="3" spans="1:20" x14ac:dyDescent="0.35">
      <c r="A3" s="39">
        <f>A2+1</f>
        <v>1</v>
      </c>
      <c r="B3" s="2" t="s">
        <v>55</v>
      </c>
      <c r="C3" s="7">
        <v>290.38</v>
      </c>
      <c r="D3" s="7">
        <v>5.69</v>
      </c>
      <c r="E3" s="4">
        <f>D3/C3</f>
        <v>1.9595013430677044E-2</v>
      </c>
      <c r="F3" s="3">
        <f>((1/(E3/$E$2))*$F$9)*$F$10</f>
        <v>3761.6663631565361</v>
      </c>
      <c r="G3" s="5">
        <f>$E$2/E3</f>
        <v>0.83301064675293546</v>
      </c>
      <c r="H3" s="6">
        <f>Table14[[#This Row],[Investment]]/Table14[[#This Row],[Price]]</f>
        <v>12.954288735989174</v>
      </c>
      <c r="I3" s="59">
        <v>8</v>
      </c>
      <c r="J3" s="5">
        <v>5.4999999999999997E-3</v>
      </c>
      <c r="K3" s="5">
        <f>Table14[[#This Row],[Investment]]/$F$7</f>
        <v>0.28935895101204129</v>
      </c>
      <c r="L3" s="15"/>
      <c r="M3" s="15">
        <f>L3-Table14[[#This Row],[Investment]]</f>
        <v>-3761.6663631565361</v>
      </c>
      <c r="N3" s="16">
        <f>M3/Table14[[#This Row],[Price]]</f>
        <v>-12.954288735989174</v>
      </c>
      <c r="O3" s="15"/>
      <c r="P3" s="16"/>
      <c r="Q3" s="17"/>
      <c r="R3" s="17"/>
      <c r="S3" s="47"/>
      <c r="T3" s="47"/>
    </row>
    <row r="4" spans="1:20" x14ac:dyDescent="0.35">
      <c r="A4" s="39">
        <f>A3+1</f>
        <v>2</v>
      </c>
      <c r="B4" s="2" t="s">
        <v>10</v>
      </c>
      <c r="C4" s="7">
        <v>97.01</v>
      </c>
      <c r="D4" s="7">
        <v>2.08</v>
      </c>
      <c r="E4" s="4">
        <f>D4/C4</f>
        <v>2.1441088547572415E-2</v>
      </c>
      <c r="F4" s="3">
        <f>((1/(E4/$E$2))*$F$9)*$F$10</f>
        <v>3437.7873466747988</v>
      </c>
      <c r="G4" s="5">
        <f>$E$2/E4</f>
        <v>0.76128853135438568</v>
      </c>
      <c r="H4" s="6">
        <f>Table14[[#This Row],[Investment]]/Table14[[#This Row],[Price]]</f>
        <v>35.4374533210473</v>
      </c>
      <c r="I4" s="59">
        <v>22</v>
      </c>
      <c r="J4" s="5">
        <v>2.01E-2</v>
      </c>
      <c r="K4" s="5">
        <f>Table14[[#This Row],[Investment]]/$F$7</f>
        <v>0.26444518051344612</v>
      </c>
      <c r="L4" s="15"/>
      <c r="M4" s="15"/>
      <c r="N4" s="16"/>
      <c r="O4" s="15"/>
      <c r="P4" s="16"/>
      <c r="Q4" s="17"/>
      <c r="R4" s="17"/>
      <c r="S4" s="47"/>
      <c r="T4" s="47"/>
    </row>
    <row r="5" spans="1:20" x14ac:dyDescent="0.35">
      <c r="A5" s="39">
        <f t="shared" ref="A5:A6" si="0">A4+1</f>
        <v>3</v>
      </c>
      <c r="B5" s="2" t="s">
        <v>60</v>
      </c>
      <c r="C5" s="7">
        <v>269.81</v>
      </c>
      <c r="D5" s="7">
        <v>6.76</v>
      </c>
      <c r="E5" s="4">
        <f>D5/C5</f>
        <v>2.5054668099773914E-2</v>
      </c>
      <c r="F5" s="3">
        <f>((1/(E5/$E$2))*$F$9)*$F$10</f>
        <v>2941.9628555543909</v>
      </c>
      <c r="G5" s="5">
        <f>$E$2/E5</f>
        <v>0.65148956458010454</v>
      </c>
      <c r="H5" s="6">
        <f>Table14[[#This Row],[Investment]]/Table14[[#This Row],[Price]]</f>
        <v>10.903831791091475</v>
      </c>
      <c r="I5" s="59">
        <v>8</v>
      </c>
      <c r="J5" s="5">
        <v>2.1100000000000001E-2</v>
      </c>
      <c r="K5" s="5">
        <f>Table14[[#This Row],[Investment]]/$F$7</f>
        <v>0.22630483504264548</v>
      </c>
      <c r="L5" s="15"/>
      <c r="M5" s="15">
        <f>L5-Table14[[#This Row],[Investment]]</f>
        <v>-2941.9628555543909</v>
      </c>
      <c r="N5" s="16">
        <f>M5/Table14[[#This Row],[Price]]</f>
        <v>-10.903831791091475</v>
      </c>
      <c r="O5" s="15"/>
      <c r="P5" s="16"/>
      <c r="Q5" s="17"/>
      <c r="R5" s="17"/>
      <c r="S5" s="47"/>
      <c r="T5" s="47"/>
    </row>
    <row r="6" spans="1:20" x14ac:dyDescent="0.35">
      <c r="A6" s="39">
        <f t="shared" si="0"/>
        <v>4</v>
      </c>
      <c r="B6" s="2" t="s">
        <v>75</v>
      </c>
      <c r="C6" s="7">
        <v>126.04</v>
      </c>
      <c r="D6" s="7">
        <v>3.25</v>
      </c>
      <c r="E6" s="4">
        <f>D6/C6</f>
        <v>2.5785464931767692E-2</v>
      </c>
      <c r="F6" s="3">
        <f>((1/(E6/$E$2))*$F$9)*$F$10</f>
        <v>2858.5834346142728</v>
      </c>
      <c r="G6" s="5">
        <f>$E$2/E6</f>
        <v>0.63302542165570908</v>
      </c>
      <c r="H6" s="6">
        <f>Table14[[#This Row],[Investment]]/Table14[[#This Row],[Price]]</f>
        <v>22.67997012547027</v>
      </c>
      <c r="I6" s="59">
        <v>32</v>
      </c>
      <c r="J6" s="5">
        <v>2.1999999999999999E-2</v>
      </c>
      <c r="K6" s="5">
        <f>Table14[[#This Row],[Investment]]/$F$7</f>
        <v>0.21989103343186717</v>
      </c>
      <c r="L6" s="15"/>
      <c r="M6" s="15">
        <f>L6-Table14[[#This Row],[Investment]]</f>
        <v>-2858.5834346142728</v>
      </c>
      <c r="N6" s="16">
        <f>M6/Table14[[#This Row],[Price]]</f>
        <v>-22.67997012547027</v>
      </c>
      <c r="O6" s="15"/>
      <c r="P6" s="16"/>
      <c r="Q6" s="17"/>
      <c r="R6" s="17"/>
      <c r="S6" s="47"/>
      <c r="T6" s="47"/>
    </row>
    <row r="7" spans="1:20" ht="21.75" thickBot="1" x14ac:dyDescent="0.4">
      <c r="A7" s="14"/>
      <c r="E7" s="19" t="s">
        <v>6</v>
      </c>
      <c r="F7" s="20">
        <f>SUM(F3:F6)</f>
        <v>12999.999999999998</v>
      </c>
      <c r="G7" s="21">
        <f>G3*K3+G4*K4+G5*K5+G6*K6</f>
        <v>0.72899002262394108</v>
      </c>
      <c r="J7" s="21">
        <f>AVERAGE(J3:J6)</f>
        <v>1.7174999999999999E-2</v>
      </c>
      <c r="M7" s="23">
        <f>SUM(M3:M6)</f>
        <v>-9562.2126533251994</v>
      </c>
      <c r="N7" s="24"/>
      <c r="O7" s="23">
        <f>SUM(O3:O6)</f>
        <v>0</v>
      </c>
      <c r="P7" s="24"/>
      <c r="Q7" s="25"/>
      <c r="R7" s="25"/>
    </row>
    <row r="8" spans="1:20" ht="22.5" thickTop="1" thickBot="1" x14ac:dyDescent="0.4">
      <c r="B8" s="48"/>
      <c r="C8" s="48"/>
      <c r="F8" s="10" t="s">
        <v>59</v>
      </c>
      <c r="G8" s="21">
        <f>AVERAGE(G3:G6)</f>
        <v>0.71970354108578372</v>
      </c>
      <c r="K8" s="26" t="s">
        <v>48</v>
      </c>
    </row>
    <row r="9" spans="1:20" ht="21.75" thickTop="1" x14ac:dyDescent="0.35">
      <c r="A9" s="10"/>
      <c r="B9" s="48"/>
      <c r="C9" s="48"/>
      <c r="E9" s="10" t="s">
        <v>7</v>
      </c>
      <c r="F9" s="29">
        <f>1/(SUM(G3:G6))</f>
        <v>0.34736524933979962</v>
      </c>
      <c r="K9" s="10" t="s">
        <v>68</v>
      </c>
    </row>
    <row r="10" spans="1:20" x14ac:dyDescent="0.35">
      <c r="A10" s="10"/>
      <c r="B10" s="48"/>
      <c r="C10" s="48"/>
      <c r="E10" s="10" t="s">
        <v>8</v>
      </c>
      <c r="F10" s="55">
        <v>13000</v>
      </c>
      <c r="K10" s="10" t="s">
        <v>69</v>
      </c>
    </row>
    <row r="11" spans="1:20" x14ac:dyDescent="0.35">
      <c r="A11" s="10"/>
      <c r="B11" s="48"/>
      <c r="C11" s="48"/>
      <c r="E11" s="10" t="s">
        <v>57</v>
      </c>
      <c r="F11" s="50">
        <f>F12*J7</f>
        <v>0</v>
      </c>
      <c r="G11" s="50"/>
      <c r="H11" s="18"/>
      <c r="J11" s="54"/>
      <c r="K11" s="10" t="s">
        <v>17</v>
      </c>
    </row>
    <row r="12" spans="1:20" x14ac:dyDescent="0.35">
      <c r="A12" s="10"/>
      <c r="B12" s="48"/>
      <c r="C12" s="48"/>
      <c r="F12" s="51"/>
    </row>
    <row r="13" spans="1:20" x14ac:dyDescent="0.35">
      <c r="A13" s="10"/>
      <c r="B13" s="48"/>
      <c r="C13" s="48"/>
      <c r="F13" s="49"/>
    </row>
    <row r="14" spans="1:20" x14ac:dyDescent="0.35">
      <c r="A14" s="10"/>
      <c r="B14" s="48"/>
      <c r="C14" s="52"/>
      <c r="F14" s="56"/>
    </row>
    <row r="15" spans="1:20" x14ac:dyDescent="0.35">
      <c r="B15" s="48"/>
      <c r="C15" s="52"/>
    </row>
    <row r="16" spans="1:20" x14ac:dyDescent="0.35">
      <c r="B16" s="48"/>
      <c r="C16" s="48"/>
    </row>
    <row r="17" spans="2:3" x14ac:dyDescent="0.35">
      <c r="B17" s="48"/>
      <c r="C17" s="48"/>
    </row>
  </sheetData>
  <conditionalFormatting sqref="E7:E1048576 F1 E1:E4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{0598B5A8-F6B5-453E-BDA4-77B410E6BF7B}</x14:id>
        </ext>
      </extLst>
    </cfRule>
  </conditionalFormatting>
  <conditionalFormatting sqref="G1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{950D5BD0-9972-41F8-8D1B-7D5CEAB48A63}</x14:id>
        </ext>
      </extLst>
    </cfRule>
  </conditionalFormatting>
  <conditionalFormatting sqref="E5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{037DF180-4D5F-47A6-A220-6EF34C921C0A}</x14:id>
        </ext>
      </extLst>
    </cfRule>
  </conditionalFormatting>
  <conditionalFormatting sqref="E7:E1048576 E1:E5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{797F367C-4EAD-4C24-8A6F-8669675BBDE4}</x14:id>
        </ext>
      </extLst>
    </cfRule>
  </conditionalFormatting>
  <conditionalFormatting sqref="K3:K5"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{7A20DD7E-32AB-4993-AEB9-99F74A9C3263}</x14:id>
        </ext>
      </extLst>
    </cfRule>
  </conditionalFormatting>
  <conditionalFormatting sqref="E6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{E803CC9E-ED92-47D0-88CF-C807DD49042D}</x14:id>
        </ext>
      </extLst>
    </cfRule>
  </conditionalFormatting>
  <conditionalFormatting sqref="E6">
    <cfRule type="dataBar" priority="3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{00139FBC-755A-493A-97E1-837140EAD26C}</x14:id>
        </ext>
      </extLst>
    </cfRule>
  </conditionalFormatting>
  <conditionalFormatting sqref="K6">
    <cfRule type="dataBar" priority="3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{BFB4793A-5833-457D-BA71-B33B27897698}</x14:id>
        </ext>
      </extLst>
    </cfRule>
  </conditionalFormatting>
  <conditionalFormatting sqref="E2:E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{3521B569-3981-4449-926C-D14F8D7D83EF}</x14:id>
        </ext>
      </extLst>
    </cfRule>
  </conditionalFormatting>
  <conditionalFormatting sqref="K3:K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{0054829B-95F7-4F77-BF69-3D13A4C3270E}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98B5A8-F6B5-453E-BDA4-77B410E6B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E7:E1048576 F1 E1:E4</xm:sqref>
        </x14:conditionalFormatting>
        <x14:conditionalFormatting xmlns:xm="http://schemas.microsoft.com/office/excel/2006/main">
          <x14:cfRule type="dataBar" id="{950D5BD0-9972-41F8-8D1B-7D5CEAB48A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037DF180-4D5F-47A6-A220-6EF34C921C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797F367C-4EAD-4C24-8A6F-8669675BB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E7:E1048576 E1:E5</xm:sqref>
        </x14:conditionalFormatting>
        <x14:conditionalFormatting xmlns:xm="http://schemas.microsoft.com/office/excel/2006/main">
          <x14:cfRule type="dataBar" id="{7A20DD7E-32AB-4993-AEB9-99F74A9C3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K3:K5</xm:sqref>
        </x14:conditionalFormatting>
        <x14:conditionalFormatting xmlns:xm="http://schemas.microsoft.com/office/excel/2006/main">
          <x14:cfRule type="dataBar" id="{E803CC9E-ED92-47D0-88CF-C807DD4904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00139FBC-755A-493A-97E1-837140EAD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BFB4793A-5833-457D-BA71-B33B27897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3521B569-3981-4449-926C-D14F8D7D8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0054829B-95F7-4F77-BF69-3D13A4C32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A64A-ADBC-42D5-9F1E-7ADF88977A9C}">
  <dimension ref="A1:S41"/>
  <sheetViews>
    <sheetView tabSelected="1" zoomScale="125" zoomScaleNormal="125" workbookViewId="0">
      <selection activeCell="H15" sqref="H15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1.42578125" style="10" customWidth="1"/>
    <col min="4" max="5" width="19" style="10" customWidth="1"/>
    <col min="6" max="6" width="27.85546875" style="10" bestFit="1" customWidth="1"/>
    <col min="7" max="7" width="26.5703125" style="10" bestFit="1" customWidth="1"/>
    <col min="8" max="8" width="25" style="18" customWidth="1"/>
    <col min="9" max="9" width="14.7109375" style="22" bestFit="1" customWidth="1"/>
    <col min="10" max="10" width="14.7109375" style="60" customWidth="1"/>
    <col min="11" max="11" width="24.85546875" style="18" customWidth="1"/>
    <col min="12" max="12" width="15" style="9" hidden="1" customWidth="1"/>
    <col min="13" max="13" width="13.85546875" style="9" hidden="1" customWidth="1"/>
    <col min="14" max="14" width="13.7109375" style="22" hidden="1" customWidth="1"/>
    <col min="15" max="15" width="12.140625" style="9" hidden="1" customWidth="1"/>
    <col min="16" max="16" width="14.85546875" style="22" hidden="1" customWidth="1"/>
    <col min="17" max="17" width="16.28515625" style="27" hidden="1" customWidth="1"/>
    <col min="18" max="18" width="12.5703125" style="27" hidden="1" customWidth="1"/>
    <col min="19" max="16384" width="9.140625" style="9"/>
  </cols>
  <sheetData>
    <row r="1" spans="1:19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95</v>
      </c>
      <c r="F1" s="35" t="s">
        <v>3</v>
      </c>
      <c r="G1" s="35" t="s">
        <v>5</v>
      </c>
      <c r="H1" s="36" t="s">
        <v>29</v>
      </c>
      <c r="I1" s="37" t="s">
        <v>33</v>
      </c>
      <c r="J1" s="57" t="s">
        <v>67</v>
      </c>
      <c r="K1" s="36" t="s">
        <v>30</v>
      </c>
      <c r="L1" s="37" t="s">
        <v>35</v>
      </c>
      <c r="M1" s="37" t="s">
        <v>34</v>
      </c>
      <c r="N1" s="37" t="s">
        <v>36</v>
      </c>
      <c r="O1" s="37" t="s">
        <v>39</v>
      </c>
      <c r="P1" s="37" t="s">
        <v>38</v>
      </c>
      <c r="Q1" s="37" t="s">
        <v>37</v>
      </c>
      <c r="R1" s="37" t="s">
        <v>40</v>
      </c>
      <c r="S1" s="38"/>
    </row>
    <row r="2" spans="1:19" x14ac:dyDescent="0.35">
      <c r="A2" s="39">
        <v>0</v>
      </c>
      <c r="B2" s="2" t="s">
        <v>55</v>
      </c>
      <c r="C2" s="7">
        <v>319.02999999999997</v>
      </c>
      <c r="D2" s="7">
        <v>4.43</v>
      </c>
      <c r="E2" s="61">
        <v>1.01E-2</v>
      </c>
      <c r="F2" s="4">
        <f>D2/C2</f>
        <v>1.3885841456916279E-2</v>
      </c>
      <c r="G2" s="40"/>
      <c r="H2" s="41">
        <v>1</v>
      </c>
      <c r="I2" s="40"/>
      <c r="J2" s="58"/>
      <c r="K2" s="41"/>
      <c r="L2" s="41"/>
      <c r="M2" s="41"/>
      <c r="N2" s="42"/>
      <c r="O2" s="41"/>
      <c r="P2" s="42"/>
      <c r="Q2" s="43"/>
      <c r="R2" s="43"/>
      <c r="S2" s="38"/>
    </row>
    <row r="3" spans="1:19" x14ac:dyDescent="0.35">
      <c r="A3" s="39">
        <v>1</v>
      </c>
      <c r="B3" s="2" t="s">
        <v>72</v>
      </c>
      <c r="C3" s="7">
        <v>58.92</v>
      </c>
      <c r="D3" s="7">
        <v>1.07</v>
      </c>
      <c r="E3" s="61">
        <v>3.0099999999999998E-2</v>
      </c>
      <c r="F3" s="4">
        <f>D3/C3</f>
        <v>1.81602172437203E-2</v>
      </c>
      <c r="G3" s="3">
        <f>((1/(F3/$F$2))*$G$16)*$G$17</f>
        <v>5226.5326234858585</v>
      </c>
      <c r="H3" s="5">
        <f>$F$2/F3</f>
        <v>0.76462969966495986</v>
      </c>
      <c r="I3" s="6">
        <f>Table1353[[#This Row],[Investment]]/Table1353[[#This Row],[Price]]</f>
        <v>88.705577452237918</v>
      </c>
      <c r="J3" s="59">
        <v>88</v>
      </c>
      <c r="K3" s="5">
        <f>Table1353[[#This Row],[Investment]]/$G$14</f>
        <v>0.24309454062724919</v>
      </c>
      <c r="L3" s="1"/>
      <c r="M3" s="1">
        <f>L3-Table1353[[#This Row],[Investment]]</f>
        <v>-5226.5326234858585</v>
      </c>
      <c r="N3" s="44">
        <f>M3/Table1353[[#This Row],[Price]]</f>
        <v>-88.705577452237918</v>
      </c>
      <c r="O3" s="1"/>
      <c r="P3" s="44"/>
      <c r="Q3" s="45"/>
      <c r="R3" s="45"/>
      <c r="S3" s="46">
        <f>$S$13</f>
        <v>9.0909090909090912E-2</v>
      </c>
    </row>
    <row r="4" spans="1:19" x14ac:dyDescent="0.35">
      <c r="A4" s="39">
        <v>2</v>
      </c>
      <c r="B4" s="2" t="s">
        <v>98</v>
      </c>
      <c r="C4" s="7">
        <v>44.42</v>
      </c>
      <c r="D4" s="7">
        <v>1.37</v>
      </c>
      <c r="E4" s="61">
        <v>0</v>
      </c>
      <c r="F4" s="4">
        <f>D4/C4</f>
        <v>3.0841963079693831E-2</v>
      </c>
      <c r="G4" s="3">
        <f>((1/(F4/$F$2))*$G$16)*$G$17</f>
        <v>3077.4619510645234</v>
      </c>
      <c r="H4" s="5">
        <f>$F$2/F4</f>
        <v>0.45022560402643874</v>
      </c>
      <c r="I4" s="6">
        <f>Table1353[[#This Row],[Investment]]/Table1353[[#This Row],[Price]]</f>
        <v>69.280998448098231</v>
      </c>
      <c r="J4" s="59"/>
      <c r="K4" s="5">
        <f>Table1353[[#This Row],[Investment]]/$G$14</f>
        <v>0.14313776516579177</v>
      </c>
      <c r="L4" s="1"/>
      <c r="M4" s="1">
        <f>L4-Table1353[[#This Row],[Investment]]</f>
        <v>-3077.4619510645234</v>
      </c>
      <c r="N4" s="44">
        <f>M4/Table1353[[#This Row],[Price]]</f>
        <v>-69.280998448098231</v>
      </c>
      <c r="O4" s="1"/>
      <c r="P4" s="44"/>
      <c r="Q4" s="45"/>
      <c r="R4" s="45"/>
      <c r="S4" s="46"/>
    </row>
    <row r="5" spans="1:19" x14ac:dyDescent="0.35">
      <c r="A5" s="39">
        <v>3</v>
      </c>
      <c r="B5" s="2" t="s">
        <v>97</v>
      </c>
      <c r="C5" s="7">
        <v>175.65</v>
      </c>
      <c r="D5" s="7">
        <v>5.5</v>
      </c>
      <c r="E5" s="61">
        <v>-0.11509999999999999</v>
      </c>
      <c r="F5" s="4">
        <f>D5/C5</f>
        <v>3.1312268716196981E-2</v>
      </c>
      <c r="G5" s="3">
        <f>((1/(F5/$F$2))*$G$16)*$G$17</f>
        <v>3031.23892855447</v>
      </c>
      <c r="H5" s="5">
        <f>$F$2/F5</f>
        <v>0.44346328216497172</v>
      </c>
      <c r="I5" s="6">
        <f>Table1353[[#This Row],[Investment]]/Table1353[[#This Row],[Price]]</f>
        <v>17.257266886162654</v>
      </c>
      <c r="J5" s="59">
        <v>17</v>
      </c>
      <c r="K5" s="5">
        <f>Table1353[[#This Row],[Investment]]/$G$14</f>
        <v>0.14098785714206835</v>
      </c>
      <c r="L5" s="1"/>
      <c r="M5" s="1"/>
      <c r="N5" s="44"/>
      <c r="O5" s="1"/>
      <c r="P5" s="44"/>
      <c r="Q5" s="45"/>
      <c r="R5" s="45"/>
      <c r="S5" s="46"/>
    </row>
    <row r="6" spans="1:19" x14ac:dyDescent="0.35">
      <c r="A6" s="39">
        <v>4</v>
      </c>
      <c r="B6" s="2" t="s">
        <v>93</v>
      </c>
      <c r="C6" s="7">
        <v>207.41</v>
      </c>
      <c r="D6" s="7">
        <v>8</v>
      </c>
      <c r="E6" s="61">
        <v>-6.7500000000000004E-2</v>
      </c>
      <c r="F6" s="4">
        <f>D6/C6</f>
        <v>3.8570946434598137E-2</v>
      </c>
      <c r="G6" s="3">
        <f>((1/(F6/$F$2))*$G$16)*$G$17</f>
        <v>2460.7891858405596</v>
      </c>
      <c r="H6" s="5">
        <f>$F$2/F6</f>
        <v>0.36000779707237568</v>
      </c>
      <c r="I6" s="6">
        <f>Table1353[[#This Row],[Investment]]/Table1353[[#This Row],[Price]]</f>
        <v>11.864370984236825</v>
      </c>
      <c r="J6" s="59">
        <v>12</v>
      </c>
      <c r="K6" s="5">
        <f>Table1353[[#This Row],[Investment]]/$G$14</f>
        <v>0.11445531096932833</v>
      </c>
      <c r="L6" s="1"/>
      <c r="M6" s="1">
        <f>L6-Table1353[[#This Row],[Investment]]</f>
        <v>-2460.7891858405596</v>
      </c>
      <c r="N6" s="44">
        <f>M6/Table1353[[#This Row],[Price]]</f>
        <v>-11.864370984236825</v>
      </c>
      <c r="O6" s="1"/>
      <c r="P6" s="44"/>
      <c r="Q6" s="45"/>
      <c r="R6" s="45"/>
      <c r="S6" s="46">
        <f>$S$13</f>
        <v>9.0909090909090912E-2</v>
      </c>
    </row>
    <row r="7" spans="1:19" x14ac:dyDescent="0.35">
      <c r="A7" s="39">
        <v>5</v>
      </c>
      <c r="B7" s="2" t="s">
        <v>71</v>
      </c>
      <c r="C7" s="7">
        <v>236.19</v>
      </c>
      <c r="D7" s="7">
        <v>10</v>
      </c>
      <c r="E7" s="61">
        <v>-0.26029999999999998</v>
      </c>
      <c r="F7" s="4">
        <f>D7/C7</f>
        <v>4.2338795037893222E-2</v>
      </c>
      <c r="G7" s="3">
        <f>((1/(F7/$F$2))*$G$16)*$G$17</f>
        <v>2241.796626213516</v>
      </c>
      <c r="H7" s="5">
        <f>$F$2/F7</f>
        <v>0.32796968937090559</v>
      </c>
      <c r="I7" s="6">
        <f>Table1353[[#This Row],[Investment]]/Table1353[[#This Row],[Price]]</f>
        <v>9.4914967873894582</v>
      </c>
      <c r="J7" s="59">
        <v>10</v>
      </c>
      <c r="K7" s="5">
        <f>Table1353[[#This Row],[Investment]]/$G$14</f>
        <v>0.10426961052155886</v>
      </c>
      <c r="L7" s="1"/>
      <c r="M7" s="1"/>
      <c r="N7" s="44"/>
      <c r="O7" s="1"/>
      <c r="P7" s="44"/>
      <c r="Q7" s="45"/>
      <c r="R7" s="45"/>
      <c r="S7" s="46">
        <f>$S$13</f>
        <v>9.0909090909090912E-2</v>
      </c>
    </row>
    <row r="8" spans="1:19" x14ac:dyDescent="0.35">
      <c r="A8" s="39">
        <v>6</v>
      </c>
      <c r="B8" s="2" t="s">
        <v>76</v>
      </c>
      <c r="C8" s="7">
        <v>8.0299999999999994</v>
      </c>
      <c r="D8" s="7">
        <v>0.6</v>
      </c>
      <c r="E8" s="61">
        <v>-0.46139999999999998</v>
      </c>
      <c r="F8" s="4">
        <f>D8/C8</f>
        <v>7.4719800747198015E-2</v>
      </c>
      <c r="G8" s="3">
        <f>((1/(F8/$F$2))*$G$16)*$G$17</f>
        <v>1270.2786533789561</v>
      </c>
      <c r="H8" s="5">
        <f>$F$2/F8</f>
        <v>0.18583884483172952</v>
      </c>
      <c r="I8" s="6">
        <f>Table1353[[#This Row],[Investment]]/Table1353[[#This Row],[Price]]</f>
        <v>158.19161312315768</v>
      </c>
      <c r="J8" s="59"/>
      <c r="K8" s="5">
        <f>Table1353[[#This Row],[Investment]]/$G$14</f>
        <v>5.9082728064137481E-2</v>
      </c>
      <c r="L8" s="1"/>
      <c r="M8" s="1">
        <f>L8-Table1353[[#This Row],[Investment]]</f>
        <v>-1270.2786533789561</v>
      </c>
      <c r="N8" s="44">
        <f>M8/Table1353[[#This Row],[Price]]</f>
        <v>-158.19161312315768</v>
      </c>
      <c r="O8" s="1"/>
      <c r="P8" s="44"/>
      <c r="Q8" s="45"/>
      <c r="R8" s="45"/>
      <c r="S8" s="46">
        <f>$S$13</f>
        <v>9.0909090909090912E-2</v>
      </c>
    </row>
    <row r="9" spans="1:19" x14ac:dyDescent="0.35">
      <c r="A9" s="39">
        <v>7</v>
      </c>
      <c r="B9" s="2" t="s">
        <v>94</v>
      </c>
      <c r="C9" s="7">
        <v>300.10000000000002</v>
      </c>
      <c r="D9" s="7">
        <v>24.94</v>
      </c>
      <c r="E9" s="61">
        <v>-0.30049999999999999</v>
      </c>
      <c r="F9" s="4">
        <f>D9/C9</f>
        <v>8.3105631456181273E-2</v>
      </c>
      <c r="G9" s="3">
        <f>((1/(F9/$F$2))*$G$16)*$G$17</f>
        <v>1142.1003151145055</v>
      </c>
      <c r="H9" s="5">
        <f>$F$2/F9</f>
        <v>0.16708664880595731</v>
      </c>
      <c r="I9" s="6">
        <f>Table1353[[#This Row],[Investment]]/Table1353[[#This Row],[Price]]</f>
        <v>3.8057324728907211</v>
      </c>
      <c r="J9" s="59"/>
      <c r="K9" s="5">
        <f>Table1353[[#This Row],[Investment]]/$G$14</f>
        <v>5.3120944889046756E-2</v>
      </c>
      <c r="L9" s="1"/>
      <c r="M9" s="1">
        <f>L9-Table1353[[#This Row],[Investment]]</f>
        <v>-1142.1003151145055</v>
      </c>
      <c r="N9" s="44">
        <f>M9/Table1353[[#This Row],[Price]]</f>
        <v>-3.8057324728907211</v>
      </c>
      <c r="O9" s="1"/>
      <c r="P9" s="44"/>
      <c r="Q9" s="45"/>
      <c r="R9" s="45"/>
      <c r="S9" s="46">
        <f>$S$13</f>
        <v>9.0909090909090912E-2</v>
      </c>
    </row>
    <row r="10" spans="1:19" x14ac:dyDescent="0.35">
      <c r="A10" s="39">
        <v>8</v>
      </c>
      <c r="B10" s="2" t="s">
        <v>92</v>
      </c>
      <c r="C10" s="7">
        <v>45.45</v>
      </c>
      <c r="D10" s="7">
        <v>4.1900000000000004</v>
      </c>
      <c r="E10" s="61">
        <v>-0.38990000000000002</v>
      </c>
      <c r="F10" s="4">
        <f>D10/C10</f>
        <v>9.2189218921892191E-2</v>
      </c>
      <c r="G10" s="3">
        <f>((1/(F10/$F$2))*$G$16)*$G$17</f>
        <v>1029.5668949566848</v>
      </c>
      <c r="H10" s="5">
        <f>$F$2/F10</f>
        <v>0.15062326830950951</v>
      </c>
      <c r="I10" s="6">
        <f>Table1353[[#This Row],[Investment]]/Table1353[[#This Row],[Price]]</f>
        <v>22.652736962743337</v>
      </c>
      <c r="J10" s="59"/>
      <c r="K10" s="5">
        <f>Table1353[[#This Row],[Investment]]/$G$14</f>
        <v>4.7886832323566726E-2</v>
      </c>
      <c r="L10" s="1"/>
      <c r="M10" s="1">
        <f>L10-Table1353[[#This Row],[Investment]]</f>
        <v>-1029.5668949566848</v>
      </c>
      <c r="N10" s="44">
        <f>M10/Table1353[[#This Row],[Price]]</f>
        <v>-22.652736962743337</v>
      </c>
      <c r="O10" s="1"/>
      <c r="P10" s="44"/>
      <c r="Q10" s="45"/>
      <c r="R10" s="45"/>
      <c r="S10" s="46">
        <f>$S$13</f>
        <v>9.0909090909090912E-2</v>
      </c>
    </row>
    <row r="11" spans="1:19" x14ac:dyDescent="0.35">
      <c r="A11" s="39">
        <v>9</v>
      </c>
      <c r="B11" s="2" t="s">
        <v>89</v>
      </c>
      <c r="C11" s="7">
        <v>112.75</v>
      </c>
      <c r="D11" s="7">
        <v>12.14</v>
      </c>
      <c r="E11" s="61">
        <v>-0.36830000000000002</v>
      </c>
      <c r="F11" s="4">
        <f>D11/C11</f>
        <v>0.10767184035476719</v>
      </c>
      <c r="G11" s="3">
        <f>((1/(F11/$F$2))*$G$16)*$G$17</f>
        <v>881.52080953720065</v>
      </c>
      <c r="H11" s="5">
        <f>$F$2/F11</f>
        <v>0.12896446657885588</v>
      </c>
      <c r="I11" s="6">
        <f>Table1353[[#This Row],[Investment]]/Table1353[[#This Row],[Price]]</f>
        <v>7.8183663817046618</v>
      </c>
      <c r="J11" s="59"/>
      <c r="K11" s="5">
        <f>Table1353[[#This Row],[Investment]]/$G$14</f>
        <v>4.1000967885451184E-2</v>
      </c>
      <c r="L11" s="1"/>
      <c r="M11" s="1">
        <f>L11-Table1353[[#This Row],[Investment]]</f>
        <v>-881.52080953720065</v>
      </c>
      <c r="N11" s="44">
        <f>M11/Table1353[[#This Row],[Price]]</f>
        <v>-7.8183663817046618</v>
      </c>
      <c r="O11" s="1"/>
      <c r="P11" s="44"/>
      <c r="Q11" s="45"/>
      <c r="R11" s="45"/>
      <c r="S11" s="46">
        <f>$S$13</f>
        <v>9.0909090909090912E-2</v>
      </c>
    </row>
    <row r="12" spans="1:19" x14ac:dyDescent="0.35">
      <c r="A12" s="39">
        <v>10</v>
      </c>
      <c r="B12" s="2" t="s">
        <v>90</v>
      </c>
      <c r="C12" s="7">
        <v>37.22</v>
      </c>
      <c r="D12" s="7">
        <v>4.57</v>
      </c>
      <c r="E12" s="61">
        <v>-0.2404</v>
      </c>
      <c r="F12" s="4">
        <f>D12/C12</f>
        <v>0.12278344975819452</v>
      </c>
      <c r="G12" s="3">
        <f>((1/(F12/$F$2))*$G$16)*$G$17</f>
        <v>773.02737511298835</v>
      </c>
      <c r="H12" s="5">
        <f>$F$2/F12</f>
        <v>0.11309212670162448</v>
      </c>
      <c r="I12" s="6">
        <f>Table1353[[#This Row],[Investment]]/Table1353[[#This Row],[Price]]</f>
        <v>20.769139578532734</v>
      </c>
      <c r="J12" s="59"/>
      <c r="K12" s="5">
        <f>Table1353[[#This Row],[Investment]]/$G$14</f>
        <v>3.595476163316224E-2</v>
      </c>
      <c r="L12" s="1"/>
      <c r="M12" s="1">
        <f>L12-Table1353[[#This Row],[Investment]]</f>
        <v>-773.02737511298835</v>
      </c>
      <c r="N12" s="44">
        <f>M12/Table1353[[#This Row],[Price]]</f>
        <v>-20.769139578532734</v>
      </c>
      <c r="O12" s="1"/>
      <c r="P12" s="44"/>
      <c r="Q12" s="45"/>
      <c r="R12" s="45"/>
      <c r="S12" s="46">
        <f>$S$13</f>
        <v>9.0909090909090912E-2</v>
      </c>
    </row>
    <row r="13" spans="1:19" x14ac:dyDescent="0.35">
      <c r="A13" s="39">
        <v>11</v>
      </c>
      <c r="B13" s="2" t="s">
        <v>91</v>
      </c>
      <c r="C13" s="7">
        <v>56.79</v>
      </c>
      <c r="D13" s="7">
        <v>14.74</v>
      </c>
      <c r="E13" s="61">
        <v>-0.57210000000000005</v>
      </c>
      <c r="F13" s="4">
        <f>D13/C13</f>
        <v>0.25955273815812646</v>
      </c>
      <c r="G13" s="3">
        <f>((1/(F13/$F$2))*$G$16)*$G$17</f>
        <v>365.68663674073764</v>
      </c>
      <c r="H13" s="5">
        <f>$F$2/F13</f>
        <v>5.3499113727155725E-2</v>
      </c>
      <c r="I13" s="6">
        <f>Table1353[[#This Row],[Investment]]/Table1353[[#This Row],[Price]]</f>
        <v>6.4392786888666604</v>
      </c>
      <c r="J13" s="59"/>
      <c r="K13" s="5">
        <f>Table1353[[#This Row],[Investment]]/$G$14</f>
        <v>1.7008680778638957E-2</v>
      </c>
      <c r="L13" s="1"/>
      <c r="M13" s="1">
        <f>L13-Table1353[[#This Row],[Investment]]</f>
        <v>-365.68663674073764</v>
      </c>
      <c r="N13" s="44">
        <f>M13/Table1353[[#This Row],[Price]]</f>
        <v>-6.4392786888666604</v>
      </c>
      <c r="O13" s="1"/>
      <c r="P13" s="44"/>
      <c r="Q13" s="45"/>
      <c r="R13" s="45"/>
      <c r="S13" s="46">
        <f>1/A13</f>
        <v>9.0909090909090912E-2</v>
      </c>
    </row>
    <row r="14" spans="1:19" ht="21.75" thickBot="1" x14ac:dyDescent="0.4">
      <c r="A14" s="14"/>
      <c r="F14" s="19" t="s">
        <v>6</v>
      </c>
      <c r="G14" s="20">
        <f>SUM(G3:G13)</f>
        <v>21500.000000000004</v>
      </c>
      <c r="H14" s="21">
        <f>H13*K13+H12*K12+H11*K11+H10*K10+H9*K9+H3*K3+H6*K6+H7*K7+H8*K8+H5*K5+H4*K4</f>
        <v>0.42557896193074035</v>
      </c>
      <c r="M14" s="23">
        <f>SUM(M13:M13)</f>
        <v>-365.68663674073764</v>
      </c>
      <c r="N14" s="24"/>
      <c r="O14" s="23">
        <f>SUM(O13:O13)</f>
        <v>0</v>
      </c>
      <c r="P14" s="24"/>
      <c r="Q14" s="25"/>
      <c r="R14" s="25"/>
    </row>
    <row r="15" spans="1:19" ht="22.5" thickTop="1" thickBot="1" x14ac:dyDescent="0.4">
      <c r="A15" s="14"/>
      <c r="C15" s="26"/>
      <c r="G15" s="10" t="s">
        <v>49</v>
      </c>
      <c r="H15" s="21">
        <f>AVERAGE(H3:H13)</f>
        <v>0.28594550375040761</v>
      </c>
      <c r="K15" s="26"/>
    </row>
    <row r="16" spans="1:19" ht="21.75" thickTop="1" x14ac:dyDescent="0.35">
      <c r="A16" s="28"/>
      <c r="C16" s="9"/>
      <c r="F16" s="10" t="s">
        <v>7</v>
      </c>
      <c r="G16" s="29">
        <f>1/(SUM(H3:H13))</f>
        <v>0.31792453357980566</v>
      </c>
      <c r="K16" s="10"/>
    </row>
    <row r="17" spans="1:11" x14ac:dyDescent="0.35">
      <c r="A17" s="10"/>
      <c r="C17" s="9"/>
      <c r="F17" s="10" t="s">
        <v>8</v>
      </c>
      <c r="G17" s="30">
        <v>21500</v>
      </c>
      <c r="K17" s="10"/>
    </row>
    <row r="18" spans="1:11" x14ac:dyDescent="0.35">
      <c r="A18" s="10"/>
      <c r="C18" s="9"/>
      <c r="G18" s="31"/>
      <c r="K18" s="10"/>
    </row>
    <row r="19" spans="1:11" x14ac:dyDescent="0.35">
      <c r="A19" s="10"/>
      <c r="G19" s="31"/>
      <c r="K19" s="10"/>
    </row>
    <row r="20" spans="1:11" x14ac:dyDescent="0.35">
      <c r="A20" s="10"/>
      <c r="K20" s="10"/>
    </row>
    <row r="21" spans="1:11" x14ac:dyDescent="0.35">
      <c r="A21" s="10"/>
      <c r="C21" s="32"/>
      <c r="K21" s="10"/>
    </row>
    <row r="22" spans="1:11" x14ac:dyDescent="0.35">
      <c r="A22" s="10"/>
      <c r="C22" s="32"/>
      <c r="K22" s="10"/>
    </row>
    <row r="23" spans="1:11" x14ac:dyDescent="0.35">
      <c r="K23" s="10"/>
    </row>
    <row r="24" spans="1:11" x14ac:dyDescent="0.35">
      <c r="K24" s="10"/>
    </row>
    <row r="25" spans="1:11" x14ac:dyDescent="0.35">
      <c r="K25" s="10"/>
    </row>
    <row r="26" spans="1:11" x14ac:dyDescent="0.35">
      <c r="K26" s="10"/>
    </row>
    <row r="27" spans="1:11" x14ac:dyDescent="0.35">
      <c r="K27" s="10"/>
    </row>
    <row r="28" spans="1:11" x14ac:dyDescent="0.35">
      <c r="K28" s="10"/>
    </row>
    <row r="29" spans="1:11" x14ac:dyDescent="0.35">
      <c r="K29" s="10"/>
    </row>
    <row r="30" spans="1:11" x14ac:dyDescent="0.35">
      <c r="K30" s="10"/>
    </row>
    <row r="31" spans="1:11" x14ac:dyDescent="0.35">
      <c r="K31" s="10"/>
    </row>
    <row r="32" spans="1:11" x14ac:dyDescent="0.35">
      <c r="K32" s="10"/>
    </row>
    <row r="33" spans="11:11" x14ac:dyDescent="0.35">
      <c r="K33" s="10"/>
    </row>
    <row r="34" spans="11:11" x14ac:dyDescent="0.35">
      <c r="K34" s="10"/>
    </row>
    <row r="35" spans="11:11" x14ac:dyDescent="0.35">
      <c r="K35" s="10"/>
    </row>
    <row r="36" spans="11:11" x14ac:dyDescent="0.35">
      <c r="K36" s="10"/>
    </row>
    <row r="37" spans="11:11" x14ac:dyDescent="0.35">
      <c r="K37" s="10"/>
    </row>
    <row r="38" spans="11:11" x14ac:dyDescent="0.35">
      <c r="K38" s="10"/>
    </row>
    <row r="39" spans="11:11" x14ac:dyDescent="0.35">
      <c r="K39" s="10"/>
    </row>
    <row r="40" spans="11:11" x14ac:dyDescent="0.35">
      <c r="K40" s="10"/>
    </row>
    <row r="41" spans="11:11" x14ac:dyDescent="0.35">
      <c r="K41" s="10"/>
    </row>
  </sheetData>
  <conditionalFormatting sqref="F14:F1048576 F1:F12 G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{38478C1E-5748-43C4-BACE-6F45773D333D}</x14:id>
        </ext>
      </extLst>
    </cfRule>
  </conditionalFormatting>
  <conditionalFormatting sqref="H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{0E896552-809B-4CC9-BDDE-B7453640BCD7}</x14:id>
        </ext>
      </extLst>
    </cfRule>
  </conditionalFormatting>
  <conditionalFormatting sqref="F13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{383FAC58-39AC-4ED9-A6D7-6597D1FC4F83}</x14:id>
        </ext>
      </extLst>
    </cfRule>
  </conditionalFormatting>
  <conditionalFormatting sqref="F1:F1048576">
    <cfRule type="dataBar" priority="3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{31D9B0E9-B73F-4DE3-ABDD-3D0D0EE28B5B}</x14:id>
        </ext>
      </extLst>
    </cfRule>
  </conditionalFormatting>
  <conditionalFormatting sqref="F2:F13">
    <cfRule type="dataBar" priority="5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{A6A6A18B-634C-48D9-8082-8FAC7E14AC78}</x14:id>
        </ext>
      </extLst>
    </cfRule>
  </conditionalFormatting>
  <conditionalFormatting sqref="K3:K13">
    <cfRule type="dataBar" priority="5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{93864983-F75F-480B-8EBF-EC292DD28A18}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478C1E-5748-43C4-BACE-6F45773D3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F14:F1048576 F1:F12 G1</xm:sqref>
        </x14:conditionalFormatting>
        <x14:conditionalFormatting xmlns:xm="http://schemas.microsoft.com/office/excel/2006/main">
          <x14:cfRule type="dataBar" id="{0E896552-809B-4CC9-BDDE-B7453640BC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383FAC58-39AC-4ED9-A6D7-6597D1FC4F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31D9B0E9-B73F-4DE3-ABDD-3D0D0EE28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6A6A18B-634C-48D9-8082-8FAC7E14A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93864983-F75F-480B-8EBF-EC292DD2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12EC-8CAA-4252-A1E1-A8D78271F4CE}">
  <dimension ref="A1:T21"/>
  <sheetViews>
    <sheetView zoomScale="125" zoomScaleNormal="125" workbookViewId="0">
      <selection activeCell="E18" sqref="E18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1.42578125" style="10" customWidth="1"/>
    <col min="4" max="4" width="19" style="10" customWidth="1"/>
    <col min="5" max="5" width="27.85546875" style="10" bestFit="1" customWidth="1"/>
    <col min="6" max="6" width="26.5703125" style="10" bestFit="1" customWidth="1"/>
    <col min="7" max="7" width="25" style="18" customWidth="1"/>
    <col min="8" max="8" width="14.7109375" style="22" bestFit="1" customWidth="1"/>
    <col min="9" max="9" width="14.7109375" style="22" customWidth="1"/>
    <col min="10" max="10" width="13.7109375" style="18" bestFit="1" customWidth="1"/>
    <col min="11" max="11" width="24.85546875" style="18" customWidth="1"/>
    <col min="12" max="12" width="15" style="9" hidden="1" customWidth="1"/>
    <col min="13" max="13" width="13.85546875" style="9" hidden="1" customWidth="1"/>
    <col min="14" max="14" width="13.7109375" style="22" hidden="1" customWidth="1"/>
    <col min="15" max="15" width="12.140625" style="9" hidden="1" customWidth="1"/>
    <col min="16" max="16" width="14.85546875" style="22" hidden="1" customWidth="1"/>
    <col min="17" max="17" width="16.28515625" style="27" hidden="1" customWidth="1"/>
    <col min="18" max="18" width="12.5703125" style="27" hidden="1" customWidth="1"/>
    <col min="19" max="16384" width="9.140625" style="9"/>
  </cols>
  <sheetData>
    <row r="1" spans="1:20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6" t="s">
        <v>29</v>
      </c>
      <c r="H1" s="37" t="s">
        <v>33</v>
      </c>
      <c r="I1" s="57" t="s">
        <v>67</v>
      </c>
      <c r="J1" s="53" t="s">
        <v>56</v>
      </c>
      <c r="K1" s="36" t="s">
        <v>30</v>
      </c>
      <c r="L1" s="8" t="s">
        <v>35</v>
      </c>
      <c r="M1" s="8" t="s">
        <v>34</v>
      </c>
      <c r="N1" s="8" t="s">
        <v>36</v>
      </c>
      <c r="O1" s="8" t="s">
        <v>39</v>
      </c>
      <c r="P1" s="8" t="s">
        <v>38</v>
      </c>
      <c r="Q1" s="8" t="s">
        <v>37</v>
      </c>
      <c r="R1" s="8" t="s">
        <v>40</v>
      </c>
    </row>
    <row r="2" spans="1:20" x14ac:dyDescent="0.35">
      <c r="A2" s="39">
        <v>0</v>
      </c>
      <c r="B2" s="2" t="s">
        <v>4</v>
      </c>
      <c r="C2" s="7">
        <v>355.33</v>
      </c>
      <c r="D2" s="7">
        <v>5.8</v>
      </c>
      <c r="E2" s="4">
        <f t="shared" ref="E2:E10" si="0">D2/C2</f>
        <v>1.6322854811020741E-2</v>
      </c>
      <c r="F2" s="40"/>
      <c r="G2" s="41">
        <v>1</v>
      </c>
      <c r="H2" s="40"/>
      <c r="I2" s="40"/>
      <c r="J2" s="41">
        <v>1.72E-2</v>
      </c>
      <c r="K2" s="41"/>
      <c r="L2" s="11"/>
      <c r="M2" s="11"/>
      <c r="N2" s="12"/>
      <c r="O2" s="11"/>
      <c r="P2" s="12"/>
      <c r="Q2" s="13"/>
      <c r="R2" s="13"/>
    </row>
    <row r="3" spans="1:20" x14ac:dyDescent="0.35">
      <c r="A3" s="39">
        <v>1</v>
      </c>
      <c r="B3" s="10" t="s">
        <v>66</v>
      </c>
      <c r="C3" s="7">
        <v>108.8</v>
      </c>
      <c r="D3" s="7">
        <v>1.89</v>
      </c>
      <c r="E3" s="4">
        <f t="shared" si="0"/>
        <v>1.7371323529411765E-2</v>
      </c>
      <c r="F3" s="3">
        <f t="shared" ref="F3:F10" si="1">((1/(E3/$E$2))*$F$13)*$F$14</f>
        <v>1155.7064559558146</v>
      </c>
      <c r="G3" s="5">
        <f t="shared" ref="G3:G10" si="2">$E$2/E3</f>
        <v>0.93964370552331034</v>
      </c>
      <c r="H3" s="6">
        <f>Table142[[#This Row],[Investment]]/Table142[[#This Row],[Price]]</f>
        <v>10.622301984888002</v>
      </c>
      <c r="I3" s="6">
        <v>7</v>
      </c>
      <c r="J3" s="5">
        <v>2.2800000000000001E-2</v>
      </c>
      <c r="K3" s="5">
        <f>Table142[[#This Row],[Investment]]/$F$11</f>
        <v>0.15370895864212336</v>
      </c>
      <c r="L3" s="15"/>
      <c r="M3" s="15">
        <f>L3-Table142[[#This Row],[Investment]]</f>
        <v>-1155.7064559558146</v>
      </c>
      <c r="N3" s="16">
        <f>M3/Table142[[#This Row],[Price]]</f>
        <v>-10.622301984888002</v>
      </c>
      <c r="O3" s="15"/>
      <c r="P3" s="16"/>
      <c r="Q3" s="17"/>
      <c r="R3" s="17"/>
    </row>
    <row r="4" spans="1:20" x14ac:dyDescent="0.35">
      <c r="A4" s="39">
        <v>2</v>
      </c>
      <c r="B4" s="10" t="s">
        <v>32</v>
      </c>
      <c r="C4" s="7">
        <v>52.62</v>
      </c>
      <c r="D4" s="7">
        <v>0.95</v>
      </c>
      <c r="E4" s="4">
        <f t="shared" si="0"/>
        <v>1.805397187381224E-2</v>
      </c>
      <c r="F4" s="3">
        <f t="shared" si="1"/>
        <v>1112.0074237270362</v>
      </c>
      <c r="G4" s="5">
        <f t="shared" si="2"/>
        <v>0.90411433700622246</v>
      </c>
      <c r="H4" s="6">
        <f>Table142[[#This Row],[Investment]]/Table142[[#This Row],[Price]]</f>
        <v>21.132790264671918</v>
      </c>
      <c r="I4" s="6">
        <v>12</v>
      </c>
      <c r="J4" s="5">
        <v>4.6899999999999997E-2</v>
      </c>
      <c r="K4" s="5">
        <f>Table142[[#This Row],[Investment]]/$F$11</f>
        <v>0.14789698735569584</v>
      </c>
      <c r="L4" s="62"/>
      <c r="M4" s="62">
        <f>L4-Table142[[#This Row],[Investment]]</f>
        <v>-1112.0074237270362</v>
      </c>
      <c r="N4" s="63">
        <f>M4/Table142[[#This Row],[Price]]</f>
        <v>-21.132790264671918</v>
      </c>
      <c r="O4" s="62"/>
      <c r="P4" s="63"/>
      <c r="Q4" s="64"/>
      <c r="R4" s="64"/>
    </row>
    <row r="5" spans="1:20" x14ac:dyDescent="0.35">
      <c r="A5" s="39">
        <v>3</v>
      </c>
      <c r="B5" s="2" t="s">
        <v>55</v>
      </c>
      <c r="C5" s="7">
        <v>290.38</v>
      </c>
      <c r="D5" s="7">
        <v>5.69</v>
      </c>
      <c r="E5" s="4">
        <f t="shared" si="0"/>
        <v>1.9595013430677044E-2</v>
      </c>
      <c r="F5" s="3">
        <f t="shared" si="1"/>
        <v>1024.5540694556523</v>
      </c>
      <c r="G5" s="5">
        <f t="shared" si="2"/>
        <v>0.83301064675293546</v>
      </c>
      <c r="H5" s="6">
        <f>Table142[[#This Row],[Investment]]/Table142[[#This Row],[Price]]</f>
        <v>3.5283217489346801</v>
      </c>
      <c r="I5" s="6">
        <v>4</v>
      </c>
      <c r="J5" s="5">
        <v>6.0000000000000001E-3</v>
      </c>
      <c r="K5" s="5">
        <f>Table142[[#This Row],[Investment]]/$F$11</f>
        <v>0.13626569123760177</v>
      </c>
      <c r="L5" s="15"/>
      <c r="M5" s="15">
        <f>L5-Table142[[#This Row],[Investment]]</f>
        <v>-1024.5540694556523</v>
      </c>
      <c r="N5" s="16">
        <f>M5/Table142[[#This Row],[Price]]</f>
        <v>-3.5283217489346801</v>
      </c>
      <c r="O5" s="15"/>
      <c r="P5" s="16"/>
      <c r="Q5" s="17"/>
      <c r="R5" s="17"/>
    </row>
    <row r="6" spans="1:20" x14ac:dyDescent="0.35">
      <c r="A6" s="39">
        <v>4</v>
      </c>
      <c r="B6" s="2" t="s">
        <v>73</v>
      </c>
      <c r="C6" s="7">
        <v>214.09</v>
      </c>
      <c r="D6" s="7">
        <v>4.51</v>
      </c>
      <c r="E6" s="4">
        <f t="shared" si="0"/>
        <v>2.1065906861600259E-2</v>
      </c>
      <c r="F6" s="3">
        <f t="shared" si="1"/>
        <v>953.01621161317769</v>
      </c>
      <c r="G6" s="5">
        <f t="shared" si="2"/>
        <v>0.77484700365663661</v>
      </c>
      <c r="H6" s="6">
        <f>Table142[[#This Row],[Investment]]/Table142[[#This Row],[Price]]</f>
        <v>4.4514746677246846</v>
      </c>
      <c r="I6" s="6">
        <v>5</v>
      </c>
      <c r="J6" s="5">
        <v>2.3800000000000002E-2</v>
      </c>
      <c r="K6" s="5">
        <f>Table142[[#This Row],[Investment]]/$F$11</f>
        <v>0.12675115614455265</v>
      </c>
      <c r="L6" s="62"/>
      <c r="M6" s="62">
        <f>L6-Table142[[#This Row],[Investment]]</f>
        <v>-953.01621161317769</v>
      </c>
      <c r="N6" s="63">
        <f>M6/Table142[[#This Row],[Price]]</f>
        <v>-4.4514746677246846</v>
      </c>
      <c r="O6" s="62"/>
      <c r="P6" s="63"/>
      <c r="Q6" s="64"/>
      <c r="R6" s="64"/>
      <c r="S6" s="47"/>
      <c r="T6" s="47"/>
    </row>
    <row r="7" spans="1:20" x14ac:dyDescent="0.35">
      <c r="A7" s="39">
        <v>5</v>
      </c>
      <c r="B7" s="2" t="s">
        <v>10</v>
      </c>
      <c r="C7" s="7">
        <v>97.01</v>
      </c>
      <c r="D7" s="7">
        <v>2.08</v>
      </c>
      <c r="E7" s="4">
        <f t="shared" si="0"/>
        <v>2.1441088547572415E-2</v>
      </c>
      <c r="F7" s="3">
        <f t="shared" si="1"/>
        <v>936.34008865241913</v>
      </c>
      <c r="G7" s="5">
        <f t="shared" si="2"/>
        <v>0.76128853135438568</v>
      </c>
      <c r="H7" s="6">
        <f>Table142[[#This Row],[Investment]]/Table142[[#This Row],[Price]]</f>
        <v>9.6519955535761159</v>
      </c>
      <c r="I7" s="6">
        <v>11</v>
      </c>
      <c r="J7" s="5">
        <v>1.84E-2</v>
      </c>
      <c r="K7" s="5">
        <f>Table142[[#This Row],[Investment]]/$F$11</f>
        <v>0.12453323179077176</v>
      </c>
      <c r="L7" s="62"/>
      <c r="M7" s="62">
        <f>L7-Table142[[#This Row],[Investment]]</f>
        <v>-936.34008865241913</v>
      </c>
      <c r="N7" s="63">
        <f>M7/Table142[[#This Row],[Price]]</f>
        <v>-9.6519955535761159</v>
      </c>
      <c r="O7" s="62"/>
      <c r="P7" s="63"/>
      <c r="Q7" s="64"/>
      <c r="R7" s="64"/>
      <c r="S7" s="47"/>
      <c r="T7" s="47"/>
    </row>
    <row r="8" spans="1:20" x14ac:dyDescent="0.35">
      <c r="A8" s="39">
        <v>6</v>
      </c>
      <c r="B8" s="65" t="s">
        <v>60</v>
      </c>
      <c r="C8" s="7">
        <v>269.81</v>
      </c>
      <c r="D8" s="7">
        <v>6.76</v>
      </c>
      <c r="E8" s="4">
        <f t="shared" si="0"/>
        <v>2.5054668099773914E-2</v>
      </c>
      <c r="F8" s="3">
        <f t="shared" si="1"/>
        <v>801.29382163396065</v>
      </c>
      <c r="G8" s="5">
        <f t="shared" si="2"/>
        <v>0.65148956458010454</v>
      </c>
      <c r="H8" s="6">
        <f>Table142[[#This Row],[Investment]]/Table142[[#This Row],[Price]]</f>
        <v>2.9698447857157282</v>
      </c>
      <c r="I8" s="6">
        <v>4</v>
      </c>
      <c r="J8" s="5">
        <v>2.1499999999999998E-2</v>
      </c>
      <c r="K8" s="5">
        <f>Table142[[#This Row],[Investment]]/$F$11</f>
        <v>0.10657207827731678</v>
      </c>
      <c r="L8" s="15"/>
      <c r="M8" s="15">
        <f>L8-Table142[[#This Row],[Investment]]</f>
        <v>-801.29382163396065</v>
      </c>
      <c r="N8" s="16">
        <f>M8/Table142[[#This Row],[Price]]</f>
        <v>-2.9698447857157282</v>
      </c>
      <c r="O8" s="15"/>
      <c r="P8" s="16"/>
      <c r="Q8" s="17"/>
      <c r="R8" s="17"/>
      <c r="S8" s="47"/>
      <c r="T8" s="47"/>
    </row>
    <row r="9" spans="1:20" x14ac:dyDescent="0.35">
      <c r="A9" s="39">
        <v>7</v>
      </c>
      <c r="B9" s="2" t="s">
        <v>27</v>
      </c>
      <c r="C9" s="7">
        <v>210.39</v>
      </c>
      <c r="D9" s="7">
        <v>5.36</v>
      </c>
      <c r="E9" s="4">
        <f t="shared" si="0"/>
        <v>2.5476496031180192E-2</v>
      </c>
      <c r="F9" s="3">
        <f t="shared" si="1"/>
        <v>788.0263724990873</v>
      </c>
      <c r="G9" s="5">
        <f t="shared" si="2"/>
        <v>0.64070250441989807</v>
      </c>
      <c r="H9" s="6">
        <f>Table142[[#This Row],[Investment]]/Table142[[#This Row],[Price]]</f>
        <v>3.7455505133280447</v>
      </c>
      <c r="I9" s="6">
        <v>4</v>
      </c>
      <c r="J9" s="5">
        <v>1.03E-2</v>
      </c>
      <c r="K9" s="5">
        <f>Table142[[#This Row],[Investment]]/$F$11</f>
        <v>0.10480750754237862</v>
      </c>
      <c r="L9" s="15"/>
      <c r="M9" s="15"/>
      <c r="N9" s="16"/>
      <c r="O9" s="15"/>
      <c r="P9" s="16"/>
      <c r="Q9" s="17"/>
      <c r="R9" s="17"/>
      <c r="S9" s="47"/>
      <c r="T9" s="47"/>
    </row>
    <row r="10" spans="1:20" x14ac:dyDescent="0.35">
      <c r="A10" s="39">
        <v>8</v>
      </c>
      <c r="B10" s="2" t="s">
        <v>61</v>
      </c>
      <c r="C10" s="7">
        <v>117.34</v>
      </c>
      <c r="D10" s="7">
        <v>3.15</v>
      </c>
      <c r="E10" s="4">
        <f t="shared" si="0"/>
        <v>2.6845065621271518E-2</v>
      </c>
      <c r="F10" s="3">
        <f t="shared" si="1"/>
        <v>747.85254894405489</v>
      </c>
      <c r="G10" s="5">
        <f t="shared" si="2"/>
        <v>0.608039296357198</v>
      </c>
      <c r="H10" s="6">
        <f>Table142[[#This Row],[Investment]]/Table142[[#This Row],[Price]]</f>
        <v>6.3733811909328013</v>
      </c>
      <c r="I10" s="6">
        <v>7</v>
      </c>
      <c r="J10" s="5">
        <v>6.7999999999999996E-3</v>
      </c>
      <c r="K10" s="5">
        <f>Table142[[#This Row],[Investment]]/$F$11</f>
        <v>9.9464389009559312E-2</v>
      </c>
      <c r="L10" s="15"/>
      <c r="M10" s="15">
        <f>L10-Table142[[#This Row],[Investment]]</f>
        <v>-747.85254894405489</v>
      </c>
      <c r="N10" s="16">
        <f>M10/Table142[[#This Row],[Price]]</f>
        <v>-6.3733811909328013</v>
      </c>
      <c r="O10" s="15"/>
      <c r="P10" s="16"/>
      <c r="Q10" s="17"/>
      <c r="R10" s="17"/>
      <c r="S10" s="47"/>
      <c r="T10" s="47"/>
    </row>
    <row r="11" spans="1:20" ht="21.75" thickBot="1" x14ac:dyDescent="0.4">
      <c r="A11" s="14"/>
      <c r="E11" s="19" t="s">
        <v>6</v>
      </c>
      <c r="F11" s="20">
        <f>SUM(F3:F10)</f>
        <v>7518.7969924812023</v>
      </c>
      <c r="G11" s="21">
        <f>G7*K7+G6*K6+G8*K8+G9*K9+G10*K10+G5*K5+G4*K4+G3*K3</f>
        <v>0.78173597495409641</v>
      </c>
      <c r="J11" s="21">
        <f>AVERAGE(J3:J10)</f>
        <v>1.95625E-2</v>
      </c>
      <c r="M11" s="23">
        <f>SUM(M6:M7)</f>
        <v>-1889.3563002655969</v>
      </c>
      <c r="N11" s="24"/>
      <c r="O11" s="23">
        <f>SUM(O6:O7)</f>
        <v>0</v>
      </c>
      <c r="P11" s="24"/>
      <c r="Q11" s="25"/>
      <c r="R11" s="25"/>
    </row>
    <row r="12" spans="1:20" ht="22.5" thickTop="1" thickBot="1" x14ac:dyDescent="0.4">
      <c r="B12" s="48"/>
      <c r="C12" s="48"/>
      <c r="F12" s="10" t="s">
        <v>59</v>
      </c>
      <c r="G12" s="21">
        <f>AVERAGE(G5:G10)</f>
        <v>0.7115629245201931</v>
      </c>
    </row>
    <row r="13" spans="1:20" ht="21.75" thickTop="1" x14ac:dyDescent="0.35">
      <c r="A13" s="10"/>
      <c r="B13" s="48"/>
      <c r="C13" s="48"/>
      <c r="E13" s="10" t="s">
        <v>7</v>
      </c>
      <c r="F13" s="29">
        <f>1/(SUM(G3:G10))</f>
        <v>0.16358217241131745</v>
      </c>
    </row>
    <row r="14" spans="1:20" x14ac:dyDescent="0.35">
      <c r="A14" s="10"/>
      <c r="B14" s="48"/>
      <c r="C14" s="48"/>
      <c r="E14" s="10" t="s">
        <v>8</v>
      </c>
      <c r="F14" s="49">
        <f>F16/1.33</f>
        <v>7518.7969924812023</v>
      </c>
    </row>
    <row r="15" spans="1:20" s="18" customFormat="1" x14ac:dyDescent="0.35">
      <c r="A15" s="10"/>
      <c r="B15" s="48"/>
      <c r="C15" s="48"/>
      <c r="D15" s="10"/>
      <c r="E15" s="10" t="s">
        <v>57</v>
      </c>
      <c r="F15" s="50">
        <f>F16*J11</f>
        <v>195.625</v>
      </c>
      <c r="G15" s="50">
        <f>F15*K15*(1+0.1)^-1</f>
        <v>2667.6136363636365</v>
      </c>
      <c r="J15" s="54" t="s">
        <v>64</v>
      </c>
      <c r="K15" s="10">
        <v>15</v>
      </c>
      <c r="L15" s="9"/>
      <c r="M15" s="9"/>
      <c r="N15" s="22"/>
      <c r="O15" s="9"/>
      <c r="P15" s="22"/>
      <c r="Q15" s="27"/>
      <c r="R15" s="27"/>
      <c r="S15" s="9"/>
      <c r="T15" s="9"/>
    </row>
    <row r="16" spans="1:20" s="18" customFormat="1" x14ac:dyDescent="0.35">
      <c r="A16" s="10"/>
      <c r="B16" s="48"/>
      <c r="C16" s="48"/>
      <c r="D16" s="10"/>
      <c r="E16" s="10" t="s">
        <v>58</v>
      </c>
      <c r="F16" s="51">
        <v>10000</v>
      </c>
      <c r="H16" s="22"/>
      <c r="I16" s="22"/>
      <c r="L16" s="9"/>
      <c r="M16" s="9"/>
      <c r="N16" s="22"/>
      <c r="O16" s="9"/>
      <c r="P16" s="22"/>
      <c r="Q16" s="27"/>
      <c r="R16" s="27"/>
      <c r="S16" s="9"/>
      <c r="T16" s="9"/>
    </row>
    <row r="17" spans="1:20" s="18" customFormat="1" x14ac:dyDescent="0.35">
      <c r="A17" s="10"/>
      <c r="B17" s="48"/>
      <c r="C17" s="48"/>
      <c r="D17" s="10"/>
      <c r="E17" s="10"/>
      <c r="F17" s="55"/>
      <c r="H17" s="22"/>
      <c r="I17" s="22"/>
      <c r="L17" s="9"/>
      <c r="M17" s="9"/>
      <c r="N17" s="22"/>
      <c r="O17" s="9"/>
      <c r="P17" s="22"/>
      <c r="Q17" s="27"/>
      <c r="R17" s="27"/>
      <c r="S17" s="9"/>
      <c r="T17" s="9"/>
    </row>
    <row r="18" spans="1:20" s="18" customFormat="1" x14ac:dyDescent="0.35">
      <c r="A18" s="10"/>
      <c r="B18" s="48"/>
      <c r="C18" s="52"/>
      <c r="D18" s="10"/>
      <c r="E18" s="10"/>
      <c r="F18" s="10"/>
      <c r="H18" s="22"/>
      <c r="I18" s="22"/>
      <c r="L18" s="9"/>
      <c r="M18" s="9"/>
      <c r="N18" s="22"/>
      <c r="O18" s="9"/>
      <c r="P18" s="22"/>
      <c r="Q18" s="27"/>
      <c r="R18" s="27"/>
      <c r="S18" s="9"/>
      <c r="T18" s="9"/>
    </row>
    <row r="19" spans="1:20" s="18" customFormat="1" x14ac:dyDescent="0.35">
      <c r="A19" s="33"/>
      <c r="B19" s="48"/>
      <c r="C19" s="52"/>
      <c r="D19" s="10"/>
      <c r="E19" s="10"/>
      <c r="F19" s="10"/>
      <c r="H19" s="22"/>
      <c r="I19" s="22"/>
      <c r="L19" s="9"/>
      <c r="M19" s="9"/>
      <c r="N19" s="22"/>
      <c r="O19" s="9"/>
      <c r="P19" s="22"/>
      <c r="Q19" s="27"/>
      <c r="R19" s="27"/>
      <c r="S19" s="9"/>
      <c r="T19" s="9"/>
    </row>
    <row r="20" spans="1:20" s="18" customFormat="1" x14ac:dyDescent="0.35">
      <c r="A20" s="33"/>
      <c r="B20" s="48"/>
      <c r="C20" s="48"/>
      <c r="D20" s="10"/>
      <c r="E20" s="10"/>
      <c r="F20" s="10"/>
      <c r="H20" s="22"/>
      <c r="I20" s="22"/>
      <c r="L20" s="9"/>
      <c r="M20" s="9"/>
      <c r="N20" s="22"/>
      <c r="O20" s="9"/>
      <c r="P20" s="22"/>
      <c r="Q20" s="27"/>
      <c r="R20" s="27"/>
      <c r="S20" s="9"/>
      <c r="T20" s="9"/>
    </row>
    <row r="21" spans="1:20" s="18" customFormat="1" x14ac:dyDescent="0.35">
      <c r="A21" s="33"/>
      <c r="B21" s="48"/>
      <c r="C21" s="48"/>
      <c r="D21" s="10"/>
      <c r="E21" s="10"/>
      <c r="F21" s="10"/>
      <c r="H21" s="22"/>
      <c r="I21" s="22"/>
      <c r="L21" s="9"/>
      <c r="M21" s="9"/>
      <c r="N21" s="22"/>
      <c r="O21" s="9"/>
      <c r="P21" s="22"/>
      <c r="Q21" s="27"/>
      <c r="R21" s="27"/>
      <c r="S21" s="9"/>
      <c r="T21" s="9"/>
    </row>
  </sheetData>
  <conditionalFormatting sqref="E11:E1048576 F1 E1:E5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{FFA409BD-F895-4CEB-A9CA-89F56AF82B3B}</x14:id>
        </ext>
      </extLst>
    </cfRule>
  </conditionalFormatting>
  <conditionalFormatting sqref="G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{17D5D5F5-CF3F-40E5-B983-39366473A967}</x14:id>
        </ext>
      </extLst>
    </cfRule>
  </conditionalFormatting>
  <conditionalFormatting sqref="E7:E10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{46EC02D3-CED4-4EAC-AE07-41B01B7698DB}</x14:id>
        </ext>
      </extLst>
    </cfRule>
  </conditionalFormatting>
  <conditionalFormatting sqref="E7:E1048576 E1:E5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{B4D8D6A0-FA14-41D3-94AA-8BB50C1E2957}</x14:id>
        </ext>
      </extLst>
    </cfRule>
  </conditionalFormatting>
  <conditionalFormatting sqref="K7:K10 K3:K5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{DD771815-B8D5-4D17-9F19-E74AA2E77F96}</x14:id>
        </ext>
      </extLst>
    </cfRule>
  </conditionalFormatting>
  <conditionalFormatting sqref="E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{C140C7C2-14E8-425D-8BF9-6D754995F709}</x14:id>
        </ext>
      </extLst>
    </cfRule>
  </conditionalFormatting>
  <conditionalFormatting sqref="E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{35413C6E-2A92-406C-B146-EF917206EB17}</x14:id>
        </ext>
      </extLst>
    </cfRule>
  </conditionalFormatting>
  <conditionalFormatting sqref="K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{64E3C804-D218-4614-83AB-174CF6134E28}</x14:id>
        </ext>
      </extLst>
    </cfRule>
  </conditionalFormatting>
  <conditionalFormatting sqref="K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{DE4CF3A2-8A00-420A-9B38-8863616E78FE}</x14:id>
        </ext>
      </extLst>
    </cfRule>
  </conditionalFormatting>
  <conditionalFormatting sqref="E2:E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{9CBC30BC-2D48-4D93-94F2-A6C871BE904D}</x14:id>
        </ext>
      </extLst>
    </cfRule>
  </conditionalFormatting>
  <conditionalFormatting sqref="K3:K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{A59D7561-C119-40C2-9409-7E3CCC6DB21B}</x14:id>
        </ext>
      </extLst>
    </cfRule>
  </conditionalFormatting>
  <conditionalFormatting sqref="K3:K5">
    <cfRule type="dataBar" priority="4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{35D1C2B8-F00E-449F-BCE7-1848DB500172}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A409BD-F895-4CEB-A9CA-89F56AF82B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E11:E1048576 F1 E1:E5</xm:sqref>
        </x14:conditionalFormatting>
        <x14:conditionalFormatting xmlns:xm="http://schemas.microsoft.com/office/excel/2006/main">
          <x14:cfRule type="dataBar" id="{17D5D5F5-CF3F-40E5-B983-39366473A9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46EC02D3-CED4-4EAC-AE07-41B01B7698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dataBar" id="{B4D8D6A0-FA14-41D3-94AA-8BB50C1E2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E7:E1048576 E1:E5</xm:sqref>
        </x14:conditionalFormatting>
        <x14:conditionalFormatting xmlns:xm="http://schemas.microsoft.com/office/excel/2006/main">
          <x14:cfRule type="dataBar" id="{DD771815-B8D5-4D17-9F19-E74AA2E77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K7:K10 K3:K5</xm:sqref>
        </x14:conditionalFormatting>
        <x14:conditionalFormatting xmlns:xm="http://schemas.microsoft.com/office/excel/2006/main">
          <x14:cfRule type="dataBar" id="{C140C7C2-14E8-425D-8BF9-6D754995F7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35413C6E-2A92-406C-B146-EF917206E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64E3C804-D218-4614-83AB-174CF613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DE4CF3A2-8A00-420A-9B38-8863616E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9CBC30BC-2D48-4D93-94F2-A6C871BE9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A59D7561-C119-40C2-9409-7E3CCC6DB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K3:K10</xm:sqref>
        </x14:conditionalFormatting>
        <x14:conditionalFormatting xmlns:xm="http://schemas.microsoft.com/office/excel/2006/main">
          <x14:cfRule type="dataBar" id="{35D1C2B8-F00E-449F-BCE7-1848DB500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0CBA-68C2-4E39-9169-04E357307411}">
  <dimension ref="A1:O15"/>
  <sheetViews>
    <sheetView zoomScale="250" zoomScaleNormal="250" workbookViewId="0">
      <selection activeCell="B7" sqref="B7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6.5703125" style="10" bestFit="1" customWidth="1"/>
    <col min="4" max="4" width="14.7109375" style="22" bestFit="1" customWidth="1"/>
    <col min="5" max="5" width="16.85546875" style="22" bestFit="1" customWidth="1"/>
    <col min="6" max="6" width="24.85546875" style="18" customWidth="1"/>
    <col min="7" max="7" width="15" style="9" hidden="1" customWidth="1"/>
    <col min="8" max="8" width="13.85546875" style="9" hidden="1" customWidth="1"/>
    <col min="9" max="9" width="13.7109375" style="22" hidden="1" customWidth="1"/>
    <col min="10" max="10" width="12.140625" style="9" hidden="1" customWidth="1"/>
    <col min="11" max="11" width="14.85546875" style="22" hidden="1" customWidth="1"/>
    <col min="12" max="12" width="16.28515625" style="27" hidden="1" customWidth="1"/>
    <col min="13" max="13" width="12.5703125" style="27" hidden="1" customWidth="1"/>
    <col min="14" max="16384" width="9.140625" style="9"/>
  </cols>
  <sheetData>
    <row r="1" spans="1:15" ht="42.75" thickBot="1" x14ac:dyDescent="0.4">
      <c r="A1" s="34" t="s">
        <v>13</v>
      </c>
      <c r="B1" s="35" t="s">
        <v>0</v>
      </c>
      <c r="C1" s="35" t="s">
        <v>5</v>
      </c>
      <c r="D1" s="37" t="s">
        <v>33</v>
      </c>
      <c r="E1" s="37" t="s">
        <v>87</v>
      </c>
      <c r="F1" s="36" t="s">
        <v>30</v>
      </c>
      <c r="G1" s="8" t="s">
        <v>35</v>
      </c>
      <c r="H1" s="8" t="s">
        <v>34</v>
      </c>
      <c r="I1" s="8" t="s">
        <v>36</v>
      </c>
      <c r="J1" s="8" t="s">
        <v>39</v>
      </c>
      <c r="K1" s="8" t="s">
        <v>38</v>
      </c>
      <c r="L1" s="8" t="s">
        <v>37</v>
      </c>
      <c r="M1" s="8" t="s">
        <v>40</v>
      </c>
    </row>
    <row r="2" spans="1:15" x14ac:dyDescent="0.35">
      <c r="A2" s="39">
        <v>1</v>
      </c>
      <c r="B2" s="2" t="s">
        <v>84</v>
      </c>
      <c r="C2" s="70">
        <v>2771</v>
      </c>
      <c r="D2" s="69">
        <v>0.09</v>
      </c>
      <c r="E2" s="67">
        <f>(0.7*$E$6)-Table1487[[#This Row],[Investment]]</f>
        <v>959.99999999999955</v>
      </c>
      <c r="F2" s="68">
        <f>Table1487[[#This Row],[Investment]]/$C$5</f>
        <v>0.76339537103053701</v>
      </c>
      <c r="G2" s="11"/>
      <c r="H2" s="11"/>
      <c r="I2" s="12"/>
      <c r="J2" s="11"/>
      <c r="K2" s="12"/>
      <c r="L2" s="13"/>
      <c r="M2" s="13"/>
    </row>
    <row r="3" spans="1:15" x14ac:dyDescent="0.35">
      <c r="A3" s="39">
        <v>2</v>
      </c>
      <c r="B3" s="2" t="s">
        <v>85</v>
      </c>
      <c r="C3" s="7">
        <v>791</v>
      </c>
      <c r="D3" s="69">
        <v>1.05</v>
      </c>
      <c r="E3" s="67">
        <f>(0.25*$E$6)-Table1487[[#This Row],[Investment]]</f>
        <v>541.5</v>
      </c>
      <c r="F3" s="68">
        <f>Table1487[[#This Row],[Investment]]/$C$5</f>
        <v>0.21791618133711826</v>
      </c>
      <c r="G3" s="15"/>
      <c r="H3" s="15">
        <f>G3-Table1487[[#This Row],[Investment]]</f>
        <v>-791</v>
      </c>
      <c r="I3" s="16" t="e">
        <f>H3/#REF!</f>
        <v>#REF!</v>
      </c>
      <c r="J3" s="15"/>
      <c r="K3" s="16"/>
      <c r="L3" s="17"/>
      <c r="M3" s="17"/>
    </row>
    <row r="4" spans="1:15" x14ac:dyDescent="0.35">
      <c r="A4" s="39">
        <v>3</v>
      </c>
      <c r="B4" s="2" t="s">
        <v>86</v>
      </c>
      <c r="C4" s="7">
        <v>67.835999999999999</v>
      </c>
      <c r="D4" s="69">
        <v>201.58</v>
      </c>
      <c r="E4" s="67">
        <f>(0.05*$E$6)-Table1487[[#This Row],[Investment]]</f>
        <v>198.66399999999999</v>
      </c>
      <c r="F4" s="68">
        <f>Table1487[[#This Row],[Investment]]/$C$5</f>
        <v>1.8688447632344823E-2</v>
      </c>
      <c r="G4" s="15"/>
      <c r="H4" s="15">
        <f>G4-Table1487[[#This Row],[Investment]]</f>
        <v>-67.835999999999999</v>
      </c>
      <c r="I4" s="16" t="e">
        <f>H4/#REF!</f>
        <v>#REF!</v>
      </c>
      <c r="J4" s="15"/>
      <c r="K4" s="16"/>
      <c r="L4" s="17"/>
      <c r="M4" s="17"/>
    </row>
    <row r="5" spans="1:15" ht="21.75" thickBot="1" x14ac:dyDescent="0.4">
      <c r="A5" s="14"/>
      <c r="B5" s="19" t="s">
        <v>6</v>
      </c>
      <c r="C5" s="20">
        <f>SUM(C2:C4)</f>
        <v>3629.8359999999998</v>
      </c>
      <c r="D5" s="20"/>
      <c r="E5" s="71">
        <f>SUM(E2:E4)</f>
        <v>1700.1639999999995</v>
      </c>
      <c r="H5" s="23" t="e">
        <f>SUM(#REF!)</f>
        <v>#REF!</v>
      </c>
      <c r="I5" s="24"/>
      <c r="J5" s="23" t="e">
        <f>SUM(#REF!)</f>
        <v>#REF!</v>
      </c>
      <c r="K5" s="24"/>
      <c r="L5" s="25"/>
      <c r="M5" s="25"/>
    </row>
    <row r="6" spans="1:15" ht="21.75" thickTop="1" x14ac:dyDescent="0.35">
      <c r="E6" s="22">
        <f>3630+1700</f>
        <v>5330</v>
      </c>
      <c r="F6" s="26"/>
    </row>
    <row r="7" spans="1:15" x14ac:dyDescent="0.35">
      <c r="A7" s="10"/>
      <c r="B7" s="10">
        <f>5000*1.3</f>
        <v>6500</v>
      </c>
      <c r="C7" s="29"/>
      <c r="F7" s="10"/>
    </row>
    <row r="8" spans="1:15" x14ac:dyDescent="0.35">
      <c r="A8" s="10"/>
      <c r="B8" s="66"/>
      <c r="C8" s="55"/>
      <c r="F8" s="10"/>
    </row>
    <row r="9" spans="1:15" x14ac:dyDescent="0.35">
      <c r="A9" s="10"/>
      <c r="C9" s="18"/>
      <c r="D9" s="9"/>
      <c r="E9" s="9"/>
      <c r="F9" s="10"/>
    </row>
    <row r="10" spans="1:15" x14ac:dyDescent="0.35">
      <c r="A10" s="10"/>
      <c r="B10" s="48"/>
      <c r="C10" s="51"/>
    </row>
    <row r="11" spans="1:15" x14ac:dyDescent="0.35">
      <c r="A11" s="10"/>
      <c r="B11" s="48"/>
      <c r="C11" s="49"/>
    </row>
    <row r="12" spans="1:15" x14ac:dyDescent="0.35">
      <c r="A12" s="10"/>
      <c r="B12" s="48"/>
      <c r="C12" s="56"/>
    </row>
    <row r="13" spans="1:15" x14ac:dyDescent="0.35">
      <c r="B13" s="48"/>
    </row>
    <row r="14" spans="1:15" x14ac:dyDescent="0.35">
      <c r="B14" s="48"/>
    </row>
    <row r="15" spans="1:15" s="10" customFormat="1" x14ac:dyDescent="0.35">
      <c r="A15" s="33"/>
      <c r="B15" s="48"/>
      <c r="D15" s="22"/>
      <c r="E15" s="22"/>
      <c r="F15" s="18"/>
      <c r="G15" s="9"/>
      <c r="H15" s="9"/>
      <c r="I15" s="22"/>
      <c r="J15" s="9"/>
      <c r="K15" s="22"/>
      <c r="L15" s="27"/>
      <c r="M15" s="27"/>
      <c r="N15" s="9"/>
      <c r="O15" s="9"/>
    </row>
  </sheetData>
  <conditionalFormatting sqref="B5:B9 C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{9CB60C7F-8825-4581-839F-E22D6438287C}</x14:id>
        </ext>
      </extLst>
    </cfRule>
  </conditionalFormatting>
  <conditionalFormatting sqref="B5:B9">
    <cfRule type="dataBar" priority="4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{0161E4E3-9438-4A4A-A108-DE2496508241}</x14:id>
        </ext>
      </extLst>
    </cfRule>
  </conditionalFormatting>
  <conditionalFormatting sqref="F2:F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{4479ECEA-ECB1-40B8-A939-3C91098BB703}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60C7F-8825-4581-839F-E22D643828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B5:B9 C1</xm:sqref>
        </x14:conditionalFormatting>
        <x14:conditionalFormatting xmlns:xm="http://schemas.microsoft.com/office/excel/2006/main">
          <x14:cfRule type="dataBar" id="{0161E4E3-9438-4A4A-A108-DE2496508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B5:B9</xm:sqref>
        </x14:conditionalFormatting>
        <x14:conditionalFormatting xmlns:xm="http://schemas.microsoft.com/office/excel/2006/main">
          <x14:cfRule type="dataBar" id="{4479ECEA-ECB1-40B8-A939-3C91098BB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A7CB-3A55-42EB-8DED-C391F16353C3}">
  <dimension ref="A1:R16"/>
  <sheetViews>
    <sheetView zoomScale="125" zoomScaleNormal="125" workbookViewId="0">
      <selection activeCell="C7" sqref="C7"/>
    </sheetView>
  </sheetViews>
  <sheetFormatPr defaultRowHeight="21" x14ac:dyDescent="0.35"/>
  <cols>
    <col min="1" max="1" width="4.5703125" style="33" bestFit="1" customWidth="1"/>
    <col min="2" max="2" width="13.140625" style="10" bestFit="1" customWidth="1"/>
    <col min="3" max="3" width="21.42578125" style="10" customWidth="1"/>
    <col min="4" max="4" width="19" style="10" customWidth="1"/>
    <col min="5" max="5" width="27.85546875" style="10" bestFit="1" customWidth="1"/>
    <col min="6" max="6" width="26.5703125" style="10" bestFit="1" customWidth="1"/>
    <col min="7" max="7" width="25" style="18" customWidth="1"/>
    <col min="8" max="8" width="14.7109375" style="22" bestFit="1" customWidth="1"/>
    <col min="9" max="9" width="24.85546875" style="18" customWidth="1"/>
    <col min="10" max="10" width="15" style="9" hidden="1" customWidth="1"/>
    <col min="11" max="11" width="13.85546875" style="9" hidden="1" customWidth="1"/>
    <col min="12" max="12" width="13.7109375" style="22" hidden="1" customWidth="1"/>
    <col min="13" max="13" width="12.140625" style="9" hidden="1" customWidth="1"/>
    <col min="14" max="14" width="14.85546875" style="22" hidden="1" customWidth="1"/>
    <col min="15" max="15" width="16.28515625" style="27" hidden="1" customWidth="1"/>
    <col min="16" max="16" width="12.5703125" style="27" hidden="1" customWidth="1"/>
    <col min="17" max="16384" width="9.140625" style="9"/>
  </cols>
  <sheetData>
    <row r="1" spans="1:18" ht="42.75" thickBot="1" x14ac:dyDescent="0.4">
      <c r="A1" s="34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6" t="s">
        <v>29</v>
      </c>
      <c r="H1" s="37" t="s">
        <v>33</v>
      </c>
      <c r="I1" s="36" t="s">
        <v>30</v>
      </c>
      <c r="J1" s="8" t="s">
        <v>35</v>
      </c>
      <c r="K1" s="8" t="s">
        <v>34</v>
      </c>
      <c r="L1" s="8" t="s">
        <v>36</v>
      </c>
      <c r="M1" s="8" t="s">
        <v>39</v>
      </c>
      <c r="N1" s="8" t="s">
        <v>38</v>
      </c>
      <c r="O1" s="8" t="s">
        <v>37</v>
      </c>
      <c r="P1" s="8" t="s">
        <v>40</v>
      </c>
    </row>
    <row r="2" spans="1:18" x14ac:dyDescent="0.35">
      <c r="A2" s="39">
        <v>0</v>
      </c>
      <c r="B2" s="2" t="s">
        <v>4</v>
      </c>
      <c r="C2" s="7">
        <v>355.33</v>
      </c>
      <c r="D2" s="7">
        <v>5.8</v>
      </c>
      <c r="E2" s="4">
        <f>D2/C2</f>
        <v>1.6322854811020741E-2</v>
      </c>
      <c r="F2" s="40"/>
      <c r="G2" s="41">
        <v>1</v>
      </c>
      <c r="H2" s="40"/>
      <c r="I2" s="41"/>
      <c r="J2" s="11"/>
      <c r="K2" s="11"/>
      <c r="L2" s="12"/>
      <c r="M2" s="11"/>
      <c r="N2" s="12"/>
      <c r="O2" s="13"/>
      <c r="P2" s="13"/>
    </row>
    <row r="3" spans="1:18" x14ac:dyDescent="0.35">
      <c r="A3" s="39">
        <v>1</v>
      </c>
      <c r="B3" s="2" t="s">
        <v>78</v>
      </c>
      <c r="C3" s="7">
        <v>4.1900000000000004</v>
      </c>
      <c r="D3" s="7">
        <v>0.36799999999999999</v>
      </c>
      <c r="E3" s="4">
        <f>D3/C3</f>
        <v>8.7828162291169437E-2</v>
      </c>
      <c r="F3" s="3">
        <f>((1/(E3/$E$2))*$F$8)*$F$9</f>
        <v>741.79786892247921</v>
      </c>
      <c r="G3" s="5">
        <f>$E$2/E3</f>
        <v>0.18584989581026337</v>
      </c>
      <c r="H3" s="6">
        <f>Table148[[#This Row],[Investment]]/Table148[[#This Row],[Price]]</f>
        <v>177.04006418197594</v>
      </c>
      <c r="I3" s="5">
        <f>Table148[[#This Row],[Investment]]/$F$6</f>
        <v>0.37375200318786461</v>
      </c>
      <c r="J3" s="15"/>
      <c r="K3" s="15"/>
      <c r="L3" s="16"/>
      <c r="M3" s="15"/>
      <c r="N3" s="16"/>
      <c r="O3" s="17"/>
      <c r="P3" s="17"/>
      <c r="Q3" s="47"/>
      <c r="R3" s="47"/>
    </row>
    <row r="4" spans="1:18" x14ac:dyDescent="0.35">
      <c r="A4" s="39">
        <v>2</v>
      </c>
      <c r="B4" s="2" t="s">
        <v>76</v>
      </c>
      <c r="C4" s="7">
        <v>8.99</v>
      </c>
      <c r="D4" s="7">
        <v>0.84</v>
      </c>
      <c r="E4" s="4">
        <f>D4/C4</f>
        <v>9.3437152391546152E-2</v>
      </c>
      <c r="F4" s="3">
        <f>((1/(E4/$E$2))*$F$8)*$F$9</f>
        <v>697.26807754108881</v>
      </c>
      <c r="G4" s="5">
        <f>$E$2/E4</f>
        <v>0.1746934104179482</v>
      </c>
      <c r="H4" s="6">
        <f>Table148[[#This Row],[Investment]]/Table148[[#This Row],[Price]]</f>
        <v>77.560409070198972</v>
      </c>
      <c r="I4" s="5">
        <f>Table148[[#This Row],[Investment]]/$F$6</f>
        <v>0.35131583906877945</v>
      </c>
      <c r="J4" s="15"/>
      <c r="K4" s="15">
        <f>J4-Table148[[#This Row],[Investment]]</f>
        <v>-697.26807754108881</v>
      </c>
      <c r="L4" s="16">
        <f>K4/Table148[[#This Row],[Price]]</f>
        <v>-77.560409070198972</v>
      </c>
      <c r="M4" s="15"/>
      <c r="N4" s="16"/>
      <c r="O4" s="17"/>
      <c r="P4" s="17"/>
      <c r="Q4" s="47"/>
      <c r="R4" s="47"/>
    </row>
    <row r="5" spans="1:18" x14ac:dyDescent="0.35">
      <c r="A5" s="39">
        <v>3</v>
      </c>
      <c r="B5" s="2" t="s">
        <v>79</v>
      </c>
      <c r="C5" s="7">
        <v>23.2</v>
      </c>
      <c r="D5" s="7">
        <v>2.77</v>
      </c>
      <c r="E5" s="4">
        <f>D5/C5</f>
        <v>0.11939655172413793</v>
      </c>
      <c r="F5" s="3">
        <f>((1/(E5/$E$2))*$F$8)*$F$9</f>
        <v>545.6668779639125</v>
      </c>
      <c r="G5" s="5">
        <f>$E$2/E5</f>
        <v>0.13671127495150945</v>
      </c>
      <c r="H5" s="6">
        <f>Table148[[#This Row],[Investment]]/Table148[[#This Row],[Price]]</f>
        <v>23.520124050168643</v>
      </c>
      <c r="I5" s="5">
        <f>Table148[[#This Row],[Investment]]/$F$6</f>
        <v>0.274932157743356</v>
      </c>
      <c r="J5" s="15"/>
      <c r="K5" s="15">
        <f>J5-Table148[[#This Row],[Investment]]</f>
        <v>-545.6668779639125</v>
      </c>
      <c r="L5" s="16">
        <f>K5/Table148[[#This Row],[Price]]</f>
        <v>-23.520124050168643</v>
      </c>
      <c r="M5" s="15"/>
      <c r="N5" s="16"/>
      <c r="O5" s="17"/>
      <c r="P5" s="17"/>
      <c r="Q5" s="47"/>
      <c r="R5" s="47"/>
    </row>
    <row r="6" spans="1:18" ht="21.75" thickBot="1" x14ac:dyDescent="0.4">
      <c r="A6" s="14"/>
      <c r="E6" s="19" t="s">
        <v>6</v>
      </c>
      <c r="F6" s="20">
        <f>SUM(F3:F5)</f>
        <v>1984.7328244274804</v>
      </c>
      <c r="G6" s="21">
        <f>G3*I3+G4*I4+G5*I5</f>
        <v>0.16842065872237372</v>
      </c>
      <c r="K6" s="23">
        <f>SUM(K3:K5)</f>
        <v>-1242.9349555050012</v>
      </c>
      <c r="L6" s="24"/>
      <c r="M6" s="23">
        <f>SUM(M3:M5)</f>
        <v>0</v>
      </c>
      <c r="N6" s="24"/>
      <c r="O6" s="25"/>
      <c r="P6" s="25"/>
    </row>
    <row r="7" spans="1:18" ht="22.5" thickTop="1" thickBot="1" x14ac:dyDescent="0.4">
      <c r="B7" s="48" t="s">
        <v>89</v>
      </c>
      <c r="C7" s="48"/>
      <c r="F7" s="10" t="s">
        <v>59</v>
      </c>
      <c r="G7" s="21">
        <f>AVERAGE(G3:G5)</f>
        <v>0.16575152705990701</v>
      </c>
      <c r="I7" s="26"/>
    </row>
    <row r="8" spans="1:18" ht="21.75" thickTop="1" x14ac:dyDescent="0.35">
      <c r="A8" s="10"/>
      <c r="B8" s="48" t="s">
        <v>19</v>
      </c>
      <c r="C8" s="48"/>
      <c r="E8" s="10" t="s">
        <v>7</v>
      </c>
      <c r="F8" s="29">
        <f>1/(SUM(G3:G5))</f>
        <v>2.0110423067949039</v>
      </c>
      <c r="I8" s="10"/>
    </row>
    <row r="9" spans="1:18" x14ac:dyDescent="0.35">
      <c r="A9" s="10"/>
      <c r="B9" s="48"/>
      <c r="C9" s="48"/>
      <c r="E9" s="10" t="s">
        <v>8</v>
      </c>
      <c r="F9" s="55">
        <f>F10/1.31</f>
        <v>1984.7328244274809</v>
      </c>
      <c r="I9" s="10"/>
    </row>
    <row r="10" spans="1:18" x14ac:dyDescent="0.35">
      <c r="A10" s="10"/>
      <c r="B10" s="48"/>
      <c r="C10" s="48"/>
      <c r="E10" s="10" t="s">
        <v>80</v>
      </c>
      <c r="F10" s="50">
        <v>2600</v>
      </c>
      <c r="G10" s="50"/>
      <c r="H10" s="18"/>
      <c r="I10" s="10"/>
    </row>
    <row r="11" spans="1:18" x14ac:dyDescent="0.35">
      <c r="A11" s="10"/>
      <c r="B11" s="48"/>
      <c r="C11" s="48"/>
      <c r="F11" s="51"/>
    </row>
    <row r="12" spans="1:18" x14ac:dyDescent="0.35">
      <c r="A12" s="10"/>
      <c r="B12" s="48"/>
      <c r="C12" s="48"/>
      <c r="F12" s="49"/>
    </row>
    <row r="13" spans="1:18" x14ac:dyDescent="0.35">
      <c r="A13" s="10"/>
      <c r="B13" s="48"/>
      <c r="C13" s="52"/>
      <c r="F13" s="56"/>
    </row>
    <row r="14" spans="1:18" x14ac:dyDescent="0.35">
      <c r="B14" s="48"/>
      <c r="C14" s="52"/>
    </row>
    <row r="15" spans="1:18" x14ac:dyDescent="0.35">
      <c r="B15" s="48"/>
      <c r="C15" s="48"/>
    </row>
    <row r="16" spans="1:18" s="10" customFormat="1" x14ac:dyDescent="0.35">
      <c r="A16" s="33"/>
      <c r="B16" s="48"/>
      <c r="C16" s="48"/>
      <c r="G16" s="18"/>
      <c r="H16" s="22"/>
      <c r="I16" s="18"/>
      <c r="J16" s="9"/>
      <c r="K16" s="9"/>
      <c r="L16" s="22"/>
      <c r="M16" s="9"/>
      <c r="N16" s="22"/>
      <c r="O16" s="27"/>
      <c r="P16" s="27"/>
      <c r="Q16" s="9"/>
      <c r="R16" s="9"/>
    </row>
  </sheetData>
  <conditionalFormatting sqref="E6:E1048576 F1 E1:E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{7AFA8E14-9926-4B93-A59C-03A3C348BC2F}</x14:id>
        </ext>
      </extLst>
    </cfRule>
  </conditionalFormatting>
  <conditionalFormatting sqref="G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{58FE3602-51C9-4BBE-BDA2-DED3833B5ED4}</x14:id>
        </ext>
      </extLst>
    </cfRule>
  </conditionalFormatting>
  <conditionalFormatting sqref="E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{328EB9BD-7608-4D11-9BB1-3DB88C0D1693}</x14:id>
        </ext>
      </extLst>
    </cfRule>
  </conditionalFormatting>
  <conditionalFormatting sqref="E6:E1048576 E1:E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{29993BA1-78C2-4D4B-A898-41C21ED5B07A}</x14:id>
        </ext>
      </extLst>
    </cfRule>
  </conditionalFormatting>
  <conditionalFormatting sqref="E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{95FDD432-8921-4A69-BA68-52350246812B}</x14:id>
        </ext>
      </extLst>
    </cfRule>
  </conditionalFormatting>
  <conditionalFormatting sqref="E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{322ECDB4-A64D-4ED5-A117-DAFAC207608D}</x14:id>
        </ext>
      </extLst>
    </cfRule>
  </conditionalFormatting>
  <conditionalFormatting sqref="I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{CEC80068-8192-4F74-983A-A074B8DEAA83}</x14:id>
        </ext>
      </extLst>
    </cfRule>
  </conditionalFormatting>
  <conditionalFormatting sqref="I3: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{3E684AB2-E408-4F82-B70A-2DE2CFF70D7C}</x14:id>
        </ext>
      </extLst>
    </cfRule>
  </conditionalFormatting>
  <conditionalFormatting sqref="I3:I4">
    <cfRule type="dataBar" priority="5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{D4DFE7D5-3135-4B47-ADB2-D3262B2B65BC}</x14:id>
        </ext>
      </extLst>
    </cfRule>
  </conditionalFormatting>
  <conditionalFormatting sqref="E2:E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{32E186B3-9C2F-4A77-92A5-6ACC09D17F13}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FA8E14-9926-4B93-A59C-03A3C348BC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E6:E1048576 F1 E1:E3</xm:sqref>
        </x14:conditionalFormatting>
        <x14:conditionalFormatting xmlns:xm="http://schemas.microsoft.com/office/excel/2006/main">
          <x14:cfRule type="dataBar" id="{58FE3602-51C9-4BBE-BDA2-DED3833B5E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28EB9BD-7608-4D11-9BB1-3DB88C0D16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29993BA1-78C2-4D4B-A898-41C21ED5B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E6:E1048576 E1:E4</xm:sqref>
        </x14:conditionalFormatting>
        <x14:conditionalFormatting xmlns:xm="http://schemas.microsoft.com/office/excel/2006/main">
          <x14:cfRule type="dataBar" id="{95FDD432-8921-4A69-BA68-5235024681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322ECDB4-A64D-4ED5-A117-DAFAC2076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CEC80068-8192-4F74-983A-A074B8DEA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3E684AB2-E408-4F82-B70A-2DE2CFF70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D4DFE7D5-3135-4B47-ADB2-D3262B2B6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</xm:sqref>
        </x14:conditionalFormatting>
        <x14:conditionalFormatting xmlns:xm="http://schemas.microsoft.com/office/excel/2006/main">
          <x14:cfRule type="dataBar" id="{32E186B3-9C2F-4A77-92A5-6ACC09D17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TFSA</vt:lpstr>
      <vt:lpstr>Growth Switch (TFSA)</vt:lpstr>
      <vt:lpstr>RRSP</vt:lpstr>
      <vt:lpstr>Growth Switch (RRSP)</vt:lpstr>
      <vt:lpstr>Fortress (Conservative)</vt:lpstr>
      <vt:lpstr>Crypto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jσrdαn cαndídσ</cp:lastModifiedBy>
  <cp:lastPrinted>2014-05-20T21:55:22Z</cp:lastPrinted>
  <dcterms:created xsi:type="dcterms:W3CDTF">2014-05-20T20:54:20Z</dcterms:created>
  <dcterms:modified xsi:type="dcterms:W3CDTF">2021-01-11T02:22:57Z</dcterms:modified>
</cp:coreProperties>
</file>