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esktop\Investments\"/>
    </mc:Choice>
  </mc:AlternateContent>
  <xr:revisionPtr revIDLastSave="0" documentId="13_ncr:1_{150C9E23-7C95-436F-96DF-69910F0E12B4}" xr6:coauthVersionLast="47" xr6:coauthVersionMax="47" xr10:uidLastSave="{00000000-0000-0000-0000-000000000000}"/>
  <bookViews>
    <workbookView xWindow="-120" yWindow="-120" windowWidth="29040" windowHeight="15840" xr2:uid="{C7A14E82-ADD6-4BFA-929F-B3C5FE07434D}"/>
  </bookViews>
  <sheets>
    <sheet name="TOTAL" sheetId="4" r:id="rId1"/>
    <sheet name="TFSA" sheetId="3" r:id="rId2"/>
    <sheet name="RRSP" sheetId="2" r:id="rId3"/>
    <sheet name="Cyrptocurrency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4" l="1"/>
  <c r="E20" i="4"/>
  <c r="E4" i="5"/>
  <c r="E3" i="5"/>
  <c r="E2" i="5"/>
  <c r="E5" i="5" s="1"/>
  <c r="I16" i="4" l="1"/>
  <c r="G35" i="4"/>
  <c r="G23" i="4"/>
  <c r="I14" i="4"/>
  <c r="E14" i="4"/>
  <c r="E17" i="4"/>
  <c r="I17" i="4" s="1"/>
  <c r="E9" i="4"/>
  <c r="I9" i="4" s="1"/>
  <c r="E4" i="4"/>
  <c r="I4" i="4" s="1"/>
  <c r="G11" i="2"/>
  <c r="J14" i="2"/>
  <c r="F4" i="5" l="1"/>
  <c r="F2" i="5"/>
  <c r="F3" i="5"/>
  <c r="G31" i="4"/>
  <c r="G27" i="4"/>
  <c r="E11" i="4"/>
  <c r="I11" i="4"/>
  <c r="E13" i="4"/>
  <c r="I13" i="4" s="1"/>
  <c r="F5" i="5" l="1"/>
  <c r="E18" i="4"/>
  <c r="I18" i="4" s="1"/>
  <c r="G34" i="4"/>
  <c r="G33" i="4"/>
  <c r="G32" i="4"/>
  <c r="N27" i="4"/>
  <c r="N26" i="4"/>
  <c r="G30" i="4"/>
  <c r="N25" i="4"/>
  <c r="J25" i="4"/>
  <c r="G29" i="4"/>
  <c r="J27" i="4"/>
  <c r="G28" i="4"/>
  <c r="J24" i="4"/>
  <c r="G26" i="4"/>
  <c r="J26" i="4"/>
  <c r="G24" i="4"/>
  <c r="J23" i="4"/>
  <c r="G25" i="4"/>
  <c r="J22" i="4"/>
  <c r="G22" i="4"/>
  <c r="E16" i="4"/>
  <c r="E15" i="4"/>
  <c r="I15" i="4" s="1"/>
  <c r="E12" i="4"/>
  <c r="I12" i="4" s="1"/>
  <c r="E10" i="4"/>
  <c r="I10" i="4" s="1"/>
  <c r="E8" i="4"/>
  <c r="I8" i="4" s="1"/>
  <c r="E7" i="4"/>
  <c r="I7" i="4" s="1"/>
  <c r="E6" i="4"/>
  <c r="I6" i="4" s="1"/>
  <c r="E5" i="4"/>
  <c r="E3" i="4"/>
  <c r="I3" i="4" s="1"/>
  <c r="E2" i="4"/>
  <c r="G36" i="4" l="1"/>
  <c r="I2" i="4"/>
  <c r="E19" i="4"/>
  <c r="F14" i="4" s="1"/>
  <c r="J28" i="4"/>
  <c r="I5" i="4"/>
  <c r="G24" i="3"/>
  <c r="E13" i="3"/>
  <c r="F3" i="4" l="1"/>
  <c r="F9" i="4"/>
  <c r="F16" i="4"/>
  <c r="F17" i="4"/>
  <c r="F4" i="4"/>
  <c r="F2" i="4"/>
  <c r="I19" i="4"/>
  <c r="K19" i="4" s="1"/>
  <c r="F11" i="4"/>
  <c r="F13" i="4"/>
  <c r="F10" i="4"/>
  <c r="F18" i="4"/>
  <c r="F8" i="4"/>
  <c r="F15" i="4"/>
  <c r="F7" i="4"/>
  <c r="F6" i="4"/>
  <c r="F12" i="4"/>
  <c r="F5" i="4"/>
  <c r="G26" i="3"/>
  <c r="G25" i="3"/>
  <c r="G23" i="3"/>
  <c r="G22" i="3"/>
  <c r="J22" i="3"/>
  <c r="J21" i="3"/>
  <c r="G21" i="3"/>
  <c r="G18" i="3"/>
  <c r="J20" i="3"/>
  <c r="J19" i="3"/>
  <c r="G20" i="3"/>
  <c r="J18" i="3"/>
  <c r="G19" i="3"/>
  <c r="J17" i="3"/>
  <c r="G17" i="3"/>
  <c r="I13" i="3"/>
  <c r="E11" i="3"/>
  <c r="I11" i="3" s="1"/>
  <c r="N27" i="3"/>
  <c r="N26" i="3"/>
  <c r="N25" i="3"/>
  <c r="E7" i="3"/>
  <c r="I7" i="3" s="1"/>
  <c r="E12" i="3"/>
  <c r="I12" i="3" s="1"/>
  <c r="E2" i="3"/>
  <c r="I2" i="3" s="1"/>
  <c r="E9" i="3"/>
  <c r="I9" i="3" s="1"/>
  <c r="E4" i="3"/>
  <c r="I4" i="3" s="1"/>
  <c r="E8" i="3"/>
  <c r="I8" i="3" s="1"/>
  <c r="E5" i="3"/>
  <c r="I5" i="3" s="1"/>
  <c r="E3" i="3"/>
  <c r="I3" i="3" s="1"/>
  <c r="E10" i="3"/>
  <c r="I10" i="3" s="1"/>
  <c r="E6" i="3"/>
  <c r="G27" i="3" l="1"/>
  <c r="J23" i="3"/>
  <c r="E14" i="3"/>
  <c r="I6" i="3"/>
  <c r="I14" i="3" s="1"/>
  <c r="F7" i="3" l="1"/>
  <c r="K14" i="3"/>
  <c r="F5" i="3"/>
  <c r="F2" i="3"/>
  <c r="F12" i="3"/>
  <c r="F4" i="3"/>
  <c r="F6" i="3"/>
  <c r="F11" i="3"/>
  <c r="F9" i="3"/>
  <c r="F13" i="3"/>
  <c r="F8" i="3"/>
  <c r="F10" i="3"/>
  <c r="F3" i="3"/>
  <c r="G14" i="2"/>
  <c r="G12" i="2"/>
  <c r="G8" i="2"/>
  <c r="N13" i="2"/>
  <c r="G13" i="2"/>
  <c r="J13" i="2"/>
  <c r="J11" i="2"/>
  <c r="J12" i="2"/>
  <c r="I7" i="2"/>
  <c r="N12" i="2"/>
  <c r="E2" i="2"/>
  <c r="I2" i="2" s="1"/>
  <c r="N11" i="2"/>
  <c r="E3" i="2"/>
  <c r="I3" i="2" s="1"/>
  <c r="E5" i="2"/>
  <c r="I5" i="2" s="1"/>
  <c r="E6" i="2"/>
  <c r="I6" i="2" s="1"/>
  <c r="E4" i="2"/>
  <c r="I4" i="2" s="1"/>
  <c r="G15" i="2" l="1"/>
  <c r="E8" i="2"/>
  <c r="F4" i="2" s="1"/>
  <c r="I8" i="2"/>
  <c r="K8" i="2" l="1"/>
  <c r="J15" i="2" s="1"/>
  <c r="F6" i="2"/>
  <c r="F2" i="2"/>
  <c r="F5" i="2"/>
  <c r="F3" i="2"/>
  <c r="F7" i="2"/>
</calcChain>
</file>

<file path=xl/sharedStrings.xml><?xml version="1.0" encoding="utf-8"?>
<sst xmlns="http://schemas.openxmlformats.org/spreadsheetml/2006/main" count="270" uniqueCount="69">
  <si>
    <t>Shares</t>
  </si>
  <si>
    <t>Pos %</t>
  </si>
  <si>
    <t>TSLA</t>
  </si>
  <si>
    <t>SPCE</t>
  </si>
  <si>
    <t>#</t>
  </si>
  <si>
    <t>Asset</t>
  </si>
  <si>
    <t>$CASH$</t>
  </si>
  <si>
    <t>Cost 
Feb 19</t>
  </si>
  <si>
    <t>Future Capital=</t>
  </si>
  <si>
    <t>Sector</t>
  </si>
  <si>
    <t>Total</t>
  </si>
  <si>
    <t>Total 
Capital=</t>
  </si>
  <si>
    <t>GOOG</t>
  </si>
  <si>
    <t>Industry</t>
  </si>
  <si>
    <t>Technology</t>
  </si>
  <si>
    <t>Industrial</t>
  </si>
  <si>
    <t>% Gain=</t>
  </si>
  <si>
    <t>NVDA</t>
  </si>
  <si>
    <t>AAPL</t>
  </si>
  <si>
    <t>SBUX</t>
  </si>
  <si>
    <t>Consumer Cyclical</t>
  </si>
  <si>
    <t>Internet Retail</t>
  </si>
  <si>
    <t>Semiconductor</t>
  </si>
  <si>
    <t>Restaurants</t>
  </si>
  <si>
    <t>Consumer Electronics</t>
  </si>
  <si>
    <t>Aerospace &amp; Defence</t>
  </si>
  <si>
    <t>Communication Services</t>
  </si>
  <si>
    <t>Internet Content &amp; Information</t>
  </si>
  <si>
    <t>Auto Manufacturers</t>
  </si>
  <si>
    <t>Price</t>
  </si>
  <si>
    <t>MSFT</t>
  </si>
  <si>
    <r>
      <t xml:space="preserve">Feb 19 
Price 
Drop </t>
    </r>
    <r>
      <rPr>
        <sz val="11"/>
        <color theme="0"/>
        <rFont val="Calibri"/>
        <family val="2"/>
        <scheme val="minor"/>
      </rPr>
      <t>or Growth</t>
    </r>
  </si>
  <si>
    <t>SQ</t>
  </si>
  <si>
    <t>PTON</t>
  </si>
  <si>
    <t>Long 
Term 
Capital (1yr)</t>
  </si>
  <si>
    <t>Software</t>
  </si>
  <si>
    <t>Leisure</t>
  </si>
  <si>
    <t>Market Value</t>
  </si>
  <si>
    <t>BYND</t>
  </si>
  <si>
    <t>Healthcare</t>
  </si>
  <si>
    <t>Consumer Staples</t>
  </si>
  <si>
    <t>Packaged Foods</t>
  </si>
  <si>
    <t>TDOC</t>
  </si>
  <si>
    <t>Health Information Services</t>
  </si>
  <si>
    <t>Index</t>
  </si>
  <si>
    <t>Dow, S&amp;P</t>
  </si>
  <si>
    <t>S&amp;P</t>
  </si>
  <si>
    <t>NASDAQ or Other</t>
  </si>
  <si>
    <t>AMZN</t>
  </si>
  <si>
    <t>HD</t>
  </si>
  <si>
    <t>CAT</t>
  </si>
  <si>
    <t>Dividend</t>
  </si>
  <si>
    <t>Avg. Div=</t>
  </si>
  <si>
    <t>Growth</t>
  </si>
  <si>
    <t>Home Improvement Retail</t>
  </si>
  <si>
    <t>Farm &amp; Heavy Construction</t>
  </si>
  <si>
    <t>-</t>
  </si>
  <si>
    <t>XLV</t>
  </si>
  <si>
    <t>QQQ</t>
  </si>
  <si>
    <t>Cost Basis</t>
  </si>
  <si>
    <t>Total 
Cost=</t>
  </si>
  <si>
    <t>ETF</t>
  </si>
  <si>
    <t>CAD</t>
  </si>
  <si>
    <t>Amount</t>
  </si>
  <si>
    <t>BTC/CAD</t>
  </si>
  <si>
    <t>ETH/CAD</t>
  </si>
  <si>
    <t xml:space="preserve">TFSA Breakeven </t>
  </si>
  <si>
    <t>RRSP =</t>
  </si>
  <si>
    <t xml:space="preserve">Even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</si>
</sst>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10" fontId="3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0" fontId="6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61">
    <dxf>
      <numFmt numFmtId="14" formatCode="0.00%"/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4" formatCode="0.00%"/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4" formatCode="0.00%"/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4" formatCode="0.00%"/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CD-4633-8579-6A34CD4DC0A4}"/>
              </c:ext>
            </c:extLst>
          </c:dPt>
          <c:dPt>
            <c:idx val="1"/>
            <c:bubble3D val="0"/>
            <c:spPr>
              <a:solidFill>
                <a:schemeClr val="accent6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CD-4633-8579-6A34CD4DC0A4}"/>
              </c:ext>
            </c:extLst>
          </c:dPt>
          <c:dPt>
            <c:idx val="2"/>
            <c:bubble3D val="0"/>
            <c:spPr>
              <a:solidFill>
                <a:schemeClr val="accent6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CD-4633-8579-6A34CD4DC0A4}"/>
              </c:ext>
            </c:extLst>
          </c:dPt>
          <c:dPt>
            <c:idx val="3"/>
            <c:bubble3D val="0"/>
            <c:spPr>
              <a:solidFill>
                <a:schemeClr val="accent6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CD-4633-8579-6A34CD4DC0A4}"/>
              </c:ext>
            </c:extLst>
          </c:dPt>
          <c:dPt>
            <c:idx val="4"/>
            <c:bubble3D val="0"/>
            <c:spPr>
              <a:solidFill>
                <a:schemeClr val="accent6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CD-4633-8579-6A34CD4DC0A4}"/>
              </c:ext>
            </c:extLst>
          </c:dPt>
          <c:dPt>
            <c:idx val="5"/>
            <c:bubble3D val="0"/>
            <c:spPr>
              <a:solidFill>
                <a:schemeClr val="accent6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CD-4633-8579-6A34CD4DC0A4}"/>
              </c:ext>
            </c:extLst>
          </c:dPt>
          <c:dPt>
            <c:idx val="6"/>
            <c:bubble3D val="0"/>
            <c:spPr>
              <a:solidFill>
                <a:schemeClr val="accent6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CD-4633-8579-6A34CD4DC0A4}"/>
              </c:ext>
            </c:extLst>
          </c:dPt>
          <c:dPt>
            <c:idx val="7"/>
            <c:bubble3D val="0"/>
            <c:spPr>
              <a:solidFill>
                <a:schemeClr val="accent6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CD-4633-8579-6A34CD4DC0A4}"/>
              </c:ext>
            </c:extLst>
          </c:dPt>
          <c:dPt>
            <c:idx val="8"/>
            <c:bubble3D val="0"/>
            <c:spPr>
              <a:solidFill>
                <a:schemeClr val="accent6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CD-4633-8579-6A34CD4DC0A4}"/>
              </c:ext>
            </c:extLst>
          </c:dPt>
          <c:dPt>
            <c:idx val="9"/>
            <c:bubble3D val="0"/>
            <c:spPr>
              <a:solidFill>
                <a:schemeClr val="accent6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CD-4633-8579-6A34CD4DC0A4}"/>
              </c:ext>
            </c:extLst>
          </c:dPt>
          <c:dPt>
            <c:idx val="10"/>
            <c:bubble3D val="0"/>
            <c:spPr>
              <a:solidFill>
                <a:schemeClr val="accent6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8CD-4633-8579-6A34CD4DC0A4}"/>
              </c:ext>
            </c:extLst>
          </c:dPt>
          <c:dPt>
            <c:idx val="11"/>
            <c:bubble3D val="0"/>
            <c:spPr>
              <a:solidFill>
                <a:schemeClr val="accent6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8CD-4633-8579-6A34CD4DC0A4}"/>
              </c:ext>
            </c:extLst>
          </c:dPt>
          <c:dPt>
            <c:idx val="12"/>
            <c:bubble3D val="0"/>
            <c:spPr>
              <a:solidFill>
                <a:schemeClr val="accent6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5A-46C5-B1E6-91C229C28408}"/>
              </c:ext>
            </c:extLst>
          </c:dPt>
          <c:dPt>
            <c:idx val="13"/>
            <c:bubble3D val="0"/>
            <c:spPr>
              <a:solidFill>
                <a:schemeClr val="accent6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65A-46C5-B1E6-91C229C28408}"/>
              </c:ext>
            </c:extLst>
          </c:dPt>
          <c:dPt>
            <c:idx val="14"/>
            <c:bubble3D val="0"/>
            <c:spPr>
              <a:solidFill>
                <a:schemeClr val="accent6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65A-46C5-B1E6-91C229C28408}"/>
              </c:ext>
            </c:extLst>
          </c:dPt>
          <c:dPt>
            <c:idx val="15"/>
            <c:bubble3D val="0"/>
            <c:spPr>
              <a:solidFill>
                <a:schemeClr val="accent6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65A-46C5-B1E6-91C229C28408}"/>
              </c:ext>
            </c:extLst>
          </c:dPt>
          <c:dLbls>
            <c:dLbl>
              <c:idx val="1"/>
              <c:layout>
                <c:manualLayout>
                  <c:x val="3.9145819719629625E-2"/>
                  <c:y val="6.30459535501904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CD-4633-8579-6A34CD4DC0A4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TOTAL!$B$2:$B$17</c:f>
              <c:strCache>
                <c:ptCount val="16"/>
                <c:pt idx="0">
                  <c:v>TSLA</c:v>
                </c:pt>
                <c:pt idx="1">
                  <c:v>AAPL</c:v>
                </c:pt>
                <c:pt idx="2">
                  <c:v>XLV</c:v>
                </c:pt>
                <c:pt idx="3">
                  <c:v>GOOG</c:v>
                </c:pt>
                <c:pt idx="4">
                  <c:v>AMZN</c:v>
                </c:pt>
                <c:pt idx="5">
                  <c:v>MSFT</c:v>
                </c:pt>
                <c:pt idx="6">
                  <c:v>NVDA</c:v>
                </c:pt>
                <c:pt idx="7">
                  <c:v>QQQ</c:v>
                </c:pt>
                <c:pt idx="8">
                  <c:v>BYND</c:v>
                </c:pt>
                <c:pt idx="9">
                  <c:v>HD</c:v>
                </c:pt>
                <c:pt idx="10">
                  <c:v>SQ</c:v>
                </c:pt>
                <c:pt idx="11">
                  <c:v>CAT</c:v>
                </c:pt>
                <c:pt idx="12">
                  <c:v>SBUX</c:v>
                </c:pt>
                <c:pt idx="13">
                  <c:v>PTON</c:v>
                </c:pt>
                <c:pt idx="14">
                  <c:v>SPCE</c:v>
                </c:pt>
                <c:pt idx="15">
                  <c:v>TDOC</c:v>
                </c:pt>
              </c:strCache>
            </c:strRef>
          </c:cat>
          <c:val>
            <c:numRef>
              <c:f>TOTAL!$F$2:$F$17</c:f>
              <c:numCache>
                <c:formatCode>0.00%</c:formatCode>
                <c:ptCount val="16"/>
                <c:pt idx="0">
                  <c:v>0.13022524271488195</c:v>
                </c:pt>
                <c:pt idx="1">
                  <c:v>0.10344697814579323</c:v>
                </c:pt>
                <c:pt idx="2">
                  <c:v>8.0077323632999131E-2</c:v>
                </c:pt>
                <c:pt idx="3">
                  <c:v>7.2152660937154361E-2</c:v>
                </c:pt>
                <c:pt idx="4">
                  <c:v>7.1902763512130471E-2</c:v>
                </c:pt>
                <c:pt idx="5">
                  <c:v>6.8538441980197304E-2</c:v>
                </c:pt>
                <c:pt idx="6">
                  <c:v>6.7304329627783641E-2</c:v>
                </c:pt>
                <c:pt idx="7">
                  <c:v>5.4464329150477268E-2</c:v>
                </c:pt>
                <c:pt idx="8">
                  <c:v>5.1915329520389707E-2</c:v>
                </c:pt>
                <c:pt idx="9">
                  <c:v>5.0429254474976752E-2</c:v>
                </c:pt>
                <c:pt idx="10">
                  <c:v>4.5332632060118574E-2</c:v>
                </c:pt>
                <c:pt idx="11">
                  <c:v>4.4786253943514466E-2</c:v>
                </c:pt>
                <c:pt idx="12">
                  <c:v>4.340642546172508E-2</c:v>
                </c:pt>
                <c:pt idx="13">
                  <c:v>4.152909687208281E-2</c:v>
                </c:pt>
                <c:pt idx="14">
                  <c:v>3.9469565752166008E-2</c:v>
                </c:pt>
                <c:pt idx="15">
                  <c:v>3.501937221360929E-2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CD-4633-8579-6A34CD4D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</a:t>
            </a:r>
          </a:p>
        </c:rich>
      </c:tx>
      <c:layout>
        <c:manualLayout>
          <c:xMode val="edge"/>
          <c:yMode val="edge"/>
          <c:x val="0.78211328499314126"/>
          <c:y val="3.7437869885261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RRSP!$G$10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8F-4AB4-BB6C-30F422AAEB3C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8F-4AB4-BB6C-30F422AAEB3C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8F-4AB4-BB6C-30F422AAEB3C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8F-4AB4-BB6C-30F422AAEB3C}"/>
              </c:ext>
            </c:extLst>
          </c:dPt>
          <c:dLbls>
            <c:dLbl>
              <c:idx val="1"/>
              <c:layout>
                <c:manualLayout>
                  <c:x val="4.4180098460640763E-2"/>
                  <c:y val="2.7433754781435418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72671315024823"/>
                      <c:h val="0.15635172673535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38F-4AB4-BB6C-30F422AAEB3C}"/>
                </c:ext>
              </c:extLst>
            </c:dLbl>
            <c:dLbl>
              <c:idx val="2"/>
              <c:layout>
                <c:manualLayout>
                  <c:x val="-1.7862844299291254E-2"/>
                  <c:y val="3.7063437575467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8F-4AB4-BB6C-30F422AAEB3C}"/>
                </c:ext>
              </c:extLst>
            </c:dLbl>
            <c:dLbl>
              <c:idx val="3"/>
              <c:layout>
                <c:manualLayout>
                  <c:x val="-9.4758671767925282E-2"/>
                  <c:y val="1.74588836641381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8F-4AB4-BB6C-30F422AAEB3C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RRSP!$F$11:$F$14</c:f>
              <c:strCache>
                <c:ptCount val="4"/>
                <c:pt idx="0">
                  <c:v>ETF</c:v>
                </c:pt>
                <c:pt idx="1">
                  <c:v>Farm &amp; Heavy Construction</c:v>
                </c:pt>
                <c:pt idx="2">
                  <c:v>Restaurants</c:v>
                </c:pt>
                <c:pt idx="3">
                  <c:v>Home Improvement Retail</c:v>
                </c:pt>
              </c:strCache>
            </c:strRef>
          </c:cat>
          <c:val>
            <c:numRef>
              <c:f>RRSP!$G$11:$G$14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38F-4AB4-BB6C-30F422AA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74106087958517386"/>
          <c:y val="3.213658942459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RRSP!$J$10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A4-497B-95F5-AAF558B76BAD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A4-497B-95F5-AAF558B76BAD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A4-497B-95F5-AAF558B76BAD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A4-497B-95F5-AAF558B76BAD}"/>
              </c:ext>
            </c:extLst>
          </c:dPt>
          <c:dPt>
            <c:idx val="4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A4-497B-95F5-AAF558B76BAD}"/>
              </c:ext>
            </c:extLst>
          </c:dPt>
          <c:dPt>
            <c:idx val="5"/>
            <c:bubble3D val="0"/>
            <c:spPr>
              <a:solidFill>
                <a:schemeClr val="accent6">
                  <a:tint val="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A4-497B-95F5-AAF558B76BAD}"/>
              </c:ext>
            </c:extLst>
          </c:dPt>
          <c:dPt>
            <c:idx val="6"/>
            <c:bubble3D val="0"/>
            <c:spPr>
              <a:solidFill>
                <a:schemeClr val="accent6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A4-497B-95F5-AAF558B76BAD}"/>
              </c:ext>
            </c:extLst>
          </c:dPt>
          <c:dPt>
            <c:idx val="7"/>
            <c:bubble3D val="0"/>
            <c:spPr>
              <a:solidFill>
                <a:schemeClr val="accent6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A4-497B-95F5-AAF558B76BAD}"/>
              </c:ext>
            </c:extLst>
          </c:dPt>
          <c:dPt>
            <c:idx val="8"/>
            <c:bubble3D val="0"/>
            <c:spPr>
              <a:solidFill>
                <a:schemeClr val="accent6">
                  <a:tint val="1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A4-497B-95F5-AAF558B76BAD}"/>
              </c:ext>
            </c:extLst>
          </c:dPt>
          <c:dPt>
            <c:idx val="9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A4-497B-95F5-AAF558B76BAD}"/>
              </c:ext>
            </c:extLst>
          </c:dPt>
          <c:dPt>
            <c:idx val="10"/>
            <c:bubble3D val="0"/>
            <c:spPr>
              <a:solidFill>
                <a:schemeClr val="accent6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A4-497B-95F5-AAF558B76BAD}"/>
              </c:ext>
            </c:extLst>
          </c:dPt>
          <c:dPt>
            <c:idx val="11"/>
            <c:bubble3D val="0"/>
            <c:spPr>
              <a:solidFill>
                <a:schemeClr val="accent6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A4-497B-95F5-AAF558B76BAD}"/>
              </c:ext>
            </c:extLst>
          </c:dPt>
          <c:dPt>
            <c:idx val="12"/>
            <c:bubble3D val="0"/>
            <c:spPr>
              <a:solidFill>
                <a:schemeClr val="accent6">
                  <a:tint val="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A4-497B-95F5-AAF558B76BAD}"/>
              </c:ext>
            </c:extLst>
          </c:dPt>
          <c:dPt>
            <c:idx val="13"/>
            <c:bubble3D val="0"/>
            <c:spPr>
              <a:solidFill>
                <a:schemeClr val="accent6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1A4-497B-95F5-AAF558B76BAD}"/>
              </c:ext>
            </c:extLst>
          </c:dPt>
          <c:dPt>
            <c:idx val="14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1A4-497B-95F5-AAF558B76BAD}"/>
              </c:ext>
            </c:extLst>
          </c:dPt>
          <c:dLbls>
            <c:dLbl>
              <c:idx val="0"/>
              <c:layout>
                <c:manualLayout>
                  <c:x val="-8.7686959861724686E-2"/>
                  <c:y val="-8.8889452036631428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263798732475512"/>
                      <c:h val="0.252434042703392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1A4-497B-95F5-AAF558B76BAD}"/>
                </c:ext>
              </c:extLst>
            </c:dLbl>
            <c:dLbl>
              <c:idx val="1"/>
              <c:layout>
                <c:manualLayout>
                  <c:x val="0.11219512195121949"/>
                  <c:y val="-1.9888655358748669E-7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787516804301895"/>
                      <c:h val="0.219197714786901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A4-497B-95F5-AAF558B76BAD}"/>
                </c:ext>
              </c:extLst>
            </c:dLbl>
            <c:dLbl>
              <c:idx val="3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521951219512196"/>
                      <c:h val="0.2705209588139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1A4-497B-95F5-AAF558B76BAD}"/>
                </c:ext>
              </c:extLst>
            </c:dLbl>
            <c:dLbl>
              <c:idx val="14"/>
              <c:layout>
                <c:manualLayout>
                  <c:x val="6.6666666666666666E-2"/>
                  <c:y val="-8.26446101723152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1A4-497B-95F5-AAF558B76BAD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RRSP!$I$11:$I$14</c:f>
              <c:strCache>
                <c:ptCount val="4"/>
                <c:pt idx="0">
                  <c:v>Consumer Cyclical</c:v>
                </c:pt>
                <c:pt idx="1">
                  <c:v>Technology</c:v>
                </c:pt>
                <c:pt idx="2">
                  <c:v>Industrial</c:v>
                </c:pt>
                <c:pt idx="3">
                  <c:v>Healthcare</c:v>
                </c:pt>
              </c:strCache>
            </c:strRef>
          </c:cat>
          <c:val>
            <c:numRef>
              <c:f>RRSP!$J$11:$J$14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A4-497B-95F5-AAF558B7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Index</a:t>
            </a:r>
          </a:p>
        </c:rich>
      </c:tx>
      <c:layout>
        <c:manualLayout>
          <c:xMode val="edge"/>
          <c:yMode val="edge"/>
          <c:x val="0.58343722004809284"/>
          <c:y val="6.9790026246719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RRSP!$N$10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78-4882-950B-F01A7E125D10}"/>
              </c:ext>
            </c:extLst>
          </c:dPt>
          <c:dPt>
            <c:idx val="1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78-4882-950B-F01A7E125D10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78-4882-950B-F01A7E125D10}"/>
              </c:ext>
            </c:extLst>
          </c:dPt>
          <c:dPt>
            <c:idx val="3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78-4882-950B-F01A7E125D10}"/>
              </c:ext>
            </c:extLst>
          </c:dPt>
          <c:dPt>
            <c:idx val="4"/>
            <c:bubble3D val="0"/>
            <c:spPr>
              <a:solidFill>
                <a:schemeClr val="accent6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78-4882-950B-F01A7E125D10}"/>
              </c:ext>
            </c:extLst>
          </c:dPt>
          <c:dPt>
            <c:idx val="5"/>
            <c:bubble3D val="0"/>
            <c:spPr>
              <a:solidFill>
                <a:schemeClr val="accent6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78-4882-950B-F01A7E125D10}"/>
              </c:ext>
            </c:extLst>
          </c:dPt>
          <c:dPt>
            <c:idx val="6"/>
            <c:bubble3D val="0"/>
            <c:spPr>
              <a:solidFill>
                <a:schemeClr val="accent6">
                  <a:tint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78-4882-950B-F01A7E125D10}"/>
              </c:ext>
            </c:extLst>
          </c:dPt>
          <c:dPt>
            <c:idx val="7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78-4882-950B-F01A7E125D10}"/>
              </c:ext>
            </c:extLst>
          </c:dPt>
          <c:dPt>
            <c:idx val="8"/>
            <c:bubble3D val="0"/>
            <c:spPr>
              <a:solidFill>
                <a:schemeClr val="accent6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78-4882-950B-F01A7E125D10}"/>
              </c:ext>
            </c:extLst>
          </c:dPt>
          <c:dPt>
            <c:idx val="9"/>
            <c:bubble3D val="0"/>
            <c:spPr>
              <a:solidFill>
                <a:schemeClr val="accent6">
                  <a:tint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78-4882-950B-F01A7E125D10}"/>
              </c:ext>
            </c:extLst>
          </c:dPt>
          <c:dPt>
            <c:idx val="10"/>
            <c:bubble3D val="0"/>
            <c:spPr>
              <a:solidFill>
                <a:schemeClr val="accent6">
                  <a:tint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78-4882-950B-F01A7E125D10}"/>
              </c:ext>
            </c:extLst>
          </c:dPt>
          <c:dPt>
            <c:idx val="11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78-4882-950B-F01A7E125D10}"/>
              </c:ext>
            </c:extLst>
          </c:dPt>
          <c:dPt>
            <c:idx val="12"/>
            <c:bubble3D val="0"/>
            <c:spPr>
              <a:solidFill>
                <a:schemeClr val="accent6">
                  <a:tint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78-4882-950B-F01A7E125D10}"/>
              </c:ext>
            </c:extLst>
          </c:dPt>
          <c:dPt>
            <c:idx val="13"/>
            <c:bubble3D val="0"/>
            <c:spPr>
              <a:solidFill>
                <a:schemeClr val="accent6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278-4882-950B-F01A7E125D10}"/>
              </c:ext>
            </c:extLst>
          </c:dPt>
          <c:dPt>
            <c:idx val="14"/>
            <c:bubble3D val="0"/>
            <c:spPr>
              <a:solidFill>
                <a:schemeClr val="accent6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278-4882-950B-F01A7E125D10}"/>
              </c:ext>
            </c:extLst>
          </c:dPt>
          <c:dLbls>
            <c:dLbl>
              <c:idx val="14"/>
              <c:layout>
                <c:manualLayout>
                  <c:x val="6.6666666666666666E-2"/>
                  <c:y val="-8.26446101723152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278-4882-950B-F01A7E125D10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RRSP!$M$11:$M$13</c:f>
              <c:strCache>
                <c:ptCount val="3"/>
                <c:pt idx="0">
                  <c:v>S&amp;P</c:v>
                </c:pt>
                <c:pt idx="1">
                  <c:v>Dow, S&amp;P</c:v>
                </c:pt>
                <c:pt idx="2">
                  <c:v>NASDAQ or Other</c:v>
                </c:pt>
              </c:strCache>
            </c:strRef>
          </c:cat>
          <c:val>
            <c:numRef>
              <c:f>RRSP!$N$11:$N$13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78-4882-950B-F01A7E12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4-4CCA-B1D5-8E97377496D2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4-4CCA-B1D5-8E97377496D2}"/>
              </c:ext>
            </c:extLst>
          </c:dPt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Cyrptocurrency!$B$2:$B$3</c:f>
              <c:strCache>
                <c:ptCount val="2"/>
                <c:pt idx="0">
                  <c:v>BTC/CAD</c:v>
                </c:pt>
                <c:pt idx="1">
                  <c:v>ETH/CAD</c:v>
                </c:pt>
              </c:strCache>
            </c:strRef>
          </c:cat>
          <c:val>
            <c:numRef>
              <c:f>Cyrptocurrency!$F$2:$F$3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B4-4CCA-B1D5-8E973774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</a:t>
            </a:r>
          </a:p>
        </c:rich>
      </c:tx>
      <c:layout>
        <c:manualLayout>
          <c:xMode val="edge"/>
          <c:yMode val="edge"/>
          <c:x val="0.69279896856732548"/>
          <c:y val="5.989402024811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TOTAL!$G$21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2-42FB-938F-F6D971A44C68}"/>
              </c:ext>
            </c:extLst>
          </c:dPt>
          <c:dPt>
            <c:idx val="1"/>
            <c:bubble3D val="0"/>
            <c:spPr>
              <a:solidFill>
                <a:schemeClr val="accent6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2-42FB-938F-F6D971A44C68}"/>
              </c:ext>
            </c:extLst>
          </c:dPt>
          <c:dPt>
            <c:idx val="2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02-42FB-938F-F6D971A44C68}"/>
              </c:ext>
            </c:extLst>
          </c:dPt>
          <c:dPt>
            <c:idx val="3"/>
            <c:bubble3D val="0"/>
            <c:spPr>
              <a:solidFill>
                <a:schemeClr val="accent6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02-42FB-938F-F6D971A44C68}"/>
              </c:ext>
            </c:extLst>
          </c:dPt>
          <c:dPt>
            <c:idx val="4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02-42FB-938F-F6D971A44C68}"/>
              </c:ext>
            </c:extLst>
          </c:dPt>
          <c:dPt>
            <c:idx val="5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02-42FB-938F-F6D971A44C68}"/>
              </c:ext>
            </c:extLst>
          </c:dPt>
          <c:dPt>
            <c:idx val="6"/>
            <c:bubble3D val="0"/>
            <c:spPr>
              <a:solidFill>
                <a:schemeClr val="accent6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02-42FB-938F-F6D971A44C68}"/>
              </c:ext>
            </c:extLst>
          </c:dPt>
          <c:dPt>
            <c:idx val="7"/>
            <c:bubble3D val="0"/>
            <c:spPr>
              <a:solidFill>
                <a:schemeClr val="accent6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02-42FB-938F-F6D971A44C68}"/>
              </c:ext>
            </c:extLst>
          </c:dPt>
          <c:dPt>
            <c:idx val="8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02-42FB-938F-F6D971A44C68}"/>
              </c:ext>
            </c:extLst>
          </c:dPt>
          <c:dPt>
            <c:idx val="9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02-42FB-938F-F6D971A44C68}"/>
              </c:ext>
            </c:extLst>
          </c:dPt>
          <c:dPt>
            <c:idx val="10"/>
            <c:bubble3D val="0"/>
            <c:spPr>
              <a:solidFill>
                <a:schemeClr val="accent6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02-42FB-938F-F6D971A44C68}"/>
              </c:ext>
            </c:extLst>
          </c:dPt>
          <c:dPt>
            <c:idx val="11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02-42FB-938F-F6D971A44C68}"/>
              </c:ext>
            </c:extLst>
          </c:dPt>
          <c:dPt>
            <c:idx val="12"/>
            <c:bubble3D val="0"/>
            <c:spPr>
              <a:solidFill>
                <a:schemeClr val="accent6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02-42FB-938F-F6D971A44C68}"/>
              </c:ext>
            </c:extLst>
          </c:dPt>
          <c:dPt>
            <c:idx val="13"/>
            <c:bubble3D val="0"/>
            <c:spPr>
              <a:solidFill>
                <a:schemeClr val="accent6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DC-4FE8-9D22-B2B189EB2D42}"/>
              </c:ext>
            </c:extLst>
          </c:dPt>
          <c:dLbls>
            <c:dLbl>
              <c:idx val="0"/>
              <c:layout>
                <c:manualLayout>
                  <c:x val="8.6762386596557425E-2"/>
                  <c:y val="2.219798074116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02-42FB-938F-F6D971A44C68}"/>
                </c:ext>
              </c:extLst>
            </c:dLbl>
            <c:dLbl>
              <c:idx val="1"/>
              <c:layout>
                <c:manualLayout>
                  <c:x val="1.5311009399392455E-2"/>
                  <c:y val="-3.740447148511094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02-42FB-938F-F6D971A44C68}"/>
                </c:ext>
              </c:extLst>
            </c:dLbl>
            <c:dLbl>
              <c:idx val="2"/>
              <c:layout>
                <c:manualLayout>
                  <c:x val="-9.0526845403613807E-3"/>
                  <c:y val="-2.6801839966617023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683869851597738"/>
                      <c:h val="6.92878894667017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902-42FB-938F-F6D971A44C68}"/>
                </c:ext>
              </c:extLst>
            </c:dLbl>
            <c:dLbl>
              <c:idx val="3"/>
              <c:layout>
                <c:manualLayout>
                  <c:x val="-2.0891691486777376E-2"/>
                  <c:y val="-9.4413275130473834E-3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313818025237446"/>
                      <c:h val="9.74044676009498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902-42FB-938F-F6D971A44C68}"/>
                </c:ext>
              </c:extLst>
            </c:dLbl>
            <c:dLbl>
              <c:idx val="4"/>
              <c:layout>
                <c:manualLayout>
                  <c:x val="-8.1779275925889091E-4"/>
                  <c:y val="1.15845105092776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02-42FB-938F-F6D971A44C68}"/>
                </c:ext>
              </c:extLst>
            </c:dLbl>
            <c:dLbl>
              <c:idx val="5"/>
              <c:layout>
                <c:manualLayout>
                  <c:x val="2.5518348998987504E-2"/>
                  <c:y val="1.85317187877337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02-42FB-938F-F6D971A44C68}"/>
                </c:ext>
              </c:extLst>
            </c:dLbl>
            <c:dLbl>
              <c:idx val="6"/>
              <c:layout>
                <c:manualLayout>
                  <c:x val="5.1036697997975007E-3"/>
                  <c:y val="-1.858765682014156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821485686315997"/>
                      <c:h val="0.127044281841238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0902-42FB-938F-F6D971A44C68}"/>
                </c:ext>
              </c:extLst>
            </c:dLbl>
            <c:dLbl>
              <c:idx val="7"/>
              <c:layout>
                <c:manualLayout>
                  <c:x val="-5.4444502714690191E-3"/>
                  <c:y val="9.19771900341538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02-42FB-938F-F6D971A44C68}"/>
                </c:ext>
              </c:extLst>
            </c:dLbl>
            <c:dLbl>
              <c:idx val="8"/>
              <c:layout>
                <c:manualLayout>
                  <c:x val="-4.3960501113061975E-2"/>
                  <c:y val="-9.62487735228465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02-42FB-938F-F6D971A44C68}"/>
                </c:ext>
              </c:extLst>
            </c:dLbl>
            <c:dLbl>
              <c:idx val="9"/>
              <c:layout>
                <c:manualLayout>
                  <c:x val="0"/>
                  <c:y val="6.94939454540015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02-42FB-938F-F6D971A44C68}"/>
                </c:ext>
              </c:extLst>
            </c:dLbl>
            <c:dLbl>
              <c:idx val="10"/>
              <c:layout>
                <c:manualLayout>
                  <c:x val="0"/>
                  <c:y val="1.62152539392669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02-42FB-938F-F6D971A44C68}"/>
                </c:ext>
              </c:extLst>
            </c:dLbl>
            <c:dLbl>
              <c:idx val="12"/>
              <c:layout>
                <c:manualLayout>
                  <c:x val="2.5518348998987504E-2"/>
                  <c:y val="5.80543097832220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902-42FB-938F-F6D971A44C68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TOTAL!$F$22:$F$35</c:f>
              <c:strCache>
                <c:ptCount val="14"/>
                <c:pt idx="0">
                  <c:v>Software</c:v>
                </c:pt>
                <c:pt idx="1">
                  <c:v>ETF</c:v>
                </c:pt>
                <c:pt idx="2">
                  <c:v>Semiconductor</c:v>
                </c:pt>
                <c:pt idx="3">
                  <c:v>Internet Retail</c:v>
                </c:pt>
                <c:pt idx="4">
                  <c:v>Internet Content &amp; Information</c:v>
                </c:pt>
                <c:pt idx="5">
                  <c:v>Home Improvement Retail</c:v>
                </c:pt>
                <c:pt idx="6">
                  <c:v>Aerospace &amp; Defence</c:v>
                </c:pt>
                <c:pt idx="7">
                  <c:v>Auto Manufacturers</c:v>
                </c:pt>
                <c:pt idx="8">
                  <c:v>Consumer Electronics</c:v>
                </c:pt>
                <c:pt idx="9">
                  <c:v>Farm &amp; Heavy Construction</c:v>
                </c:pt>
                <c:pt idx="10">
                  <c:v>Leisure</c:v>
                </c:pt>
                <c:pt idx="11">
                  <c:v>Packaged Foods</c:v>
                </c:pt>
                <c:pt idx="12">
                  <c:v>Health Information Services</c:v>
                </c:pt>
                <c:pt idx="13">
                  <c:v>Restaurants</c:v>
                </c:pt>
              </c:strCache>
            </c:strRef>
          </c:cat>
          <c:val>
            <c:numRef>
              <c:f>TOTAL!$G$22:$G$35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902-42FB-938F-F6D971A4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74106087958517386"/>
          <c:y val="3.213658942459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TOTAL!$J$21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A-4893-8E3B-223D6C7A1B13}"/>
              </c:ext>
            </c:extLst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A-4893-8E3B-223D6C7A1B13}"/>
              </c:ext>
            </c:extLst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A-4893-8E3B-223D6C7A1B13}"/>
              </c:ext>
            </c:extLst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A-4893-8E3B-223D6C7A1B13}"/>
              </c:ext>
            </c:extLst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A-4893-8E3B-223D6C7A1B13}"/>
              </c:ext>
            </c:extLst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1A-4893-8E3B-223D6C7A1B13}"/>
              </c:ext>
            </c:extLst>
          </c:dPt>
          <c:dPt>
            <c:idx val="6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1A-4893-8E3B-223D6C7A1B13}"/>
              </c:ext>
            </c:extLst>
          </c:dPt>
          <c:dPt>
            <c:idx val="7"/>
            <c:bubble3D val="0"/>
            <c:spPr>
              <a:solidFill>
                <a:schemeClr val="accent6">
                  <a:tint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1A-4893-8E3B-223D6C7A1B13}"/>
              </c:ext>
            </c:extLst>
          </c:dPt>
          <c:dPt>
            <c:idx val="8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1A-4893-8E3B-223D6C7A1B13}"/>
              </c:ext>
            </c:extLst>
          </c:dPt>
          <c:dPt>
            <c:idx val="9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F1A-4893-8E3B-223D6C7A1B13}"/>
              </c:ext>
            </c:extLst>
          </c:dPt>
          <c:dPt>
            <c:idx val="10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F1A-4893-8E3B-223D6C7A1B13}"/>
              </c:ext>
            </c:extLst>
          </c:dPt>
          <c:dPt>
            <c:idx val="11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F1A-4893-8E3B-223D6C7A1B13}"/>
              </c:ext>
            </c:extLst>
          </c:dPt>
          <c:dPt>
            <c:idx val="12"/>
            <c:bubble3D val="0"/>
            <c:spPr>
              <a:solidFill>
                <a:schemeClr val="accent6">
                  <a:tint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F1A-4893-8E3B-223D6C7A1B13}"/>
              </c:ext>
            </c:extLst>
          </c:dPt>
          <c:dPt>
            <c:idx val="1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F1A-4893-8E3B-223D6C7A1B13}"/>
              </c:ext>
            </c:extLst>
          </c:dPt>
          <c:dPt>
            <c:idx val="1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F1A-4893-8E3B-223D6C7A1B13}"/>
              </c:ext>
            </c:extLst>
          </c:dPt>
          <c:dLbls>
            <c:dLbl>
              <c:idx val="0"/>
              <c:layout>
                <c:manualLayout>
                  <c:x val="-8.2926829268292687E-2"/>
                  <c:y val="6.0538732317010312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75552141348186"/>
                      <c:h val="0.256016145577203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1A-4893-8E3B-223D6C7A1B13}"/>
                </c:ext>
              </c:extLst>
            </c:dLbl>
            <c:dLbl>
              <c:idx val="1"/>
              <c:layout>
                <c:manualLayout>
                  <c:x val="-8.0369886690992889E-2"/>
                  <c:y val="-2.6827615460142291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702823122719416"/>
                      <c:h val="0.226393810805741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1A-4893-8E3B-223D6C7A1B13}"/>
                </c:ext>
              </c:extLst>
            </c:dLbl>
            <c:dLbl>
              <c:idx val="3"/>
              <c:layout>
                <c:manualLayout>
                  <c:x val="0"/>
                  <c:y val="4.1786468465203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09756097560977"/>
                      <c:h val="0.153695078367394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F1A-4893-8E3B-223D6C7A1B13}"/>
                </c:ext>
              </c:extLst>
            </c:dLbl>
            <c:dLbl>
              <c:idx val="4"/>
              <c:layout>
                <c:manualLayout>
                  <c:x val="1.9204916458613405E-7"/>
                  <c:y val="2.9329970511806119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529249087766466"/>
                      <c:h val="0.140206471404667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F1A-4893-8E3B-223D6C7A1B13}"/>
                </c:ext>
              </c:extLst>
            </c:dLbl>
            <c:dLbl>
              <c:idx val="5"/>
              <c:layout>
                <c:manualLayout>
                  <c:x val="6.3414634146341464E-2"/>
                  <c:y val="-1.3853988246033285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485385058574996"/>
                      <c:h val="0.171325999179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F1A-4893-8E3B-223D6C7A1B13}"/>
                </c:ext>
              </c:extLst>
            </c:dLbl>
            <c:dLbl>
              <c:idx val="14"/>
              <c:layout>
                <c:manualLayout>
                  <c:x val="6.6666666666666666E-2"/>
                  <c:y val="-8.26446101723152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F1A-4893-8E3B-223D6C7A1B13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TOTAL!$I$22:$I$27</c:f>
              <c:strCache>
                <c:ptCount val="6"/>
                <c:pt idx="0">
                  <c:v>Technology</c:v>
                </c:pt>
                <c:pt idx="1">
                  <c:v>Consumer Cyclical</c:v>
                </c:pt>
                <c:pt idx="2">
                  <c:v>Industrial</c:v>
                </c:pt>
                <c:pt idx="3">
                  <c:v>Healthcare</c:v>
                </c:pt>
                <c:pt idx="4">
                  <c:v>Communication Services</c:v>
                </c:pt>
                <c:pt idx="5">
                  <c:v>Consumer Staples</c:v>
                </c:pt>
              </c:strCache>
            </c:strRef>
          </c:cat>
          <c:val>
            <c:numRef>
              <c:f>TOTAL!$J$22:$J$27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F1A-4893-8E3B-223D6C7A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Index</a:t>
            </a:r>
          </a:p>
        </c:rich>
      </c:tx>
      <c:layout>
        <c:manualLayout>
          <c:xMode val="edge"/>
          <c:yMode val="edge"/>
          <c:x val="0.5211617709462963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TOTAL!$N$24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28-4128-AD93-1989DB4F9A3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8-4128-AD93-1989DB4F9A3E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28-4128-AD93-1989DB4F9A3E}"/>
              </c:ext>
            </c:extLst>
          </c:dPt>
          <c:dPt>
            <c:idx val="3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28-4128-AD93-1989DB4F9A3E}"/>
              </c:ext>
            </c:extLst>
          </c:dPt>
          <c:dPt>
            <c:idx val="4"/>
            <c:bubble3D val="0"/>
            <c:spPr>
              <a:solidFill>
                <a:schemeClr val="accent6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28-4128-AD93-1989DB4F9A3E}"/>
              </c:ext>
            </c:extLst>
          </c:dPt>
          <c:dPt>
            <c:idx val="5"/>
            <c:bubble3D val="0"/>
            <c:spPr>
              <a:solidFill>
                <a:schemeClr val="accent6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28-4128-AD93-1989DB4F9A3E}"/>
              </c:ext>
            </c:extLst>
          </c:dPt>
          <c:dPt>
            <c:idx val="6"/>
            <c:bubble3D val="0"/>
            <c:spPr>
              <a:solidFill>
                <a:schemeClr val="accent6">
                  <a:tint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28-4128-AD93-1989DB4F9A3E}"/>
              </c:ext>
            </c:extLst>
          </c:dPt>
          <c:dPt>
            <c:idx val="7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28-4128-AD93-1989DB4F9A3E}"/>
              </c:ext>
            </c:extLst>
          </c:dPt>
          <c:dPt>
            <c:idx val="8"/>
            <c:bubble3D val="0"/>
            <c:spPr>
              <a:solidFill>
                <a:schemeClr val="accent6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28-4128-AD93-1989DB4F9A3E}"/>
              </c:ext>
            </c:extLst>
          </c:dPt>
          <c:dPt>
            <c:idx val="9"/>
            <c:bubble3D val="0"/>
            <c:spPr>
              <a:solidFill>
                <a:schemeClr val="accent6">
                  <a:tint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28-4128-AD93-1989DB4F9A3E}"/>
              </c:ext>
            </c:extLst>
          </c:dPt>
          <c:dPt>
            <c:idx val="10"/>
            <c:bubble3D val="0"/>
            <c:spPr>
              <a:solidFill>
                <a:schemeClr val="accent6">
                  <a:tint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28-4128-AD93-1989DB4F9A3E}"/>
              </c:ext>
            </c:extLst>
          </c:dPt>
          <c:dPt>
            <c:idx val="11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28-4128-AD93-1989DB4F9A3E}"/>
              </c:ext>
            </c:extLst>
          </c:dPt>
          <c:dPt>
            <c:idx val="12"/>
            <c:bubble3D val="0"/>
            <c:spPr>
              <a:solidFill>
                <a:schemeClr val="accent6">
                  <a:tint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28-4128-AD93-1989DB4F9A3E}"/>
              </c:ext>
            </c:extLst>
          </c:dPt>
          <c:dPt>
            <c:idx val="13"/>
            <c:bubble3D val="0"/>
            <c:spPr>
              <a:solidFill>
                <a:schemeClr val="accent6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28-4128-AD93-1989DB4F9A3E}"/>
              </c:ext>
            </c:extLst>
          </c:dPt>
          <c:dPt>
            <c:idx val="14"/>
            <c:bubble3D val="0"/>
            <c:spPr>
              <a:solidFill>
                <a:schemeClr val="accent6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828-4128-AD93-1989DB4F9A3E}"/>
              </c:ext>
            </c:extLst>
          </c:dPt>
          <c:dLbls>
            <c:dLbl>
              <c:idx val="14"/>
              <c:layout>
                <c:manualLayout>
                  <c:x val="6.6666666666666666E-2"/>
                  <c:y val="-8.26446101723152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828-4128-AD93-1989DB4F9A3E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TOTAL!$M$25:$M$27</c:f>
              <c:strCache>
                <c:ptCount val="3"/>
                <c:pt idx="0">
                  <c:v>NASDAQ or Other</c:v>
                </c:pt>
                <c:pt idx="1">
                  <c:v>S&amp;P</c:v>
                </c:pt>
                <c:pt idx="2">
                  <c:v>Dow, S&amp;P</c:v>
                </c:pt>
              </c:strCache>
            </c:strRef>
          </c:cat>
          <c:val>
            <c:numRef>
              <c:f>TOTAL!$N$25:$N$27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828-4128-AD93-1989DB4F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4-4BA5-9CE2-1CCEFC0433D7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4-4BA5-9CE2-1CCEFC0433D7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4-4BA5-9CE2-1CCEFC0433D7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4-4BA5-9CE2-1CCEFC0433D7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94-4BA5-9CE2-1CCEFC043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94-4BA5-9CE2-1CCEFC0433D7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94-4BA5-9CE2-1CCEFC0433D7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94-4BA5-9CE2-1CCEFC0433D7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94-4BA5-9CE2-1CCEFC0433D7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94-4BA5-9CE2-1CCEFC0433D7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94-4BA5-9CE2-1CCEFC0433D7}"/>
              </c:ext>
            </c:extLst>
          </c:dPt>
          <c:dLbls>
            <c:dLbl>
              <c:idx val="2"/>
              <c:layout>
                <c:manualLayout>
                  <c:x val="3.9145819719629625E-2"/>
                  <c:y val="6.30459535501904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94-4BA5-9CE2-1CCEFC0433D7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TFSA!$B$2:$B$12</c:f>
              <c:strCache>
                <c:ptCount val="11"/>
                <c:pt idx="0">
                  <c:v>TSLA</c:v>
                </c:pt>
                <c:pt idx="1">
                  <c:v>GOOG</c:v>
                </c:pt>
                <c:pt idx="2">
                  <c:v>AAPL</c:v>
                </c:pt>
                <c:pt idx="3">
                  <c:v>MSFT</c:v>
                </c:pt>
                <c:pt idx="4">
                  <c:v>AMZN</c:v>
                </c:pt>
                <c:pt idx="5">
                  <c:v>NVDA</c:v>
                </c:pt>
                <c:pt idx="6">
                  <c:v>SQ</c:v>
                </c:pt>
                <c:pt idx="7">
                  <c:v>BYND</c:v>
                </c:pt>
                <c:pt idx="8">
                  <c:v>TDOC</c:v>
                </c:pt>
                <c:pt idx="9">
                  <c:v>SPCE</c:v>
                </c:pt>
                <c:pt idx="10">
                  <c:v>PTON</c:v>
                </c:pt>
              </c:strCache>
            </c:strRef>
          </c:cat>
          <c:val>
            <c:numRef>
              <c:f>TFSA!$F$2:$F$12</c:f>
              <c:numCache>
                <c:formatCode>0.00%</c:formatCode>
                <c:ptCount val="11"/>
                <c:pt idx="0">
                  <c:v>0.1701021163025194</c:v>
                </c:pt>
                <c:pt idx="1">
                  <c:v>0.14164815256657581</c:v>
                </c:pt>
                <c:pt idx="2">
                  <c:v>0.13512395554697626</c:v>
                </c:pt>
                <c:pt idx="3">
                  <c:v>0.12725871021966337</c:v>
                </c:pt>
                <c:pt idx="4">
                  <c:v>9.3920441125161708E-2</c:v>
                </c:pt>
                <c:pt idx="5">
                  <c:v>8.791389954307241E-2</c:v>
                </c:pt>
                <c:pt idx="6">
                  <c:v>5.9214146890650306E-2</c:v>
                </c:pt>
                <c:pt idx="7">
                  <c:v>5.1856665495672326E-2</c:v>
                </c:pt>
                <c:pt idx="8">
                  <c:v>4.5742816069559461E-2</c:v>
                </c:pt>
                <c:pt idx="9">
                  <c:v>4.3822365352635159E-2</c:v>
                </c:pt>
                <c:pt idx="10">
                  <c:v>4.33967308875138E-2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F94-4BA5-9CE2-1CCEFC04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</a:t>
            </a:r>
          </a:p>
        </c:rich>
      </c:tx>
      <c:layout>
        <c:manualLayout>
          <c:xMode val="edge"/>
          <c:yMode val="edge"/>
          <c:x val="0.69279896856732548"/>
          <c:y val="5.989402024811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TFSA!$G$16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A4-461B-8ADE-C83EE95F257C}"/>
              </c:ext>
            </c:extLst>
          </c:dPt>
          <c:dPt>
            <c:idx val="1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A4-461B-8ADE-C83EE95F257C}"/>
              </c:ext>
            </c:extLst>
          </c:dPt>
          <c:dPt>
            <c:idx val="2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A4-461B-8ADE-C83EE95F257C}"/>
              </c:ext>
            </c:extLst>
          </c:dPt>
          <c:dPt>
            <c:idx val="3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A4-461B-8ADE-C83EE95F257C}"/>
              </c:ext>
            </c:extLst>
          </c:dPt>
          <c:dPt>
            <c:idx val="4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A4-461B-8ADE-C83EE95F257C}"/>
              </c:ext>
            </c:extLst>
          </c:dPt>
          <c:dPt>
            <c:idx val="5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A4-461B-8ADE-C83EE95F257C}"/>
              </c:ext>
            </c:extLst>
          </c:dPt>
          <c:dPt>
            <c:idx val="6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A4-461B-8ADE-C83EE95F257C}"/>
              </c:ext>
            </c:extLst>
          </c:dPt>
          <c:dPt>
            <c:idx val="7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A4-461B-8ADE-C83EE95F257C}"/>
              </c:ext>
            </c:extLst>
          </c:dPt>
          <c:dPt>
            <c:idx val="8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A4-461B-8ADE-C83EE95F257C}"/>
              </c:ext>
            </c:extLst>
          </c:dPt>
          <c:dPt>
            <c:idx val="9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A4-461B-8ADE-C83EE95F257C}"/>
              </c:ext>
            </c:extLst>
          </c:dPt>
          <c:dLbls>
            <c:dLbl>
              <c:idx val="0"/>
              <c:layout>
                <c:manualLayout>
                  <c:x val="8.6762386596557425E-2"/>
                  <c:y val="2.219798074116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A4-461B-8ADE-C83EE95F257C}"/>
                </c:ext>
              </c:extLst>
            </c:dLbl>
            <c:dLbl>
              <c:idx val="1"/>
              <c:layout>
                <c:manualLayout>
                  <c:x val="-2.0891691486777376E-2"/>
                  <c:y val="-9.4413275130473834E-3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313818025237446"/>
                      <c:h val="9.74044676009498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9A4-461B-8ADE-C83EE95F257C}"/>
                </c:ext>
              </c:extLst>
            </c:dLbl>
            <c:dLbl>
              <c:idx val="2"/>
              <c:layout>
                <c:manualLayout>
                  <c:x val="-3.7122767973306603E-2"/>
                  <c:y val="-5.1585463704307048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683879405289148"/>
                      <c:h val="0.160160829425556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9A4-461B-8ADE-C83EE95F257C}"/>
                </c:ext>
              </c:extLst>
            </c:dLbl>
            <c:dLbl>
              <c:idx val="3"/>
              <c:layout>
                <c:manualLayout>
                  <c:x val="-8.1779275925889091E-4"/>
                  <c:y val="1.15845105092776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A4-461B-8ADE-C83EE95F257C}"/>
                </c:ext>
              </c:extLst>
            </c:dLbl>
            <c:dLbl>
              <c:idx val="4"/>
              <c:layout>
                <c:manualLayout>
                  <c:x val="3.572568859858255E-2"/>
                  <c:y val="0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821485686315997"/>
                      <c:h val="0.127044281841238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9A4-461B-8ADE-C83EE95F257C}"/>
                </c:ext>
              </c:extLst>
            </c:dLbl>
            <c:dLbl>
              <c:idx val="5"/>
              <c:layout>
                <c:manualLayout>
                  <c:x val="-2.0755459670861544E-2"/>
                  <c:y val="2.49750132061261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A4-461B-8ADE-C83EE95F257C}"/>
                </c:ext>
              </c:extLst>
            </c:dLbl>
            <c:dLbl>
              <c:idx val="6"/>
              <c:layout>
                <c:manualLayout>
                  <c:x val="-4.3960501113061975E-2"/>
                  <c:y val="-9.62487735228465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A4-461B-8ADE-C83EE95F257C}"/>
                </c:ext>
              </c:extLst>
            </c:dLbl>
            <c:dLbl>
              <c:idx val="7"/>
              <c:layout>
                <c:manualLayout>
                  <c:x val="0"/>
                  <c:y val="1.62152539392669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A4-461B-8ADE-C83EE95F257C}"/>
                </c:ext>
              </c:extLst>
            </c:dLbl>
            <c:dLbl>
              <c:idx val="9"/>
              <c:layout>
                <c:manualLayout>
                  <c:x val="4.593302819817751E-2"/>
                  <c:y val="-4.16963672724009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A4-461B-8ADE-C83EE95F257C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TFSA!$F$17:$F$26</c:f>
              <c:strCache>
                <c:ptCount val="10"/>
                <c:pt idx="0">
                  <c:v>Software</c:v>
                </c:pt>
                <c:pt idx="1">
                  <c:v>Internet Retail</c:v>
                </c:pt>
                <c:pt idx="2">
                  <c:v>Semiconductor</c:v>
                </c:pt>
                <c:pt idx="3">
                  <c:v>Internet Content &amp; Information</c:v>
                </c:pt>
                <c:pt idx="4">
                  <c:v>Aerospace &amp; Defence</c:v>
                </c:pt>
                <c:pt idx="5">
                  <c:v>Auto Manufacturers</c:v>
                </c:pt>
                <c:pt idx="6">
                  <c:v>Consumer Electronics</c:v>
                </c:pt>
                <c:pt idx="7">
                  <c:v>Leisure</c:v>
                </c:pt>
                <c:pt idx="8">
                  <c:v>Packaged Foods</c:v>
                </c:pt>
                <c:pt idx="9">
                  <c:v>Health Information Services</c:v>
                </c:pt>
              </c:strCache>
            </c:strRef>
          </c:cat>
          <c:val>
            <c:numRef>
              <c:f>TFSA!$G$17:$G$26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9A4-461B-8ADE-C83EE95F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74106087958517386"/>
          <c:y val="3.213658942459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TFSA!$J$16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B-4F02-A61C-534FD0C88029}"/>
              </c:ext>
            </c:extLst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B-4F02-A61C-534FD0C88029}"/>
              </c:ext>
            </c:extLst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B-4F02-A61C-534FD0C88029}"/>
              </c:ext>
            </c:extLst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B-4F02-A61C-534FD0C88029}"/>
              </c:ext>
            </c:extLst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B-4F02-A61C-534FD0C88029}"/>
              </c:ext>
            </c:extLst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B-4F02-A61C-534FD0C88029}"/>
              </c:ext>
            </c:extLst>
          </c:dPt>
          <c:dPt>
            <c:idx val="6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B-4F02-A61C-534FD0C88029}"/>
              </c:ext>
            </c:extLst>
          </c:dPt>
          <c:dPt>
            <c:idx val="7"/>
            <c:bubble3D val="0"/>
            <c:spPr>
              <a:solidFill>
                <a:schemeClr val="accent6">
                  <a:tint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B-4F02-A61C-534FD0C88029}"/>
              </c:ext>
            </c:extLst>
          </c:dPt>
          <c:dPt>
            <c:idx val="8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AB-4F02-A61C-534FD0C88029}"/>
              </c:ext>
            </c:extLst>
          </c:dPt>
          <c:dPt>
            <c:idx val="9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AB-4F02-A61C-534FD0C88029}"/>
              </c:ext>
            </c:extLst>
          </c:dPt>
          <c:dPt>
            <c:idx val="10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AB-4F02-A61C-534FD0C88029}"/>
              </c:ext>
            </c:extLst>
          </c:dPt>
          <c:dPt>
            <c:idx val="11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AB-4F02-A61C-534FD0C88029}"/>
              </c:ext>
            </c:extLst>
          </c:dPt>
          <c:dPt>
            <c:idx val="12"/>
            <c:bubble3D val="0"/>
            <c:spPr>
              <a:solidFill>
                <a:schemeClr val="accent6">
                  <a:tint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AB-4F02-A61C-534FD0C88029}"/>
              </c:ext>
            </c:extLst>
          </c:dPt>
          <c:dPt>
            <c:idx val="1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AB-4F02-A61C-534FD0C88029}"/>
              </c:ext>
            </c:extLst>
          </c:dPt>
          <c:dPt>
            <c:idx val="1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8AB-4F02-A61C-534FD0C88029}"/>
              </c:ext>
            </c:extLst>
          </c:dPt>
          <c:dLbls>
            <c:dLbl>
              <c:idx val="0"/>
              <c:layout>
                <c:manualLayout>
                  <c:x val="-8.2926829268292687E-2"/>
                  <c:y val="6.0538732317010312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75552141348186"/>
                      <c:h val="0.256016145577203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8AB-4F02-A61C-534FD0C88029}"/>
                </c:ext>
              </c:extLst>
            </c:dLbl>
            <c:dLbl>
              <c:idx val="1"/>
              <c:layout>
                <c:manualLayout>
                  <c:x val="9.9824453723521028E-2"/>
                  <c:y val="-3.6323071292467028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1105951327006"/>
                      <c:h val="0.131438511308108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AB-4F02-A61C-534FD0C88029}"/>
                </c:ext>
              </c:extLst>
            </c:dLbl>
            <c:dLbl>
              <c:idx val="2"/>
              <c:layout>
                <c:manualLayout>
                  <c:x val="1.5955483264759547E-2"/>
                  <c:y val="-1.1909056617739694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159363532218099"/>
                      <c:h val="0.160228700542330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8AB-4F02-A61C-534FD0C88029}"/>
                </c:ext>
              </c:extLst>
            </c:dLbl>
            <c:dLbl>
              <c:idx val="4"/>
              <c:layout>
                <c:manualLayout>
                  <c:x val="2.1951219512195062E-2"/>
                  <c:y val="-3.895217196333136E-2"/>
                </c:manualLayout>
              </c:layout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778067985404258"/>
                      <c:h val="0.229677587132155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8AB-4F02-A61C-534FD0C88029}"/>
                </c:ext>
              </c:extLst>
            </c:dLbl>
            <c:dLbl>
              <c:idx val="5"/>
              <c:layout>
                <c:manualLayout>
                  <c:x val="0.18536585365853658"/>
                  <c:y val="-3.4197170924595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09756097560977"/>
                      <c:h val="0.153695078367394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8AB-4F02-A61C-534FD0C88029}"/>
                </c:ext>
              </c:extLst>
            </c:dLbl>
            <c:dLbl>
              <c:idx val="14"/>
              <c:layout>
                <c:manualLayout>
                  <c:x val="6.6666666666666666E-2"/>
                  <c:y val="-8.26446101723152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8AB-4F02-A61C-534FD0C88029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TFSA!$I$17:$I$22</c:f>
              <c:strCache>
                <c:ptCount val="6"/>
                <c:pt idx="0">
                  <c:v>Technology</c:v>
                </c:pt>
                <c:pt idx="1">
                  <c:v>Consumer Cyclical</c:v>
                </c:pt>
                <c:pt idx="2">
                  <c:v>Communication Services</c:v>
                </c:pt>
                <c:pt idx="3">
                  <c:v>Industrial</c:v>
                </c:pt>
                <c:pt idx="4">
                  <c:v>Consumer Staples</c:v>
                </c:pt>
                <c:pt idx="5">
                  <c:v>Healthcare</c:v>
                </c:pt>
              </c:strCache>
            </c:strRef>
          </c:cat>
          <c:val>
            <c:numRef>
              <c:f>TFSA!$J$17:$J$22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8AB-4F02-A61C-534FD0C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Index</a:t>
            </a:r>
          </a:p>
        </c:rich>
      </c:tx>
      <c:layout>
        <c:manualLayout>
          <c:xMode val="edge"/>
          <c:yMode val="edge"/>
          <c:x val="0.5211617709462963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TFSA!$N$24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E-4730-AFD1-DD366F23F13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E-4730-AFD1-DD366F23F130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DE-4730-AFD1-DD366F23F130}"/>
              </c:ext>
            </c:extLst>
          </c:dPt>
          <c:dPt>
            <c:idx val="3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E-4730-AFD1-DD366F23F130}"/>
              </c:ext>
            </c:extLst>
          </c:dPt>
          <c:dPt>
            <c:idx val="4"/>
            <c:bubble3D val="0"/>
            <c:spPr>
              <a:solidFill>
                <a:schemeClr val="accent6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DE-4730-AFD1-DD366F23F130}"/>
              </c:ext>
            </c:extLst>
          </c:dPt>
          <c:dPt>
            <c:idx val="5"/>
            <c:bubble3D val="0"/>
            <c:spPr>
              <a:solidFill>
                <a:schemeClr val="accent6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E-4730-AFD1-DD366F23F130}"/>
              </c:ext>
            </c:extLst>
          </c:dPt>
          <c:dPt>
            <c:idx val="6"/>
            <c:bubble3D val="0"/>
            <c:spPr>
              <a:solidFill>
                <a:schemeClr val="accent6">
                  <a:tint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E-4730-AFD1-DD366F23F130}"/>
              </c:ext>
            </c:extLst>
          </c:dPt>
          <c:dPt>
            <c:idx val="7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DE-4730-AFD1-DD366F23F130}"/>
              </c:ext>
            </c:extLst>
          </c:dPt>
          <c:dPt>
            <c:idx val="8"/>
            <c:bubble3D val="0"/>
            <c:spPr>
              <a:solidFill>
                <a:schemeClr val="accent6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DE-4730-AFD1-DD366F23F130}"/>
              </c:ext>
            </c:extLst>
          </c:dPt>
          <c:dPt>
            <c:idx val="9"/>
            <c:bubble3D val="0"/>
            <c:spPr>
              <a:solidFill>
                <a:schemeClr val="accent6">
                  <a:tint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DE-4730-AFD1-DD366F23F130}"/>
              </c:ext>
            </c:extLst>
          </c:dPt>
          <c:dPt>
            <c:idx val="10"/>
            <c:bubble3D val="0"/>
            <c:spPr>
              <a:solidFill>
                <a:schemeClr val="accent6">
                  <a:tint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DE-4730-AFD1-DD366F23F130}"/>
              </c:ext>
            </c:extLst>
          </c:dPt>
          <c:dPt>
            <c:idx val="11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DE-4730-AFD1-DD366F23F130}"/>
              </c:ext>
            </c:extLst>
          </c:dPt>
          <c:dPt>
            <c:idx val="12"/>
            <c:bubble3D val="0"/>
            <c:spPr>
              <a:solidFill>
                <a:schemeClr val="accent6">
                  <a:tint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DE-4730-AFD1-DD366F23F130}"/>
              </c:ext>
            </c:extLst>
          </c:dPt>
          <c:dPt>
            <c:idx val="13"/>
            <c:bubble3D val="0"/>
            <c:spPr>
              <a:solidFill>
                <a:schemeClr val="accent6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DE-4730-AFD1-DD366F23F130}"/>
              </c:ext>
            </c:extLst>
          </c:dPt>
          <c:dPt>
            <c:idx val="14"/>
            <c:bubble3D val="0"/>
            <c:spPr>
              <a:solidFill>
                <a:schemeClr val="accent6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DE-4730-AFD1-DD366F23F130}"/>
              </c:ext>
            </c:extLst>
          </c:dPt>
          <c:dLbls>
            <c:dLbl>
              <c:idx val="14"/>
              <c:layout>
                <c:manualLayout>
                  <c:x val="6.6666666666666666E-2"/>
                  <c:y val="-8.26446101723152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8DE-4730-AFD1-DD366F23F130}"/>
                </c:ext>
              </c:extLst>
            </c:dLbl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TFSA!$M$25:$M$27</c:f>
              <c:strCache>
                <c:ptCount val="3"/>
                <c:pt idx="0">
                  <c:v>NASDAQ or Other</c:v>
                </c:pt>
                <c:pt idx="1">
                  <c:v>S&amp;P</c:v>
                </c:pt>
                <c:pt idx="2">
                  <c:v>Dow, S&amp;P</c:v>
                </c:pt>
              </c:strCache>
            </c:strRef>
          </c:cat>
          <c:val>
            <c:numRef>
              <c:f>TFSA!$N$25:$N$27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8DE-4730-AFD1-DD366F2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2-455B-8DF1-7F4587776CDD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2-455B-8DF1-7F4587776CD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2-455B-8DF1-7F4587776CDD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2-455B-8DF1-7F4587776CDD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2-455B-8DF1-7F4587776CDD}"/>
              </c:ext>
            </c:extLst>
          </c:dPt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RRSP!$B$2:$B$6</c:f>
              <c:strCache>
                <c:ptCount val="5"/>
                <c:pt idx="0">
                  <c:v>XLV</c:v>
                </c:pt>
                <c:pt idx="1">
                  <c:v>QQQ</c:v>
                </c:pt>
                <c:pt idx="2">
                  <c:v>HD</c:v>
                </c:pt>
                <c:pt idx="3">
                  <c:v>CAT</c:v>
                </c:pt>
                <c:pt idx="4">
                  <c:v>SBUX</c:v>
                </c:pt>
              </c:strCache>
            </c:strRef>
          </c:cat>
          <c:val>
            <c:numRef>
              <c:f>RRSP!$F$2:$F$6</c:f>
              <c:numCache>
                <c:formatCode>0.00%</c:formatCode>
                <c:ptCount val="5"/>
                <c:pt idx="0">
                  <c:v>0.29314787015000981</c:v>
                </c:pt>
                <c:pt idx="1">
                  <c:v>0.19938356285214331</c:v>
                </c:pt>
                <c:pt idx="2">
                  <c:v>0.18461192097709236</c:v>
                </c:pt>
                <c:pt idx="3">
                  <c:v>0.1639539679886155</c:v>
                </c:pt>
                <c:pt idx="4">
                  <c:v>0.15890267803213909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802-455B-8DF1-7F458777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1270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200733</xdr:colOff>
      <xdr:row>0</xdr:row>
      <xdr:rowOff>5164</xdr:rowOff>
    </xdr:from>
    <xdr:to>
      <xdr:col>21</xdr:col>
      <xdr:colOff>539750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87C61-624B-474E-B086-50D060DE2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22</xdr:row>
      <xdr:rowOff>137259</xdr:rowOff>
    </xdr:from>
    <xdr:to>
      <xdr:col>22</xdr:col>
      <xdr:colOff>277811</xdr:colOff>
      <xdr:row>40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5EC17-52AB-4D2B-B333-41D75E2A6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150811</xdr:colOff>
      <xdr:row>27</xdr:row>
      <xdr:rowOff>111124</xdr:rowOff>
    </xdr:from>
    <xdr:to>
      <xdr:col>14</xdr:col>
      <xdr:colOff>71436</xdr:colOff>
      <xdr:row>36</xdr:row>
      <xdr:rowOff>325438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C85B4-D76B-4474-AE8A-538E8287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20</xdr:row>
      <xdr:rowOff>45242</xdr:rowOff>
    </xdr:from>
    <xdr:to>
      <xdr:col>4</xdr:col>
      <xdr:colOff>595312</xdr:colOff>
      <xdr:row>27</xdr:row>
      <xdr:rowOff>121442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757DB2-20C8-4AB9-B9F8-ADDD9226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200733</xdr:colOff>
      <xdr:row>0</xdr:row>
      <xdr:rowOff>5164</xdr:rowOff>
    </xdr:from>
    <xdr:to>
      <xdr:col>21</xdr:col>
      <xdr:colOff>539750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4E9F-14B2-4E3B-A364-FE31E621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22</xdr:row>
      <xdr:rowOff>137259</xdr:rowOff>
    </xdr:from>
    <xdr:to>
      <xdr:col>22</xdr:col>
      <xdr:colOff>277811</xdr:colOff>
      <xdr:row>40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F9A77-C0C4-4C60-8BC0-F00D133C7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269875</xdr:colOff>
      <xdr:row>27</xdr:row>
      <xdr:rowOff>111123</xdr:rowOff>
    </xdr:from>
    <xdr:to>
      <xdr:col>14</xdr:col>
      <xdr:colOff>71436</xdr:colOff>
      <xdr:row>41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19B96-58DB-4A0C-AE57-F8DEA5D6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15</xdr:row>
      <xdr:rowOff>45242</xdr:rowOff>
    </xdr:from>
    <xdr:to>
      <xdr:col>4</xdr:col>
      <xdr:colOff>595312</xdr:colOff>
      <xdr:row>22</xdr:row>
      <xdr:rowOff>121442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3E2FE-08D4-4B1D-AB1F-E900F60C3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41983</xdr:colOff>
      <xdr:row>0</xdr:row>
      <xdr:rowOff>0</xdr:rowOff>
    </xdr:from>
    <xdr:to>
      <xdr:col>22</xdr:col>
      <xdr:colOff>150812</xdr:colOff>
      <xdr:row>13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2FFCE-1C63-427D-94ED-865AE4342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103188</xdr:colOff>
      <xdr:row>15</xdr:row>
      <xdr:rowOff>55562</xdr:rowOff>
    </xdr:from>
    <xdr:to>
      <xdr:col>22</xdr:col>
      <xdr:colOff>190499</xdr:colOff>
      <xdr:row>30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68D4E-D8C6-4ACA-9271-B1449702C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111123</xdr:colOff>
      <xdr:row>15</xdr:row>
      <xdr:rowOff>79373</xdr:rowOff>
    </xdr:from>
    <xdr:to>
      <xdr:col>14</xdr:col>
      <xdr:colOff>31748</xdr:colOff>
      <xdr:row>24</xdr:row>
      <xdr:rowOff>365124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9C91B-3104-4243-B541-09E7405EF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39688</xdr:colOff>
      <xdr:row>9</xdr:row>
      <xdr:rowOff>69054</xdr:rowOff>
    </xdr:from>
    <xdr:to>
      <xdr:col>4</xdr:col>
      <xdr:colOff>603250</xdr:colOff>
      <xdr:row>14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0BF832-DA13-4495-919E-8C861613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26109</xdr:colOff>
      <xdr:row>0</xdr:row>
      <xdr:rowOff>26987</xdr:rowOff>
    </xdr:from>
    <xdr:to>
      <xdr:col>13</xdr:col>
      <xdr:colOff>247650</xdr:colOff>
      <xdr:row>13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B7D37-B40F-432E-A4FE-08AEBD586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B4443-B030-4175-8332-E8D163382F81}" name="Table1102" displayName="Table1102" ref="B1:L18" totalsRowShown="0" headerRowDxfId="60" dataDxfId="59">
  <autoFilter ref="B1:L18" xr:uid="{CEC8CFDE-81A5-4422-BDAA-E7AC65EABE7B}"/>
  <sortState xmlns:xlrd2="http://schemas.microsoft.com/office/spreadsheetml/2017/richdata2" ref="B2:L18">
    <sortCondition descending="1" ref="F1:F18"/>
  </sortState>
  <tableColumns count="11">
    <tableColumn id="2" xr3:uid="{BC02DA0F-F36A-490E-8AC2-26EB1BA0EDC9}" name="Asset" dataDxfId="58"/>
    <tableColumn id="3" xr3:uid="{EBD3AF4C-412C-4D74-B835-494746829F8D}" name="Price" dataDxfId="57"/>
    <tableColumn id="4" xr3:uid="{60690E11-653F-4641-8E25-8AB5E9C2593C}" name="Shares" dataDxfId="56"/>
    <tableColumn id="5" xr3:uid="{41C2AED8-0EC9-4C9E-AC6F-FCEE585ECFFA}" name="Market Value" dataDxfId="55">
      <calculatedColumnFormula>C2*D2</calculatedColumnFormula>
    </tableColumn>
    <tableColumn id="6" xr3:uid="{BC6C0EF7-377B-4EA4-8C43-8B3F7B1CE920}" name="Pos %" dataDxfId="54">
      <calculatedColumnFormula>(E2/$E$19)</calculatedColumnFormula>
    </tableColumn>
    <tableColumn id="8" xr3:uid="{AB9B2809-9523-42A6-AB2F-D1C2B59425E4}" name="Cost _x000a_Feb 19" dataDxfId="53"/>
    <tableColumn id="7" xr3:uid="{6C677A4E-CD19-4966-BAE7-285917851ADE}" name="Feb 19 _x000a_Price _x000a_Drop or Growth" dataDxfId="52">
      <calculatedColumnFormula>1-(Table1102[[#This Row],[Price]]/Table1102[[#This Row],[Cost 
Feb 19]])</calculatedColumnFormula>
    </tableColumn>
    <tableColumn id="1" xr3:uid="{AA3F8E6A-0424-4122-B4DB-A9EC4F0A2057}" name="Long _x000a_Term _x000a_Capital (1yr)" dataDxfId="51"/>
    <tableColumn id="9" xr3:uid="{9715C539-4D66-4932-9C82-FB329330E86A}" name="Industry" dataDxfId="50"/>
    <tableColumn id="10" xr3:uid="{6695B5D5-165F-4F5A-9D08-639717563429}" name="Sector" dataDxfId="49"/>
    <tableColumn id="11" xr3:uid="{BA5CDC6C-747C-454B-891B-124046E45477}" name="Index" dataDxfId="48"/>
  </tableColumns>
  <tableStyleInfo name="TableStyleDark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749B16-62E6-43A0-9F80-1934FEA7A547}" name="Table37" displayName="Table37" ref="F10:G14" totalsRowShown="0">
  <autoFilter ref="F10:G14" xr:uid="{CD13EDBF-11B0-44FA-AABA-B6284E6C5ECD}"/>
  <sortState xmlns:xlrd2="http://schemas.microsoft.com/office/spreadsheetml/2017/richdata2" ref="F11:G14">
    <sortCondition descending="1" ref="G10:G14"/>
  </sortState>
  <tableColumns count="2">
    <tableColumn id="1" xr3:uid="{0B44EA6C-839D-440E-8DF5-A2E8E71B76B6}" name="Industry" dataDxfId="11"/>
    <tableColumn id="2" xr3:uid="{5DBC84BC-E0A3-46FE-91B0-146D8E0E7E1E}" name="#" dataDxfId="10">
      <calculatedColumnFormula>COUNTIF($J$2:$J$7,"Technology")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4AF8-EB2B-45A5-8F27-7EEA43C38F1D}" name="Table28" displayName="Table28" ref="I10:J14" totalsRowShown="0">
  <autoFilter ref="I10:J14" xr:uid="{4CF72709-330A-4AFE-9867-4C3C75D5FE4D}"/>
  <sortState xmlns:xlrd2="http://schemas.microsoft.com/office/spreadsheetml/2017/richdata2" ref="I11:J14">
    <sortCondition descending="1" ref="J10:J14"/>
  </sortState>
  <tableColumns count="2">
    <tableColumn id="1" xr3:uid="{076CE9BA-4BDC-4688-B389-020E73A6FF80}" name="Sector" dataDxfId="9"/>
    <tableColumn id="2" xr3:uid="{E5257DD1-76CE-4D4F-ACF5-E1319290FF4E}" name="#" dataDxfId="8">
      <calculatedColumnFormula>COUNTIF(K2:K7,"Technology")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265103-8563-42EC-9868-FB956FFB14CD}" name="Table49" displayName="Table49" ref="M10:N13" totalsRowShown="0">
  <autoFilter ref="M10:N13" xr:uid="{1F392F42-2375-49E2-B5A8-FC0F0EBF5A12}"/>
  <sortState xmlns:xlrd2="http://schemas.microsoft.com/office/spreadsheetml/2017/richdata2" ref="M11:N13">
    <sortCondition descending="1" ref="N10:N13"/>
  </sortState>
  <tableColumns count="2">
    <tableColumn id="1" xr3:uid="{D56B0E17-F54A-4922-82C6-F00651AE7CD2}" name="Sector"/>
    <tableColumn id="2" xr3:uid="{ED2284B0-274B-4C0A-ADD5-EE7F5A0290CA}" name="#" dataDxfId="7">
      <calculatedColumnFormula>COUNTIF(L2:L7,"NASDAQ or Other")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9ED660-B5BA-4BBE-B042-E5CCC80C587D}" name="Table1614" displayName="Table1614" ref="B1:F4" totalsRowShown="0" headerRowDxfId="6" dataDxfId="5">
  <autoFilter ref="B1:F4" xr:uid="{CEC8CFDE-81A5-4422-BDAA-E7AC65EABE7B}"/>
  <sortState xmlns:xlrd2="http://schemas.microsoft.com/office/spreadsheetml/2017/richdata2" ref="B2:F4">
    <sortCondition descending="1" ref="F1:F4"/>
  </sortState>
  <tableColumns count="5">
    <tableColumn id="2" xr3:uid="{4F5D6B99-F32F-47E4-8CE4-51F2B39730D0}" name="Asset" dataDxfId="4"/>
    <tableColumn id="3" xr3:uid="{FD4943F9-4BF1-4CC7-A4EB-C7FEB456E0AA}" name="Price" dataDxfId="3"/>
    <tableColumn id="4" xr3:uid="{DE9C4533-DBDA-4C4C-8AC6-76C49C330583}" name="Amount" dataDxfId="2"/>
    <tableColumn id="5" xr3:uid="{00348FE7-9029-4EF6-A643-FD18D73465F1}" name="Market Value" dataDxfId="1">
      <calculatedColumnFormula>C2*D2</calculatedColumnFormula>
    </tableColumn>
    <tableColumn id="6" xr3:uid="{CA422501-F3D1-4654-9612-F17F270B427E}" name="Pos %" dataDxfId="0">
      <calculatedColumnFormula>(E2/$E$5)</calculatedColumnFormula>
    </tableColumn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5A741-2AAC-44B8-AE78-7E5CFAB4CDCE}" name="Table3113" displayName="Table3113" ref="F21:G35" totalsRowShown="0">
  <autoFilter ref="F21:G35" xr:uid="{CD13EDBF-11B0-44FA-AABA-B6284E6C5ECD}"/>
  <sortState xmlns:xlrd2="http://schemas.microsoft.com/office/spreadsheetml/2017/richdata2" ref="F22:G35">
    <sortCondition descending="1" ref="G21:G35"/>
  </sortState>
  <tableColumns count="2">
    <tableColumn id="1" xr3:uid="{2D5740EF-5CF4-44BF-AEE7-BA7EAE06EF70}" name="Industry" dataDxfId="47"/>
    <tableColumn id="2" xr3:uid="{429CE540-48E1-4D37-B2E3-455BF9D8289E}" name="#" dataDxfId="46">
      <calculatedColumnFormula>COUNTIF($J$2:$J$18,"Technology")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4EF363-FFD6-4815-8FBC-3DE7BBBA5E78}" name="Table2124" displayName="Table2124" ref="I21:J27" totalsRowShown="0">
  <autoFilter ref="I21:J27" xr:uid="{4CF72709-330A-4AFE-9867-4C3C75D5FE4D}"/>
  <sortState xmlns:xlrd2="http://schemas.microsoft.com/office/spreadsheetml/2017/richdata2" ref="I22:J27">
    <sortCondition descending="1" ref="J21:J27"/>
  </sortState>
  <tableColumns count="2">
    <tableColumn id="1" xr3:uid="{899A1BA1-6D43-46EB-AFAD-A657043A8293}" name="Sector" dataDxfId="45"/>
    <tableColumn id="2" xr3:uid="{329BF563-5954-4E8E-98E7-8BE42F827CD1}" name="#" dataDxfId="44">
      <calculatedColumnFormula>COUNTIF(K2:K18,"Technology")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708CCD-9E51-4869-9801-1C8603537FB5}" name="Table4135" displayName="Table4135" ref="M24:N27" totalsRowShown="0">
  <autoFilter ref="M24:N27" xr:uid="{1F392F42-2375-49E2-B5A8-FC0F0EBF5A12}"/>
  <tableColumns count="2">
    <tableColumn id="1" xr3:uid="{6DF05FE9-AD73-419D-8583-662EEAFE8F16}" name="Sector"/>
    <tableColumn id="2" xr3:uid="{72D30F4F-87B8-4033-B13F-F276F89E664C}" name="#" dataDxfId="43">
      <calculatedColumnFormula>COUNTIF(L2:L18,"NASDAQ or Other")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047953-33AB-440D-A542-CBDDF8BE5FC5}" name="Table110" displayName="Table110" ref="B1:L13" totalsRowShown="0" headerRowDxfId="42" dataDxfId="41">
  <autoFilter ref="B1:L13" xr:uid="{CEC8CFDE-81A5-4422-BDAA-E7AC65EABE7B}"/>
  <sortState xmlns:xlrd2="http://schemas.microsoft.com/office/spreadsheetml/2017/richdata2" ref="B2:L13">
    <sortCondition descending="1" ref="F1:F13"/>
  </sortState>
  <tableColumns count="11">
    <tableColumn id="2" xr3:uid="{6FA1CA09-5F8E-48F9-ADC0-7210DC9F6733}" name="Asset" dataDxfId="40"/>
    <tableColumn id="3" xr3:uid="{545915B9-7800-416E-8BA0-70DF929927B5}" name="Price" dataDxfId="39"/>
    <tableColumn id="4" xr3:uid="{07E39390-935C-4AD0-A717-90AE10B8C01A}" name="Shares" dataDxfId="38"/>
    <tableColumn id="5" xr3:uid="{77BEA5F7-D5D6-4760-8953-6BEBC53D883A}" name="Cost Basis" dataDxfId="37">
      <calculatedColumnFormula>C2*D2</calculatedColumnFormula>
    </tableColumn>
    <tableColumn id="6" xr3:uid="{869A07AD-5DD2-43CD-B35C-15745C02CE4E}" name="Pos %" dataDxfId="36">
      <calculatedColumnFormula>(E2/$E$14)</calculatedColumnFormula>
    </tableColumn>
    <tableColumn id="8" xr3:uid="{DACEDB92-6051-4476-93ED-8D9F56158E1C}" name="Cost _x000a_Feb 19" dataDxfId="35"/>
    <tableColumn id="7" xr3:uid="{91E3551D-99B8-48A1-9E4D-A47AF09F7B90}" name="Feb 19 _x000a_Price _x000a_Drop or Growth" dataDxfId="34">
      <calculatedColumnFormula>1-(Table110[[#This Row],[Price]]/Table110[[#This Row],[Cost 
Feb 19]])</calculatedColumnFormula>
    </tableColumn>
    <tableColumn id="1" xr3:uid="{DD2CD502-1F34-4C3C-8A1E-BAC2936309DC}" name="Long _x000a_Term _x000a_Capital (1yr)" dataDxfId="33"/>
    <tableColumn id="9" xr3:uid="{6A705EE0-C4C3-430D-9D8C-B9891BCE1FDD}" name="Industry" dataDxfId="32"/>
    <tableColumn id="10" xr3:uid="{8CDAB4DF-FCB5-4D6A-A4FD-894893377661}" name="Sector" dataDxfId="31"/>
    <tableColumn id="11" xr3:uid="{7C7C1EF8-3098-47F8-BD2B-A876CCCCE01E}" name="Index" dataDxfId="30"/>
  </tableColumns>
  <tableStyleInfo name="TableStyleDark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C4B457-932C-46D6-8636-8CC58BE90CC3}" name="Table311" displayName="Table311" ref="F16:G26" totalsRowShown="0">
  <autoFilter ref="F16:G26" xr:uid="{CD13EDBF-11B0-44FA-AABA-B6284E6C5ECD}"/>
  <sortState xmlns:xlrd2="http://schemas.microsoft.com/office/spreadsheetml/2017/richdata2" ref="F17:G26">
    <sortCondition descending="1" ref="G16:G26"/>
  </sortState>
  <tableColumns count="2">
    <tableColumn id="1" xr3:uid="{FDFFB584-1775-40F8-B3A3-33F2DBCE5676}" name="Industry" dataDxfId="29"/>
    <tableColumn id="2" xr3:uid="{C218E388-C61F-4F4A-A443-969994E591D6}" name="#" dataDxfId="28">
      <calculatedColumnFormula>COUNTIF($J$2:$J$13,"Technology")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13D03F-4510-46E8-8114-D6C8228DE849}" name="Table212" displayName="Table212" ref="I16:J22" totalsRowShown="0">
  <autoFilter ref="I16:J22" xr:uid="{4CF72709-330A-4AFE-9867-4C3C75D5FE4D}"/>
  <sortState xmlns:xlrd2="http://schemas.microsoft.com/office/spreadsheetml/2017/richdata2" ref="I17:J22">
    <sortCondition descending="1" ref="J16:J22"/>
  </sortState>
  <tableColumns count="2">
    <tableColumn id="1" xr3:uid="{7536EA7C-3B06-4CBF-94E8-E18D32EF1CFA}" name="Sector" dataDxfId="27"/>
    <tableColumn id="2" xr3:uid="{31AFCCC0-4E4D-4512-A056-D97253936794}" name="#" dataDxfId="26">
      <calculatedColumnFormula>COUNTIF(K2:K13,"Technology")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3420C3-6E5E-47B9-BC9F-A615D307136D}" name="Table413" displayName="Table413" ref="M24:N27" totalsRowShown="0">
  <autoFilter ref="M24:N27" xr:uid="{1F392F42-2375-49E2-B5A8-FC0F0EBF5A12}"/>
  <tableColumns count="2">
    <tableColumn id="1" xr3:uid="{9F8A0393-06DF-464D-BEC3-BB6793A9CF62}" name="Sector"/>
    <tableColumn id="2" xr3:uid="{04CC12E8-7169-422D-A876-6CFAA224AE53}" name="#" dataDxfId="25">
      <calculatedColumnFormula>COUNTIF(L2:L13,"NASDAQ or Other")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88ECC4-7962-45D5-B2D5-959B0BFED0CC}" name="Table16" displayName="Table16" ref="B1:L7" totalsRowShown="0" headerRowDxfId="24" dataDxfId="23">
  <autoFilter ref="B1:L7" xr:uid="{CEC8CFDE-81A5-4422-BDAA-E7AC65EABE7B}"/>
  <sortState xmlns:xlrd2="http://schemas.microsoft.com/office/spreadsheetml/2017/richdata2" ref="B2:L7">
    <sortCondition descending="1" ref="F1:F7"/>
  </sortState>
  <tableColumns count="11">
    <tableColumn id="2" xr3:uid="{5F4D9EBD-EB25-470C-8998-7946079A1F14}" name="Asset" dataDxfId="22"/>
    <tableColumn id="3" xr3:uid="{25F9C8C4-4720-4AFA-AFF1-8DAD6C001711}" name="Price" dataDxfId="21"/>
    <tableColumn id="4" xr3:uid="{E9D445AD-6D91-45B1-909D-9E0A261E637A}" name="Shares" dataDxfId="20"/>
    <tableColumn id="5" xr3:uid="{F8B49928-BB64-4F32-80C7-71CC4D7BB379}" name="Market Value" dataDxfId="19">
      <calculatedColumnFormula>C2*D2</calculatedColumnFormula>
    </tableColumn>
    <tableColumn id="6" xr3:uid="{9F74C15D-A2E9-43E3-BE96-47D0ADB6B944}" name="Pos %" dataDxfId="18">
      <calculatedColumnFormula>(E2/$E$9)</calculatedColumnFormula>
    </tableColumn>
    <tableColumn id="8" xr3:uid="{9C01A8E5-3952-42E9-95DD-EE4A1C64E07D}" name="Dividend" dataDxfId="17"/>
    <tableColumn id="7" xr3:uid="{26E9BAE5-B879-41A4-A0AB-EC1724AE79C8}" name="Growth" dataDxfId="16">
      <calculatedColumnFormula>1-(Table16[[#This Row],[Price]]/Table16[[#This Row],[Dividend]])</calculatedColumnFormula>
    </tableColumn>
    <tableColumn id="1" xr3:uid="{F2356488-4304-4E62-AFE6-2B42287BB79B}" name="Long _x000a_Term _x000a_Capital (1yr)" dataDxfId="15"/>
    <tableColumn id="9" xr3:uid="{97B4584D-65EE-4CE0-9B70-0FD374ECCF9F}" name="Industry" dataDxfId="14"/>
    <tableColumn id="10" xr3:uid="{AD992401-0CFA-4DF6-9803-D32D1C96C2C8}" name="Sector" dataDxfId="13"/>
    <tableColumn id="11" xr3:uid="{C15DA1DA-3D05-4AE0-8CF7-8C2353E64667}" name="Index" dataDxfId="1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A543-5C2A-4B2B-A9D0-95967E3C3ABD}">
  <dimension ref="A1:N58"/>
  <sheetViews>
    <sheetView tabSelected="1" topLeftCell="A4" zoomScale="120" zoomScaleNormal="120" workbookViewId="0">
      <selection activeCell="I20" sqref="I20"/>
    </sheetView>
  </sheetViews>
  <sheetFormatPr defaultRowHeight="15" x14ac:dyDescent="0.25"/>
  <cols>
    <col min="1" max="1" width="3.28515625" style="1" bestFit="1" customWidth="1"/>
    <col min="2" max="2" width="10.42578125" style="7" bestFit="1" customWidth="1"/>
    <col min="3" max="3" width="9.42578125" style="22" bestFit="1" customWidth="1"/>
    <col min="4" max="4" width="11.42578125" style="8" bestFit="1" customWidth="1"/>
    <col min="5" max="5" width="10" style="19" bestFit="1" customWidth="1"/>
    <col min="6" max="6" width="12.85546875" style="3" bestFit="1" customWidth="1"/>
    <col min="7" max="7" width="11.28515625" style="19" bestFit="1" customWidth="1"/>
    <col min="8" max="8" width="12.5703125" style="4" bestFit="1" customWidth="1"/>
    <col min="9" max="9" width="12.85546875" style="19" customWidth="1"/>
    <col min="10" max="10" width="11.140625" style="10" customWidth="1"/>
    <col min="11" max="11" width="12.7109375" style="7" customWidth="1"/>
    <col min="12" max="16384" width="9.140625" style="1"/>
  </cols>
  <sheetData>
    <row r="1" spans="1:12" s="2" customFormat="1" ht="60" x14ac:dyDescent="0.25">
      <c r="A1" s="2" t="s">
        <v>4</v>
      </c>
      <c r="B1" s="7" t="s">
        <v>5</v>
      </c>
      <c r="C1" s="22" t="s">
        <v>29</v>
      </c>
      <c r="D1" s="8" t="s">
        <v>0</v>
      </c>
      <c r="E1" s="19" t="s">
        <v>37</v>
      </c>
      <c r="F1" s="3" t="s">
        <v>1</v>
      </c>
      <c r="G1" s="19" t="s">
        <v>7</v>
      </c>
      <c r="H1" s="4" t="s">
        <v>31</v>
      </c>
      <c r="I1" s="17" t="s">
        <v>34</v>
      </c>
      <c r="J1" s="7" t="s">
        <v>13</v>
      </c>
      <c r="K1" s="7" t="s">
        <v>9</v>
      </c>
      <c r="L1" s="7" t="s">
        <v>44</v>
      </c>
    </row>
    <row r="2" spans="1:12" ht="22.5" x14ac:dyDescent="0.25">
      <c r="A2" s="1">
        <v>1</v>
      </c>
      <c r="B2" s="7" t="s">
        <v>2</v>
      </c>
      <c r="C2" s="22">
        <v>333.82</v>
      </c>
      <c r="D2" s="8">
        <v>17</v>
      </c>
      <c r="E2" s="19">
        <f t="shared" ref="E2:E17" si="0">C2*D2</f>
        <v>5674.94</v>
      </c>
      <c r="F2" s="26">
        <f t="shared" ref="F2:F18" si="1">(E2/$E$19)</f>
        <v>0.13022524271488195</v>
      </c>
      <c r="G2" s="19">
        <v>915</v>
      </c>
      <c r="H2" s="15">
        <v>0.5</v>
      </c>
      <c r="I2" s="17">
        <f>(1+Table1102[[#This Row],[Feb 19 
Price 
Drop or Growth]])*Table1102[[#This Row],[Market Value]]</f>
        <v>8512.41</v>
      </c>
      <c r="J2" s="14" t="s">
        <v>28</v>
      </c>
      <c r="K2" s="14" t="s">
        <v>20</v>
      </c>
      <c r="L2" s="14" t="s">
        <v>47</v>
      </c>
    </row>
    <row r="3" spans="1:12" ht="22.5" x14ac:dyDescent="0.25">
      <c r="A3" s="1">
        <v>2</v>
      </c>
      <c r="B3" s="7" t="s">
        <v>18</v>
      </c>
      <c r="C3" s="22">
        <v>112.7</v>
      </c>
      <c r="D3" s="8">
        <v>40</v>
      </c>
      <c r="E3" s="19">
        <f t="shared" si="0"/>
        <v>4508</v>
      </c>
      <c r="F3" s="26">
        <f t="shared" si="1"/>
        <v>0.10344697814579323</v>
      </c>
      <c r="G3" s="21">
        <v>323.39999999999998</v>
      </c>
      <c r="H3" s="15">
        <v>0.3</v>
      </c>
      <c r="I3" s="17">
        <f>(1+Table1102[[#This Row],[Feb 19 
Price 
Drop or Growth]])*Table1102[[#This Row],[Market Value]]</f>
        <v>5860.4000000000005</v>
      </c>
      <c r="J3" s="14" t="s">
        <v>24</v>
      </c>
      <c r="K3" s="14" t="s">
        <v>14</v>
      </c>
      <c r="L3" s="14" t="s">
        <v>45</v>
      </c>
    </row>
    <row r="4" spans="1:12" ht="33.75" x14ac:dyDescent="0.25">
      <c r="A4" s="1">
        <v>3</v>
      </c>
      <c r="B4" s="7" t="s">
        <v>57</v>
      </c>
      <c r="C4" s="22">
        <v>109.05</v>
      </c>
      <c r="D4" s="8">
        <v>32</v>
      </c>
      <c r="E4" s="19">
        <f t="shared" si="0"/>
        <v>3489.6</v>
      </c>
      <c r="F4" s="26">
        <f t="shared" si="1"/>
        <v>8.0077323632999131E-2</v>
      </c>
      <c r="G4" s="3">
        <v>2.6800000000000001E-2</v>
      </c>
      <c r="H4" s="15">
        <v>0.2</v>
      </c>
      <c r="I4" s="17">
        <f>(1+Table1102[[#This Row],[Feb 19 
Price 
Drop or Growth]])*Table1102[[#This Row],[Market Value]]</f>
        <v>4187.5199999999995</v>
      </c>
      <c r="J4" s="14" t="s">
        <v>61</v>
      </c>
      <c r="K4" s="14" t="s">
        <v>39</v>
      </c>
      <c r="L4" s="14" t="s">
        <v>46</v>
      </c>
    </row>
    <row r="5" spans="1:12" ht="22.5" x14ac:dyDescent="0.25">
      <c r="A5" s="1">
        <v>4</v>
      </c>
      <c r="B5" s="7" t="s">
        <v>12</v>
      </c>
      <c r="C5" s="22">
        <v>1572.13</v>
      </c>
      <c r="D5" s="8">
        <v>2</v>
      </c>
      <c r="E5" s="19">
        <f t="shared" si="0"/>
        <v>3144.26</v>
      </c>
      <c r="F5" s="26">
        <f t="shared" si="1"/>
        <v>7.2152660937154361E-2</v>
      </c>
      <c r="G5" s="19">
        <v>1525</v>
      </c>
      <c r="H5" s="15">
        <v>0.2</v>
      </c>
      <c r="I5" s="17">
        <f>(1+Table1102[[#This Row],[Feb 19 
Price 
Drop or Growth]])*Table1102[[#This Row],[Market Value]]</f>
        <v>3773.1120000000001</v>
      </c>
      <c r="J5" s="14" t="s">
        <v>27</v>
      </c>
      <c r="K5" s="14" t="s">
        <v>26</v>
      </c>
      <c r="L5" s="14" t="s">
        <v>46</v>
      </c>
    </row>
    <row r="6" spans="1:12" x14ac:dyDescent="0.25">
      <c r="A6" s="1">
        <v>5</v>
      </c>
      <c r="B6" s="7" t="s">
        <v>48</v>
      </c>
      <c r="C6" s="22">
        <v>3133.37</v>
      </c>
      <c r="D6" s="8">
        <v>1</v>
      </c>
      <c r="E6" s="19">
        <f t="shared" si="0"/>
        <v>3133.37</v>
      </c>
      <c r="F6" s="26">
        <f t="shared" si="1"/>
        <v>7.1902763512130471E-2</v>
      </c>
      <c r="G6" s="19">
        <v>2170.2199999999998</v>
      </c>
      <c r="H6" s="15">
        <v>0.4</v>
      </c>
      <c r="I6" s="17">
        <f>(1+Table1102[[#This Row],[Feb 19 
Price 
Drop or Growth]])*Table1102[[#This Row],[Market Value]]</f>
        <v>4386.7179999999998</v>
      </c>
      <c r="J6" s="14" t="s">
        <v>21</v>
      </c>
      <c r="K6" s="14" t="s">
        <v>20</v>
      </c>
      <c r="L6" s="14" t="s">
        <v>46</v>
      </c>
    </row>
    <row r="7" spans="1:12" x14ac:dyDescent="0.25">
      <c r="A7" s="1">
        <v>6</v>
      </c>
      <c r="B7" s="7" t="s">
        <v>30</v>
      </c>
      <c r="C7" s="22">
        <v>213.34</v>
      </c>
      <c r="D7" s="8">
        <v>14</v>
      </c>
      <c r="E7" s="19">
        <f t="shared" si="0"/>
        <v>2986.76</v>
      </c>
      <c r="F7" s="26">
        <f t="shared" si="1"/>
        <v>6.8538441980197304E-2</v>
      </c>
      <c r="G7" s="19">
        <v>187.28</v>
      </c>
      <c r="H7" s="15">
        <v>0.35</v>
      </c>
      <c r="I7" s="17">
        <f>(1+Table1102[[#This Row],[Feb 19 
Price 
Drop or Growth]])*Table1102[[#This Row],[Market Value]]</f>
        <v>4032.1260000000007</v>
      </c>
      <c r="J7" s="14" t="s">
        <v>35</v>
      </c>
      <c r="K7" s="14" t="s">
        <v>14</v>
      </c>
      <c r="L7" s="14" t="s">
        <v>45</v>
      </c>
    </row>
    <row r="8" spans="1:12" ht="22.5" x14ac:dyDescent="0.25">
      <c r="A8" s="1">
        <v>7</v>
      </c>
      <c r="B8" s="7" t="s">
        <v>17</v>
      </c>
      <c r="C8" s="22">
        <v>488.83</v>
      </c>
      <c r="D8" s="8">
        <v>6</v>
      </c>
      <c r="E8" s="19">
        <f t="shared" si="0"/>
        <v>2932.98</v>
      </c>
      <c r="F8" s="26">
        <f t="shared" si="1"/>
        <v>6.7304329627783641E-2</v>
      </c>
      <c r="G8" s="19">
        <v>316.39999999999998</v>
      </c>
      <c r="H8" s="15">
        <v>0.5</v>
      </c>
      <c r="I8" s="17">
        <f>(1+Table1102[[#This Row],[Feb 19 
Price 
Drop or Growth]])*Table1102[[#This Row],[Market Value]]</f>
        <v>4399.47</v>
      </c>
      <c r="J8" s="14" t="s">
        <v>22</v>
      </c>
      <c r="K8" s="14" t="s">
        <v>14</v>
      </c>
      <c r="L8" s="14" t="s">
        <v>46</v>
      </c>
    </row>
    <row r="9" spans="1:12" ht="33.75" x14ac:dyDescent="0.25">
      <c r="A9" s="1">
        <v>8</v>
      </c>
      <c r="B9" s="7" t="s">
        <v>58</v>
      </c>
      <c r="C9" s="22">
        <v>296.68</v>
      </c>
      <c r="D9" s="8">
        <v>8</v>
      </c>
      <c r="E9" s="19">
        <f t="shared" si="0"/>
        <v>2373.44</v>
      </c>
      <c r="F9" s="26">
        <f t="shared" si="1"/>
        <v>5.4464329150477268E-2</v>
      </c>
      <c r="G9" s="3">
        <v>2.35E-2</v>
      </c>
      <c r="H9" s="15">
        <v>0.5</v>
      </c>
      <c r="I9" s="17">
        <f>(1+Table1102[[#This Row],[Feb 19 
Price 
Drop or Growth]])*Table1102[[#This Row],[Market Value]]</f>
        <v>3560.16</v>
      </c>
      <c r="J9" s="14" t="s">
        <v>61</v>
      </c>
      <c r="K9" s="14" t="s">
        <v>14</v>
      </c>
      <c r="L9" s="14" t="s">
        <v>47</v>
      </c>
    </row>
    <row r="10" spans="1:12" ht="22.5" x14ac:dyDescent="0.25">
      <c r="A10" s="1">
        <v>9</v>
      </c>
      <c r="B10" s="7" t="s">
        <v>38</v>
      </c>
      <c r="C10" s="22">
        <v>133.08000000000001</v>
      </c>
      <c r="D10" s="8">
        <v>17</v>
      </c>
      <c r="E10" s="19">
        <f t="shared" si="0"/>
        <v>2262.36</v>
      </c>
      <c r="F10" s="26">
        <f t="shared" si="1"/>
        <v>5.1915329520389707E-2</v>
      </c>
      <c r="G10" s="19">
        <v>125.17</v>
      </c>
      <c r="H10" s="15">
        <v>0.3</v>
      </c>
      <c r="I10" s="17">
        <f>(1+Table1102[[#This Row],[Feb 19 
Price 
Drop or Growth]])*Table1102[[#This Row],[Market Value]]</f>
        <v>2941.0680000000002</v>
      </c>
      <c r="J10" s="14" t="s">
        <v>41</v>
      </c>
      <c r="K10" s="14" t="s">
        <v>40</v>
      </c>
      <c r="L10" s="14" t="s">
        <v>47</v>
      </c>
    </row>
    <row r="11" spans="1:12" ht="22.5" x14ac:dyDescent="0.25">
      <c r="A11" s="1">
        <v>10</v>
      </c>
      <c r="B11" s="7" t="s">
        <v>49</v>
      </c>
      <c r="C11" s="22">
        <v>274.7</v>
      </c>
      <c r="D11" s="8">
        <v>8</v>
      </c>
      <c r="E11" s="19">
        <f t="shared" si="0"/>
        <v>2197.6</v>
      </c>
      <c r="F11" s="26">
        <f t="shared" si="1"/>
        <v>5.0429254474976752E-2</v>
      </c>
      <c r="G11" s="3" t="s">
        <v>56</v>
      </c>
      <c r="H11" s="15">
        <v>0.2</v>
      </c>
      <c r="I11" s="17">
        <f>(1+Table1102[[#This Row],[Feb 19 
Price 
Drop or Growth]])*Table1102[[#This Row],[Market Value]]</f>
        <v>2637.12</v>
      </c>
      <c r="J11" s="14" t="s">
        <v>54</v>
      </c>
      <c r="K11" s="14" t="s">
        <v>20</v>
      </c>
      <c r="L11" s="14" t="s">
        <v>46</v>
      </c>
    </row>
    <row r="12" spans="1:12" ht="22.5" x14ac:dyDescent="0.25">
      <c r="A12" s="1">
        <v>11</v>
      </c>
      <c r="B12" s="7" t="s">
        <v>32</v>
      </c>
      <c r="C12" s="22">
        <v>131.69999999999999</v>
      </c>
      <c r="D12" s="8">
        <v>15</v>
      </c>
      <c r="E12" s="19">
        <f t="shared" si="0"/>
        <v>1975.4999999999998</v>
      </c>
      <c r="F12" s="26">
        <f t="shared" si="1"/>
        <v>4.5332632060118574E-2</v>
      </c>
      <c r="G12" s="19">
        <v>85.24</v>
      </c>
      <c r="H12" s="15">
        <v>0.5</v>
      </c>
      <c r="I12" s="17">
        <f>(1+Table1102[[#This Row],[Feb 19 
Price 
Drop or Growth]])*Table1102[[#This Row],[Market Value]]</f>
        <v>2963.2499999999995</v>
      </c>
      <c r="J12" s="14" t="s">
        <v>35</v>
      </c>
      <c r="K12" s="14" t="s">
        <v>14</v>
      </c>
      <c r="L12" s="14" t="s">
        <v>47</v>
      </c>
    </row>
    <row r="13" spans="1:12" ht="22.5" x14ac:dyDescent="0.25">
      <c r="A13" s="1">
        <v>12</v>
      </c>
      <c r="B13" s="7" t="s">
        <v>50</v>
      </c>
      <c r="C13" s="22">
        <v>150.13</v>
      </c>
      <c r="D13" s="8">
        <v>13</v>
      </c>
      <c r="E13" s="19">
        <f t="shared" si="0"/>
        <v>1951.69</v>
      </c>
      <c r="F13" s="26">
        <f t="shared" si="1"/>
        <v>4.4786253943514466E-2</v>
      </c>
      <c r="G13" s="3" t="s">
        <v>56</v>
      </c>
      <c r="H13" s="15">
        <v>0.15</v>
      </c>
      <c r="I13" s="17">
        <f>(1+Table1102[[#This Row],[Feb 19 
Price 
Drop or Growth]])*Table1102[[#This Row],[Market Value]]</f>
        <v>2244.4434999999999</v>
      </c>
      <c r="J13" s="14" t="s">
        <v>55</v>
      </c>
      <c r="K13" s="14" t="s">
        <v>15</v>
      </c>
      <c r="L13" s="14" t="s">
        <v>46</v>
      </c>
    </row>
    <row r="14" spans="1:12" ht="22.5" x14ac:dyDescent="0.25">
      <c r="A14" s="1">
        <v>13</v>
      </c>
      <c r="B14" s="7" t="s">
        <v>19</v>
      </c>
      <c r="C14" s="22">
        <v>85.98</v>
      </c>
      <c r="D14" s="8">
        <v>22</v>
      </c>
      <c r="E14" s="19">
        <f t="shared" si="0"/>
        <v>1891.5600000000002</v>
      </c>
      <c r="F14" s="26">
        <f t="shared" si="1"/>
        <v>4.340642546172508E-2</v>
      </c>
      <c r="G14" s="3">
        <v>2.12E-2</v>
      </c>
      <c r="H14" s="15">
        <v>0.2</v>
      </c>
      <c r="I14" s="17">
        <f>(1+Table1102[[#This Row],[Feb 19 
Price 
Drop or Growth]])*Table1102[[#This Row],[Market Value]]</f>
        <v>2269.8720000000003</v>
      </c>
      <c r="J14" s="14" t="s">
        <v>23</v>
      </c>
      <c r="K14" s="14" t="s">
        <v>20</v>
      </c>
      <c r="L14" s="14" t="s">
        <v>46</v>
      </c>
    </row>
    <row r="15" spans="1:12" ht="33.75" x14ac:dyDescent="0.25">
      <c r="A15" s="1">
        <v>14</v>
      </c>
      <c r="B15" s="7" t="s">
        <v>33</v>
      </c>
      <c r="C15" s="22">
        <v>72.39</v>
      </c>
      <c r="D15" s="8">
        <v>25</v>
      </c>
      <c r="E15" s="19">
        <f t="shared" si="0"/>
        <v>1809.75</v>
      </c>
      <c r="F15" s="26">
        <f t="shared" si="1"/>
        <v>4.152909687208281E-2</v>
      </c>
      <c r="G15" s="19">
        <v>262.51</v>
      </c>
      <c r="H15" s="15">
        <v>0.4</v>
      </c>
      <c r="I15" s="17">
        <f>(1+Table1102[[#This Row],[Feb 19 
Price 
Drop or Growth]])*Table1102[[#This Row],[Market Value]]</f>
        <v>2533.6499999999996</v>
      </c>
      <c r="J15" s="14" t="s">
        <v>36</v>
      </c>
      <c r="K15" s="14" t="s">
        <v>20</v>
      </c>
      <c r="L15" s="14" t="s">
        <v>47</v>
      </c>
    </row>
    <row r="16" spans="1:12" ht="22.5" x14ac:dyDescent="0.25">
      <c r="A16" s="1">
        <v>15</v>
      </c>
      <c r="B16" s="7" t="s">
        <v>3</v>
      </c>
      <c r="C16" s="22">
        <v>17.2</v>
      </c>
      <c r="D16" s="8">
        <v>100</v>
      </c>
      <c r="E16" s="19">
        <f t="shared" si="0"/>
        <v>1720</v>
      </c>
      <c r="F16" s="26">
        <f t="shared" si="1"/>
        <v>3.9469565752166008E-2</v>
      </c>
      <c r="G16" s="19">
        <v>38.799999999999997</v>
      </c>
      <c r="H16" s="15">
        <v>0.5</v>
      </c>
      <c r="I16" s="17">
        <f>(1+Table1102[[#This Row],[Feb 19 
Price 
Drop or Growth]])*Table1102[[#This Row],[Market Value]]</f>
        <v>2580</v>
      </c>
      <c r="J16" s="14" t="s">
        <v>25</v>
      </c>
      <c r="K16" s="14" t="s">
        <v>15</v>
      </c>
      <c r="L16" s="14" t="s">
        <v>47</v>
      </c>
    </row>
    <row r="17" spans="1:14" ht="22.5" x14ac:dyDescent="0.25">
      <c r="A17" s="1">
        <v>16</v>
      </c>
      <c r="B17" s="7" t="s">
        <v>42</v>
      </c>
      <c r="C17" s="22">
        <v>218.01</v>
      </c>
      <c r="D17" s="8">
        <v>7</v>
      </c>
      <c r="E17" s="19">
        <f t="shared" si="0"/>
        <v>1526.07</v>
      </c>
      <c r="F17" s="26">
        <f t="shared" si="1"/>
        <v>3.501937221360929E-2</v>
      </c>
      <c r="G17" s="19">
        <v>117.01</v>
      </c>
      <c r="H17" s="15">
        <v>0.5</v>
      </c>
      <c r="I17" s="17">
        <f>(1+Table1102[[#This Row],[Feb 19 
Price 
Drop or Growth]])*Table1102[[#This Row],[Market Value]]</f>
        <v>2289.105</v>
      </c>
      <c r="J17" s="14" t="s">
        <v>43</v>
      </c>
      <c r="K17" s="14" t="s">
        <v>39</v>
      </c>
      <c r="L17" s="14" t="s">
        <v>47</v>
      </c>
    </row>
    <row r="18" spans="1:14" x14ac:dyDescent="0.25">
      <c r="A18" s="1">
        <v>17</v>
      </c>
      <c r="B18" s="12" t="s">
        <v>6</v>
      </c>
      <c r="C18" s="22">
        <v>0</v>
      </c>
      <c r="E18" s="19">
        <f>Table1102[[#This Row],[Price]]</f>
        <v>0</v>
      </c>
      <c r="F18" s="26">
        <f t="shared" si="1"/>
        <v>0</v>
      </c>
      <c r="I18" s="17">
        <f>Table1102[[#This Row],[Market Value]]</f>
        <v>0</v>
      </c>
      <c r="J18" s="7"/>
      <c r="L18" s="2"/>
    </row>
    <row r="19" spans="1:14" ht="30" x14ac:dyDescent="0.25">
      <c r="B19" s="8" t="s">
        <v>66</v>
      </c>
      <c r="C19" s="22">
        <v>54575.94</v>
      </c>
      <c r="D19" s="9" t="s">
        <v>11</v>
      </c>
      <c r="E19" s="20">
        <f>SUM(E2:E18)</f>
        <v>43577.88</v>
      </c>
      <c r="H19" s="6" t="s">
        <v>8</v>
      </c>
      <c r="I19" s="18">
        <f>(SUM(I2:I18))</f>
        <v>59170.424500000008</v>
      </c>
      <c r="J19" s="6" t="s">
        <v>16</v>
      </c>
      <c r="K19" s="13">
        <f>((I19/E19)-1)</f>
        <v>0.35780869789902603</v>
      </c>
    </row>
    <row r="20" spans="1:14" x14ac:dyDescent="0.25">
      <c r="B20" s="7" t="s">
        <v>67</v>
      </c>
      <c r="C20" s="22">
        <v>30968</v>
      </c>
      <c r="D20" s="8" t="s">
        <v>68</v>
      </c>
      <c r="E20" s="19">
        <f>C19+C20</f>
        <v>85543.94</v>
      </c>
      <c r="G20" s="19">
        <v>81188.05</v>
      </c>
      <c r="I20" s="35">
        <f>G20-E20</f>
        <v>-4355.8899999999994</v>
      </c>
      <c r="J20" s="11"/>
      <c r="K20" s="16"/>
      <c r="L20" s="11"/>
    </row>
    <row r="21" spans="1:14" x14ac:dyDescent="0.25">
      <c r="F21" s="2" t="s">
        <v>13</v>
      </c>
      <c r="G21" s="19" t="s">
        <v>4</v>
      </c>
      <c r="I21" s="19" t="s">
        <v>9</v>
      </c>
      <c r="J21" s="11" t="s">
        <v>4</v>
      </c>
      <c r="K21" s="16"/>
      <c r="L21" s="11"/>
    </row>
    <row r="22" spans="1:14" x14ac:dyDescent="0.25">
      <c r="B22" s="8"/>
      <c r="F22" s="2" t="s">
        <v>35</v>
      </c>
      <c r="G22" s="11">
        <f>COUNTIF($J$2:$J$17,"Software")</f>
        <v>2</v>
      </c>
      <c r="I22" s="19" t="s">
        <v>14</v>
      </c>
      <c r="J22" s="11">
        <f>COUNTIF($K$2:$K$17,"Technology")</f>
        <v>5</v>
      </c>
      <c r="K22" s="16"/>
      <c r="L22" s="11"/>
    </row>
    <row r="23" spans="1:14" ht="30" x14ac:dyDescent="0.25">
      <c r="F23" s="2" t="s">
        <v>61</v>
      </c>
      <c r="G23" s="11">
        <f>COUNTIF($J$2:$J$17,"ETF")</f>
        <v>2</v>
      </c>
      <c r="I23" s="23" t="s">
        <v>20</v>
      </c>
      <c r="J23" s="11">
        <f>COUNTIF($K$2:$K$17,"Consumer Cyclical")</f>
        <v>5</v>
      </c>
      <c r="K23" s="16"/>
      <c r="L23" s="11"/>
    </row>
    <row r="24" spans="1:14" ht="30" x14ac:dyDescent="0.25">
      <c r="F24" s="2" t="s">
        <v>22</v>
      </c>
      <c r="G24" s="11">
        <f>COUNTIF($J$2:$J$17,"Semiconductor")</f>
        <v>1</v>
      </c>
      <c r="I24" s="19" t="s">
        <v>15</v>
      </c>
      <c r="J24" s="11">
        <f>COUNTIF($K$2:$K$17,"Industrial")</f>
        <v>2</v>
      </c>
      <c r="K24" s="2"/>
      <c r="L24" s="11"/>
      <c r="M24" s="19" t="s">
        <v>9</v>
      </c>
      <c r="N24" s="11" t="s">
        <v>4</v>
      </c>
    </row>
    <row r="25" spans="1:14" ht="30" x14ac:dyDescent="0.25">
      <c r="F25" s="2" t="s">
        <v>21</v>
      </c>
      <c r="G25" s="11">
        <f>COUNTIF($J$2:$J$17,"Internet Retail")</f>
        <v>1</v>
      </c>
      <c r="I25" s="19" t="s">
        <v>39</v>
      </c>
      <c r="J25" s="11">
        <f>COUNTIF($K$2:$K$17,"Healthcare")</f>
        <v>2</v>
      </c>
      <c r="K25" s="16"/>
      <c r="L25" s="11"/>
      <c r="M25" s="19" t="s">
        <v>47</v>
      </c>
      <c r="N25" s="11">
        <f>COUNTIF(L2:L17,"NASDAQ or Other")</f>
        <v>7</v>
      </c>
    </row>
    <row r="26" spans="1:14" ht="45" x14ac:dyDescent="0.25">
      <c r="F26" s="2" t="s">
        <v>27</v>
      </c>
      <c r="G26" s="11">
        <f>COUNTIF($J$2:$J$17,"Internet Content &amp; Information")</f>
        <v>1</v>
      </c>
      <c r="I26" s="19" t="s">
        <v>26</v>
      </c>
      <c r="J26" s="11">
        <f>COUNTIF($K$2:$K$17,"Communication Services")</f>
        <v>1</v>
      </c>
      <c r="K26" s="16"/>
      <c r="L26" s="11"/>
      <c r="M26" s="23" t="s">
        <v>46</v>
      </c>
      <c r="N26" s="11">
        <f>COUNTIF($L$2:$L$17,"S&amp;P")</f>
        <v>7</v>
      </c>
    </row>
    <row r="27" spans="1:14" ht="45" x14ac:dyDescent="0.25">
      <c r="F27" s="2" t="s">
        <v>54</v>
      </c>
      <c r="G27" s="11">
        <f>COUNTIF($J$2:$J$17,"Home Improvement Retail")</f>
        <v>1</v>
      </c>
      <c r="I27" s="19" t="s">
        <v>40</v>
      </c>
      <c r="J27" s="11">
        <f>COUNTIF($K$2:$K$17,"Consumer Staples")</f>
        <v>1</v>
      </c>
      <c r="K27" s="16"/>
      <c r="L27" s="11"/>
      <c r="M27" s="19" t="s">
        <v>45</v>
      </c>
      <c r="N27" s="11">
        <f>COUNTIF($L$2:$L$17,"Dow, S&amp;P")</f>
        <v>2</v>
      </c>
    </row>
    <row r="28" spans="1:14" ht="30" x14ac:dyDescent="0.25">
      <c r="F28" s="2" t="s">
        <v>25</v>
      </c>
      <c r="G28" s="11">
        <f>COUNTIF($J$2:$J$17,"Aerospace &amp; Defence")</f>
        <v>1</v>
      </c>
      <c r="I28" s="19" t="s">
        <v>10</v>
      </c>
      <c r="J28" s="5">
        <f>SUM(J22:J27)</f>
        <v>16</v>
      </c>
      <c r="K28" s="16"/>
      <c r="L28" s="11"/>
    </row>
    <row r="29" spans="1:14" ht="45" x14ac:dyDescent="0.25">
      <c r="F29" s="2" t="s">
        <v>28</v>
      </c>
      <c r="G29" s="11">
        <f>COUNTIF($J$2:$J$17,"Auto Manufacturers")</f>
        <v>1</v>
      </c>
      <c r="J29" s="5"/>
      <c r="K29" s="16"/>
      <c r="L29" s="11"/>
    </row>
    <row r="30" spans="1:14" ht="30" x14ac:dyDescent="0.25">
      <c r="B30" s="25"/>
      <c r="C30" s="1"/>
      <c r="F30" s="2" t="s">
        <v>24</v>
      </c>
      <c r="G30" s="11">
        <f>COUNTIF($J$2:$J$17,"Consumer Electronics")</f>
        <v>1</v>
      </c>
      <c r="J30" s="5"/>
      <c r="K30" s="16"/>
      <c r="L30" s="11"/>
    </row>
    <row r="31" spans="1:14" ht="45" x14ac:dyDescent="0.25">
      <c r="B31" s="24"/>
      <c r="C31" s="1"/>
      <c r="F31" s="2" t="s">
        <v>55</v>
      </c>
      <c r="G31" s="11">
        <f>COUNTIF($J$2:$J$17,"Farm &amp; Heavy Construction")</f>
        <v>1</v>
      </c>
      <c r="J31" s="5"/>
      <c r="K31" s="16"/>
      <c r="L31" s="11"/>
    </row>
    <row r="32" spans="1:14" x14ac:dyDescent="0.25">
      <c r="B32" s="24"/>
      <c r="C32" s="1"/>
      <c r="F32" s="2" t="s">
        <v>36</v>
      </c>
      <c r="G32" s="11">
        <f>COUNTIF($J$2:$J$17,"Leisure")</f>
        <v>1</v>
      </c>
      <c r="J32" s="11"/>
      <c r="K32" s="16"/>
      <c r="L32" s="11"/>
    </row>
    <row r="33" spans="2:14" ht="30" x14ac:dyDescent="0.25">
      <c r="B33" s="24"/>
      <c r="C33" s="1"/>
      <c r="F33" s="2" t="s">
        <v>41</v>
      </c>
      <c r="G33" s="11">
        <f>COUNTIF($J$2:$J$17,"Packaged Foods")</f>
        <v>1</v>
      </c>
      <c r="K33" s="16"/>
      <c r="L33" s="11"/>
      <c r="M33" s="11"/>
      <c r="N33" s="11"/>
    </row>
    <row r="34" spans="2:14" ht="45" x14ac:dyDescent="0.25">
      <c r="B34" s="24"/>
      <c r="C34" s="1"/>
      <c r="F34" s="2" t="s">
        <v>43</v>
      </c>
      <c r="G34" s="11">
        <f>COUNTIF($J$2:$J$17,"Health Information Services")</f>
        <v>1</v>
      </c>
      <c r="K34" s="16"/>
      <c r="L34" s="11"/>
      <c r="M34" s="11"/>
      <c r="N34" s="11"/>
    </row>
    <row r="35" spans="2:14" x14ac:dyDescent="0.25">
      <c r="B35" s="24"/>
      <c r="C35" s="1"/>
      <c r="F35" s="2" t="s">
        <v>23</v>
      </c>
      <c r="G35" s="28">
        <f>COUNTIF($J$2:$J$18,"Restaurants")</f>
        <v>1</v>
      </c>
      <c r="K35" s="16"/>
      <c r="L35" s="11"/>
      <c r="M35" s="11"/>
      <c r="N35" s="11"/>
    </row>
    <row r="36" spans="2:14" x14ac:dyDescent="0.25">
      <c r="B36" s="24"/>
      <c r="C36" s="1"/>
      <c r="F36" s="2" t="s">
        <v>10</v>
      </c>
      <c r="G36" s="5">
        <f>SUM(G22:G35)</f>
        <v>16</v>
      </c>
      <c r="K36" s="16"/>
      <c r="L36" s="11"/>
      <c r="M36" s="11"/>
      <c r="N36" s="11"/>
    </row>
    <row r="37" spans="2:14" x14ac:dyDescent="0.25">
      <c r="B37" s="24"/>
      <c r="C37" s="24"/>
      <c r="K37" s="16"/>
      <c r="L37" s="11"/>
      <c r="M37" s="11"/>
      <c r="N37" s="11"/>
    </row>
    <row r="38" spans="2:14" x14ac:dyDescent="0.25">
      <c r="C38" s="24"/>
      <c r="K38" s="16"/>
      <c r="L38" s="11"/>
      <c r="M38" s="11"/>
      <c r="N38" s="11"/>
    </row>
    <row r="39" spans="2:14" x14ac:dyDescent="0.25">
      <c r="C39" s="24"/>
      <c r="M39" s="11"/>
      <c r="N39" s="11"/>
    </row>
    <row r="40" spans="2:14" x14ac:dyDescent="0.25">
      <c r="C40" s="24"/>
      <c r="M40" s="11"/>
      <c r="N40" s="11"/>
    </row>
    <row r="41" spans="2:14" x14ac:dyDescent="0.25">
      <c r="C41" s="24"/>
      <c r="M41" s="11"/>
      <c r="N41" s="11"/>
    </row>
    <row r="42" spans="2:14" x14ac:dyDescent="0.25">
      <c r="C42" s="24"/>
      <c r="M42" s="11"/>
      <c r="N42" s="11"/>
    </row>
    <row r="43" spans="2:14" x14ac:dyDescent="0.25">
      <c r="C43" s="24"/>
      <c r="M43" s="11"/>
      <c r="N43" s="11"/>
    </row>
    <row r="44" spans="2:14" x14ac:dyDescent="0.25">
      <c r="C44" s="24"/>
      <c r="M44" s="11"/>
      <c r="N44" s="11"/>
    </row>
    <row r="45" spans="2:14" x14ac:dyDescent="0.25">
      <c r="C45" s="24"/>
      <c r="M45" s="11"/>
      <c r="N45" s="11"/>
    </row>
    <row r="46" spans="2:14" x14ac:dyDescent="0.25">
      <c r="C46" s="24"/>
      <c r="M46" s="11"/>
      <c r="N46" s="11"/>
    </row>
    <row r="47" spans="2:14" x14ac:dyDescent="0.25">
      <c r="C47" s="24"/>
      <c r="M47" s="11"/>
      <c r="N47" s="11"/>
    </row>
    <row r="48" spans="2:14" x14ac:dyDescent="0.25">
      <c r="C48" s="24"/>
      <c r="M48" s="11"/>
      <c r="N48" s="11"/>
    </row>
    <row r="49" spans="3:14" x14ac:dyDescent="0.25">
      <c r="C49" s="24"/>
      <c r="M49" s="11"/>
      <c r="N49" s="11"/>
    </row>
    <row r="50" spans="3:14" x14ac:dyDescent="0.25">
      <c r="C50" s="24"/>
      <c r="M50" s="11"/>
      <c r="N50" s="11"/>
    </row>
    <row r="51" spans="3:14" x14ac:dyDescent="0.25">
      <c r="C51" s="24"/>
      <c r="M51" s="11"/>
      <c r="N51" s="11"/>
    </row>
    <row r="52" spans="3:14" x14ac:dyDescent="0.25">
      <c r="C52" s="24"/>
    </row>
    <row r="53" spans="3:14" x14ac:dyDescent="0.25">
      <c r="C53" s="24"/>
    </row>
    <row r="54" spans="3:14" x14ac:dyDescent="0.25">
      <c r="C54" s="24"/>
    </row>
    <row r="55" spans="3:14" x14ac:dyDescent="0.25">
      <c r="C55" s="24"/>
    </row>
    <row r="56" spans="3:14" x14ac:dyDescent="0.25">
      <c r="C56" s="24"/>
    </row>
    <row r="57" spans="3:14" x14ac:dyDescent="0.25">
      <c r="C57" s="24"/>
    </row>
    <row r="58" spans="3:14" x14ac:dyDescent="0.25">
      <c r="C58" s="24"/>
    </row>
  </sheetData>
  <conditionalFormatting sqref="F2:F9 F18 F11:F1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{19D1BBDB-CCEF-43EE-905F-E353EC4BB03A}</x14:id>
        </ext>
      </extLst>
    </cfRule>
  </conditionalFormatting>
  <conditionalFormatting sqref="F2:F9 F11:F1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{30B5CC11-4E25-4C24-B749-32201A5C4FD2}</x14:id>
        </ext>
      </extLst>
    </cfRule>
  </conditionalFormatting>
  <conditionalFormatting sqref="F16:F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{1BE2C0DD-47EE-42E1-BDB6-CB69D042E5DB}</x14:id>
        </ext>
      </extLst>
    </cfRule>
  </conditionalFormatting>
  <conditionalFormatting sqref="F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{66815549-1B19-4B35-A779-60200016CD2E}</x14:id>
        </ext>
      </extLst>
    </cfRule>
  </conditionalFormatting>
  <conditionalFormatting sqref="F2:F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{DA8DEB48-B9F1-4F7F-97FE-B3891073967C}</x14:id>
        </ext>
      </extLs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D1BBDB-CCEF-43EE-905F-E353EC4BB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F2:F9 F18 F11:F15</xm:sqref>
        </x14:conditionalFormatting>
        <x14:conditionalFormatting xmlns:xm="http://schemas.microsoft.com/office/excel/2006/main">
          <x14:cfRule type="dataBar" id="{30B5CC11-4E25-4C24-B749-32201A5C4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F2:F9 F11:F15</xm:sqref>
        </x14:conditionalFormatting>
        <x14:conditionalFormatting xmlns:xm="http://schemas.microsoft.com/office/excel/2006/main">
          <x14:cfRule type="dataBar" id="{1BE2C0DD-47EE-42E1-BDB6-CB69D042E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66815549-1B19-4B35-A779-60200016C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DA8DEB48-B9F1-4F7F-97FE-B38910739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166-46C5-4EA1-A36B-801DACCB23B5}">
  <dimension ref="A1:N53"/>
  <sheetViews>
    <sheetView zoomScale="120" zoomScaleNormal="120" workbookViewId="0">
      <selection activeCell="G14" sqref="G14"/>
    </sheetView>
  </sheetViews>
  <sheetFormatPr defaultRowHeight="15" x14ac:dyDescent="0.25"/>
  <cols>
    <col min="1" max="1" width="3.28515625" style="1" bestFit="1" customWidth="1"/>
    <col min="2" max="2" width="10.42578125" style="7" bestFit="1" customWidth="1"/>
    <col min="3" max="3" width="9.42578125" style="22" bestFit="1" customWidth="1"/>
    <col min="4" max="4" width="11.42578125" style="8" bestFit="1" customWidth="1"/>
    <col min="5" max="5" width="10" style="19" bestFit="1" customWidth="1"/>
    <col min="6" max="6" width="12.85546875" style="3" bestFit="1" customWidth="1"/>
    <col min="7" max="7" width="11.28515625" style="19" bestFit="1" customWidth="1"/>
    <col min="8" max="8" width="11.28515625" style="4" bestFit="1" customWidth="1"/>
    <col min="9" max="9" width="12.85546875" style="19" customWidth="1"/>
    <col min="10" max="10" width="11.140625" style="10" customWidth="1"/>
    <col min="11" max="11" width="12.7109375" style="7" customWidth="1"/>
    <col min="12" max="16384" width="9.140625" style="1"/>
  </cols>
  <sheetData>
    <row r="1" spans="1:12" s="2" customFormat="1" ht="60" x14ac:dyDescent="0.25">
      <c r="A1" s="2" t="s">
        <v>4</v>
      </c>
      <c r="B1" s="7" t="s">
        <v>5</v>
      </c>
      <c r="C1" s="22" t="s">
        <v>29</v>
      </c>
      <c r="D1" s="8" t="s">
        <v>0</v>
      </c>
      <c r="E1" s="19" t="s">
        <v>59</v>
      </c>
      <c r="F1" s="3" t="s">
        <v>1</v>
      </c>
      <c r="G1" s="19" t="s">
        <v>7</v>
      </c>
      <c r="H1" s="4" t="s">
        <v>31</v>
      </c>
      <c r="I1" s="17" t="s">
        <v>34</v>
      </c>
      <c r="J1" s="7" t="s">
        <v>13</v>
      </c>
      <c r="K1" s="7" t="s">
        <v>9</v>
      </c>
      <c r="L1" s="7" t="s">
        <v>44</v>
      </c>
    </row>
    <row r="2" spans="1:12" ht="22.5" x14ac:dyDescent="0.25">
      <c r="A2" s="1">
        <v>1</v>
      </c>
      <c r="B2" s="7" t="s">
        <v>2</v>
      </c>
      <c r="C2" s="22">
        <v>333.82</v>
      </c>
      <c r="D2" s="8">
        <v>17</v>
      </c>
      <c r="E2" s="19">
        <f t="shared" ref="E2:E12" si="0">C2*D2</f>
        <v>5674.94</v>
      </c>
      <c r="F2" s="26">
        <f t="shared" ref="F2:F13" si="1">(E2/$E$14)</f>
        <v>0.1701021163025194</v>
      </c>
      <c r="G2" s="19">
        <v>915</v>
      </c>
      <c r="H2" s="15">
        <v>0.5</v>
      </c>
      <c r="I2" s="17">
        <f>(1+Table110[[#This Row],[Feb 19 
Price 
Drop or Growth]])*Table110[[#This Row],[Cost Basis]]</f>
        <v>8512.41</v>
      </c>
      <c r="J2" s="14" t="s">
        <v>28</v>
      </c>
      <c r="K2" s="14" t="s">
        <v>20</v>
      </c>
      <c r="L2" s="14" t="s">
        <v>47</v>
      </c>
    </row>
    <row r="3" spans="1:12" ht="22.5" x14ac:dyDescent="0.25">
      <c r="A3" s="1">
        <v>2</v>
      </c>
      <c r="B3" s="7" t="s">
        <v>12</v>
      </c>
      <c r="C3" s="22">
        <v>1575.22</v>
      </c>
      <c r="D3" s="8">
        <v>3</v>
      </c>
      <c r="E3" s="19">
        <f t="shared" si="0"/>
        <v>4725.66</v>
      </c>
      <c r="F3" s="26">
        <f t="shared" si="1"/>
        <v>0.14164815256657581</v>
      </c>
      <c r="G3" s="19">
        <v>1525</v>
      </c>
      <c r="H3" s="15">
        <v>0.2</v>
      </c>
      <c r="I3" s="17">
        <f>(1+Table110[[#This Row],[Feb 19 
Price 
Drop or Growth]])*Table110[[#This Row],[Cost Basis]]</f>
        <v>5670.7919999999995</v>
      </c>
      <c r="J3" s="14" t="s">
        <v>27</v>
      </c>
      <c r="K3" s="14" t="s">
        <v>26</v>
      </c>
      <c r="L3" s="14" t="s">
        <v>46</v>
      </c>
    </row>
    <row r="4" spans="1:12" ht="33.75" x14ac:dyDescent="0.25">
      <c r="A4" s="1">
        <v>3</v>
      </c>
      <c r="B4" s="7" t="s">
        <v>18</v>
      </c>
      <c r="C4" s="22">
        <v>112.7</v>
      </c>
      <c r="D4" s="8">
        <v>40</v>
      </c>
      <c r="E4" s="19">
        <f t="shared" si="0"/>
        <v>4508</v>
      </c>
      <c r="F4" s="26">
        <f t="shared" si="1"/>
        <v>0.13512395554697626</v>
      </c>
      <c r="G4" s="21">
        <v>323.39999999999998</v>
      </c>
      <c r="H4" s="15">
        <v>0.3</v>
      </c>
      <c r="I4" s="17">
        <f>(1+Table110[[#This Row],[Feb 19 
Price 
Drop or Growth]])*Table110[[#This Row],[Cost Basis]]</f>
        <v>5860.4000000000005</v>
      </c>
      <c r="J4" s="14" t="s">
        <v>24</v>
      </c>
      <c r="K4" s="14" t="s">
        <v>14</v>
      </c>
      <c r="L4" s="14" t="s">
        <v>45</v>
      </c>
    </row>
    <row r="5" spans="1:12" ht="22.5" x14ac:dyDescent="0.25">
      <c r="A5" s="1">
        <v>4</v>
      </c>
      <c r="B5" s="7" t="s">
        <v>30</v>
      </c>
      <c r="C5" s="22">
        <v>212.28</v>
      </c>
      <c r="D5" s="8">
        <v>20</v>
      </c>
      <c r="E5" s="19">
        <f t="shared" si="0"/>
        <v>4245.6000000000004</v>
      </c>
      <c r="F5" s="26">
        <f t="shared" si="1"/>
        <v>0.12725871021966337</v>
      </c>
      <c r="G5" s="19">
        <v>187.28</v>
      </c>
      <c r="H5" s="15">
        <v>0.35</v>
      </c>
      <c r="I5" s="17">
        <f>(1+Table110[[#This Row],[Feb 19 
Price 
Drop or Growth]])*Table110[[#This Row],[Cost Basis]]</f>
        <v>5731.5600000000013</v>
      </c>
      <c r="J5" s="14" t="s">
        <v>35</v>
      </c>
      <c r="K5" s="14" t="s">
        <v>14</v>
      </c>
      <c r="L5" s="14" t="s">
        <v>45</v>
      </c>
    </row>
    <row r="6" spans="1:12" x14ac:dyDescent="0.25">
      <c r="A6" s="1">
        <v>5</v>
      </c>
      <c r="B6" s="7" t="s">
        <v>48</v>
      </c>
      <c r="C6" s="22">
        <v>3133.37</v>
      </c>
      <c r="D6" s="8">
        <v>1</v>
      </c>
      <c r="E6" s="19">
        <f t="shared" si="0"/>
        <v>3133.37</v>
      </c>
      <c r="F6" s="26">
        <f t="shared" si="1"/>
        <v>9.3920441125161708E-2</v>
      </c>
      <c r="G6" s="19">
        <v>2170.2199999999998</v>
      </c>
      <c r="H6" s="15">
        <v>0.4</v>
      </c>
      <c r="I6" s="17">
        <f>(1+Table110[[#This Row],[Feb 19 
Price 
Drop or Growth]])*Table110[[#This Row],[Cost Basis]]</f>
        <v>4386.7179999999998</v>
      </c>
      <c r="J6" s="14" t="s">
        <v>21</v>
      </c>
      <c r="K6" s="14" t="s">
        <v>20</v>
      </c>
      <c r="L6" s="14" t="s">
        <v>46</v>
      </c>
    </row>
    <row r="7" spans="1:12" x14ac:dyDescent="0.25">
      <c r="A7" s="1">
        <v>6</v>
      </c>
      <c r="B7" s="7" t="s">
        <v>17</v>
      </c>
      <c r="C7" s="22">
        <v>488.83</v>
      </c>
      <c r="D7" s="8">
        <v>6</v>
      </c>
      <c r="E7" s="19">
        <f t="shared" si="0"/>
        <v>2932.98</v>
      </c>
      <c r="F7" s="26">
        <f t="shared" si="1"/>
        <v>8.791389954307241E-2</v>
      </c>
      <c r="G7" s="19">
        <v>316.39999999999998</v>
      </c>
      <c r="H7" s="15">
        <v>0.5</v>
      </c>
      <c r="I7" s="17">
        <f>(1+Table110[[#This Row],[Feb 19 
Price 
Drop or Growth]])*Table110[[#This Row],[Cost Basis]]</f>
        <v>4399.47</v>
      </c>
      <c r="J7" s="14" t="s">
        <v>22</v>
      </c>
      <c r="K7" s="14" t="s">
        <v>14</v>
      </c>
      <c r="L7" s="14" t="s">
        <v>46</v>
      </c>
    </row>
    <row r="8" spans="1:12" ht="22.5" x14ac:dyDescent="0.25">
      <c r="A8" s="1">
        <v>7</v>
      </c>
      <c r="B8" s="7" t="s">
        <v>32</v>
      </c>
      <c r="C8" s="22">
        <v>131.69999999999999</v>
      </c>
      <c r="D8" s="8">
        <v>15</v>
      </c>
      <c r="E8" s="19">
        <f t="shared" si="0"/>
        <v>1975.4999999999998</v>
      </c>
      <c r="F8" s="26">
        <f t="shared" si="1"/>
        <v>5.9214146890650306E-2</v>
      </c>
      <c r="G8" s="19">
        <v>85.24</v>
      </c>
      <c r="H8" s="15">
        <v>0.5</v>
      </c>
      <c r="I8" s="17">
        <f>(1+Table110[[#This Row],[Feb 19 
Price 
Drop or Growth]])*Table110[[#This Row],[Cost Basis]]</f>
        <v>2963.2499999999995</v>
      </c>
      <c r="J8" s="14" t="s">
        <v>35</v>
      </c>
      <c r="K8" s="14" t="s">
        <v>14</v>
      </c>
      <c r="L8" s="14" t="s">
        <v>47</v>
      </c>
    </row>
    <row r="9" spans="1:12" ht="22.5" x14ac:dyDescent="0.25">
      <c r="A9" s="1">
        <v>8</v>
      </c>
      <c r="B9" s="7" t="s">
        <v>38</v>
      </c>
      <c r="C9" s="22">
        <v>133.08000000000001</v>
      </c>
      <c r="D9" s="8">
        <v>13</v>
      </c>
      <c r="E9" s="19">
        <f t="shared" si="0"/>
        <v>1730.0400000000002</v>
      </c>
      <c r="F9" s="26">
        <f t="shared" si="1"/>
        <v>5.1856665495672326E-2</v>
      </c>
      <c r="G9" s="19">
        <v>125.17</v>
      </c>
      <c r="H9" s="15">
        <v>0.3</v>
      </c>
      <c r="I9" s="17">
        <f>(1+Table110[[#This Row],[Feb 19 
Price 
Drop or Growth]])*Table110[[#This Row],[Cost Basis]]</f>
        <v>2249.0520000000001</v>
      </c>
      <c r="J9" s="14" t="s">
        <v>41</v>
      </c>
      <c r="K9" s="14" t="s">
        <v>40</v>
      </c>
      <c r="L9" s="14" t="s">
        <v>47</v>
      </c>
    </row>
    <row r="10" spans="1:12" ht="22.5" x14ac:dyDescent="0.25">
      <c r="A10" s="1">
        <v>9</v>
      </c>
      <c r="B10" s="7" t="s">
        <v>42</v>
      </c>
      <c r="C10" s="22">
        <v>218.01</v>
      </c>
      <c r="D10" s="8">
        <v>7</v>
      </c>
      <c r="E10" s="19">
        <f t="shared" si="0"/>
        <v>1526.07</v>
      </c>
      <c r="F10" s="26">
        <f t="shared" si="1"/>
        <v>4.5742816069559461E-2</v>
      </c>
      <c r="G10" s="19">
        <v>117.01</v>
      </c>
      <c r="H10" s="15">
        <v>0.5</v>
      </c>
      <c r="I10" s="17">
        <f>(1+Table110[[#This Row],[Feb 19 
Price 
Drop or Growth]])*Table110[[#This Row],[Cost Basis]]</f>
        <v>2289.105</v>
      </c>
      <c r="J10" s="14" t="s">
        <v>43</v>
      </c>
      <c r="K10" s="14" t="s">
        <v>39</v>
      </c>
      <c r="L10" s="14" t="s">
        <v>47</v>
      </c>
    </row>
    <row r="11" spans="1:12" ht="22.5" x14ac:dyDescent="0.25">
      <c r="A11" s="1">
        <v>10</v>
      </c>
      <c r="B11" s="7" t="s">
        <v>3</v>
      </c>
      <c r="C11" s="22">
        <v>17.2</v>
      </c>
      <c r="D11" s="8">
        <v>85</v>
      </c>
      <c r="E11" s="19">
        <f t="shared" si="0"/>
        <v>1462</v>
      </c>
      <c r="F11" s="26">
        <f t="shared" si="1"/>
        <v>4.3822365352635159E-2</v>
      </c>
      <c r="G11" s="19">
        <v>38.799999999999997</v>
      </c>
      <c r="H11" s="15">
        <v>0.5</v>
      </c>
      <c r="I11" s="17">
        <f>(1+Table110[[#This Row],[Feb 19 
Price 
Drop or Growth]])*Table110[[#This Row],[Cost Basis]]</f>
        <v>2193</v>
      </c>
      <c r="J11" s="14" t="s">
        <v>25</v>
      </c>
      <c r="K11" s="14" t="s">
        <v>15</v>
      </c>
      <c r="L11" s="14" t="s">
        <v>47</v>
      </c>
    </row>
    <row r="12" spans="1:12" ht="33.75" x14ac:dyDescent="0.25">
      <c r="A12" s="1">
        <v>11</v>
      </c>
      <c r="B12" s="7" t="s">
        <v>33</v>
      </c>
      <c r="C12" s="22">
        <v>72.39</v>
      </c>
      <c r="D12" s="8">
        <v>20</v>
      </c>
      <c r="E12" s="19">
        <f t="shared" si="0"/>
        <v>1447.8</v>
      </c>
      <c r="F12" s="26">
        <f t="shared" si="1"/>
        <v>4.33967308875138E-2</v>
      </c>
      <c r="G12" s="19">
        <v>262.51</v>
      </c>
      <c r="H12" s="15">
        <v>0.4</v>
      </c>
      <c r="I12" s="17">
        <f>(1+Table110[[#This Row],[Feb 19 
Price 
Drop or Growth]])*Table110[[#This Row],[Cost Basis]]</f>
        <v>2026.9199999999998</v>
      </c>
      <c r="J12" s="14" t="s">
        <v>36</v>
      </c>
      <c r="K12" s="14" t="s">
        <v>20</v>
      </c>
      <c r="L12" s="14" t="s">
        <v>47</v>
      </c>
    </row>
    <row r="13" spans="1:12" x14ac:dyDescent="0.25">
      <c r="A13" s="1">
        <v>12</v>
      </c>
      <c r="B13" s="12" t="s">
        <v>6</v>
      </c>
      <c r="C13" s="22">
        <v>0</v>
      </c>
      <c r="E13" s="19">
        <f>Table110[[#This Row],[Price]]</f>
        <v>0</v>
      </c>
      <c r="F13" s="26">
        <f t="shared" si="1"/>
        <v>0</v>
      </c>
      <c r="I13" s="17">
        <f>Table110[[#This Row],[Cost Basis]]</f>
        <v>0</v>
      </c>
      <c r="J13" s="7"/>
      <c r="L13" s="2"/>
    </row>
    <row r="14" spans="1:12" ht="30" x14ac:dyDescent="0.25">
      <c r="D14" s="9" t="s">
        <v>60</v>
      </c>
      <c r="E14" s="20">
        <f>SUM(E2:E13)</f>
        <v>33361.96</v>
      </c>
      <c r="H14" s="6" t="s">
        <v>8</v>
      </c>
      <c r="I14" s="18">
        <f>(SUM(I2:I13))</f>
        <v>46282.677000000003</v>
      </c>
      <c r="J14" s="6" t="s">
        <v>16</v>
      </c>
      <c r="K14" s="13">
        <f>((I14/E14)-1)</f>
        <v>0.38728890628728063</v>
      </c>
    </row>
    <row r="15" spans="1:12" x14ac:dyDescent="0.25">
      <c r="J15" s="11"/>
      <c r="K15" s="16"/>
      <c r="L15" s="11"/>
    </row>
    <row r="16" spans="1:12" x14ac:dyDescent="0.25">
      <c r="F16" s="2" t="s">
        <v>13</v>
      </c>
      <c r="G16" s="19" t="s">
        <v>4</v>
      </c>
      <c r="I16" s="19" t="s">
        <v>9</v>
      </c>
      <c r="J16" s="11" t="s">
        <v>4</v>
      </c>
      <c r="K16" s="16"/>
      <c r="L16" s="11"/>
    </row>
    <row r="17" spans="2:14" x14ac:dyDescent="0.25">
      <c r="B17" s="8"/>
      <c r="F17" s="2" t="s">
        <v>35</v>
      </c>
      <c r="G17" s="11">
        <f>COUNTIF($J$2:$J$12,"Software")</f>
        <v>2</v>
      </c>
      <c r="I17" s="19" t="s">
        <v>14</v>
      </c>
      <c r="J17" s="11">
        <f>COUNTIF($K$2:$K$12,"Technology")</f>
        <v>4</v>
      </c>
      <c r="K17" s="16"/>
      <c r="L17" s="11"/>
    </row>
    <row r="18" spans="2:14" ht="30" x14ac:dyDescent="0.25">
      <c r="F18" s="2" t="s">
        <v>21</v>
      </c>
      <c r="G18" s="11">
        <f>COUNTIF($J$2:$J$12,"Internet Retail")</f>
        <v>1</v>
      </c>
      <c r="I18" s="23" t="s">
        <v>20</v>
      </c>
      <c r="J18" s="11">
        <f>COUNTIF($K$2:$K$12,"Consumer Cyclical")</f>
        <v>3</v>
      </c>
      <c r="K18" s="16"/>
      <c r="L18" s="11"/>
    </row>
    <row r="19" spans="2:14" ht="30" x14ac:dyDescent="0.25">
      <c r="F19" s="2" t="s">
        <v>22</v>
      </c>
      <c r="G19" s="11">
        <f>COUNTIF($J$2:$J$12,"Semiconductor")</f>
        <v>1</v>
      </c>
      <c r="I19" s="19" t="s">
        <v>26</v>
      </c>
      <c r="J19" s="11">
        <f>COUNTIF($K$2:$K$12,"Communication Services")</f>
        <v>1</v>
      </c>
      <c r="K19" s="2"/>
      <c r="L19" s="11"/>
    </row>
    <row r="20" spans="2:14" ht="45" x14ac:dyDescent="0.25">
      <c r="F20" s="2" t="s">
        <v>27</v>
      </c>
      <c r="G20" s="11">
        <f>COUNTIF($J$2:$J$12,"Internet Content &amp; Information")</f>
        <v>1</v>
      </c>
      <c r="I20" s="19" t="s">
        <v>15</v>
      </c>
      <c r="J20" s="11">
        <f>COUNTIF($K$2:$K$12,"Industrial")</f>
        <v>1</v>
      </c>
      <c r="K20" s="16"/>
      <c r="L20" s="11"/>
    </row>
    <row r="21" spans="2:14" ht="30" x14ac:dyDescent="0.25">
      <c r="F21" s="2" t="s">
        <v>25</v>
      </c>
      <c r="G21" s="11">
        <f>COUNTIF($J$2:$J$12,"Aerospace &amp; Defence")</f>
        <v>1</v>
      </c>
      <c r="I21" s="19" t="s">
        <v>40</v>
      </c>
      <c r="J21" s="11">
        <f>COUNTIF($K$2:$K$12,"Consumer Staples")</f>
        <v>1</v>
      </c>
      <c r="K21" s="16"/>
      <c r="L21" s="11"/>
    </row>
    <row r="22" spans="2:14" ht="45" x14ac:dyDescent="0.25">
      <c r="F22" s="2" t="s">
        <v>28</v>
      </c>
      <c r="G22" s="11">
        <f>COUNTIF($J$2:$J$12,"Auto Manufacturers")</f>
        <v>1</v>
      </c>
      <c r="I22" s="19" t="s">
        <v>39</v>
      </c>
      <c r="J22" s="11">
        <f>COUNTIF($K$2:$K$12,"Healthcare")</f>
        <v>1</v>
      </c>
      <c r="K22" s="16"/>
      <c r="L22" s="11"/>
    </row>
    <row r="23" spans="2:14" ht="30" x14ac:dyDescent="0.25">
      <c r="F23" s="2" t="s">
        <v>24</v>
      </c>
      <c r="G23" s="11">
        <f>COUNTIF($J$2:$J$12,"Consumer Electronics")</f>
        <v>1</v>
      </c>
      <c r="I23" s="19" t="s">
        <v>10</v>
      </c>
      <c r="J23" s="5">
        <f>SUM(J17:J22)</f>
        <v>11</v>
      </c>
      <c r="K23" s="16"/>
      <c r="L23" s="11"/>
    </row>
    <row r="24" spans="2:14" x14ac:dyDescent="0.25">
      <c r="F24" s="2" t="s">
        <v>36</v>
      </c>
      <c r="G24" s="11">
        <f>COUNTIF($J$2:$J$12,"Leisure")</f>
        <v>1</v>
      </c>
      <c r="J24" s="5"/>
      <c r="K24" s="16"/>
      <c r="L24" s="11"/>
      <c r="M24" s="19" t="s">
        <v>9</v>
      </c>
      <c r="N24" s="11" t="s">
        <v>4</v>
      </c>
    </row>
    <row r="25" spans="2:14" ht="30" x14ac:dyDescent="0.25">
      <c r="B25" s="25"/>
      <c r="C25" s="1"/>
      <c r="F25" s="2" t="s">
        <v>41</v>
      </c>
      <c r="G25" s="11">
        <f>COUNTIF($J$2:$J$12,"Packaged Foods")</f>
        <v>1</v>
      </c>
      <c r="J25" s="5"/>
      <c r="K25" s="16"/>
      <c r="L25" s="11"/>
      <c r="M25" s="19" t="s">
        <v>47</v>
      </c>
      <c r="N25" s="11">
        <f>COUNTIF(L2:L12,"NASDAQ or Other")</f>
        <v>6</v>
      </c>
    </row>
    <row r="26" spans="2:14" ht="45" x14ac:dyDescent="0.25">
      <c r="B26" s="24"/>
      <c r="C26" s="1"/>
      <c r="F26" s="2" t="s">
        <v>43</v>
      </c>
      <c r="G26" s="11">
        <f>COUNTIF($J$2:$J$12,"Health Information Services")</f>
        <v>1</v>
      </c>
      <c r="J26" s="5"/>
      <c r="K26" s="16"/>
      <c r="L26" s="11"/>
      <c r="M26" s="23" t="s">
        <v>46</v>
      </c>
      <c r="N26" s="11">
        <f>COUNTIF($L$2:$L$12,"S&amp;P")</f>
        <v>3</v>
      </c>
    </row>
    <row r="27" spans="2:14" ht="30" x14ac:dyDescent="0.25">
      <c r="B27" s="24"/>
      <c r="C27" s="1"/>
      <c r="F27" s="2" t="s">
        <v>10</v>
      </c>
      <c r="G27" s="5">
        <f>SUM(G17:G26)</f>
        <v>11</v>
      </c>
      <c r="J27" s="11"/>
      <c r="K27" s="16"/>
      <c r="L27" s="11"/>
      <c r="M27" s="19" t="s">
        <v>45</v>
      </c>
      <c r="N27" s="11">
        <f>COUNTIF($L$2:$L$12,"Dow, S&amp;P")</f>
        <v>2</v>
      </c>
    </row>
    <row r="28" spans="2:14" x14ac:dyDescent="0.25">
      <c r="B28" s="24"/>
      <c r="C28" s="1"/>
      <c r="K28" s="16"/>
      <c r="L28" s="11"/>
    </row>
    <row r="29" spans="2:14" x14ac:dyDescent="0.25">
      <c r="B29" s="24"/>
      <c r="C29" s="1"/>
      <c r="K29" s="16"/>
      <c r="L29" s="11"/>
    </row>
    <row r="30" spans="2:14" x14ac:dyDescent="0.25">
      <c r="B30" s="24"/>
      <c r="C30" s="1"/>
      <c r="K30" s="16"/>
      <c r="L30" s="11"/>
    </row>
    <row r="31" spans="2:14" x14ac:dyDescent="0.25">
      <c r="B31" s="24"/>
      <c r="C31" s="1"/>
      <c r="K31" s="16"/>
      <c r="L31" s="11"/>
    </row>
    <row r="32" spans="2:14" x14ac:dyDescent="0.25">
      <c r="B32" s="24"/>
      <c r="C32" s="24"/>
      <c r="K32" s="16"/>
      <c r="L32" s="11"/>
    </row>
    <row r="33" spans="3:14" x14ac:dyDescent="0.25">
      <c r="C33" s="24"/>
      <c r="K33" s="16"/>
      <c r="L33" s="11"/>
      <c r="M33" s="11"/>
      <c r="N33" s="11"/>
    </row>
    <row r="34" spans="3:14" x14ac:dyDescent="0.25">
      <c r="C34" s="24"/>
      <c r="M34" s="11"/>
      <c r="N34" s="11"/>
    </row>
    <row r="35" spans="3:14" x14ac:dyDescent="0.25">
      <c r="C35" s="24"/>
      <c r="M35" s="11"/>
      <c r="N35" s="11"/>
    </row>
    <row r="36" spans="3:14" x14ac:dyDescent="0.25">
      <c r="C36" s="24"/>
      <c r="M36" s="11"/>
      <c r="N36" s="11"/>
    </row>
    <row r="37" spans="3:14" x14ac:dyDescent="0.25">
      <c r="C37" s="24"/>
      <c r="M37" s="11"/>
      <c r="N37" s="11"/>
    </row>
    <row r="38" spans="3:14" x14ac:dyDescent="0.25">
      <c r="C38" s="24"/>
      <c r="M38" s="11"/>
      <c r="N38" s="11"/>
    </row>
    <row r="39" spans="3:14" x14ac:dyDescent="0.25">
      <c r="C39" s="24"/>
      <c r="M39" s="11"/>
      <c r="N39" s="11"/>
    </row>
    <row r="40" spans="3:14" x14ac:dyDescent="0.25">
      <c r="C40" s="24"/>
      <c r="M40" s="11"/>
      <c r="N40" s="11"/>
    </row>
    <row r="41" spans="3:14" x14ac:dyDescent="0.25">
      <c r="C41" s="24"/>
      <c r="M41" s="11"/>
      <c r="N41" s="11"/>
    </row>
    <row r="42" spans="3:14" x14ac:dyDescent="0.25">
      <c r="C42" s="24"/>
      <c r="M42" s="11"/>
      <c r="N42" s="11"/>
    </row>
    <row r="43" spans="3:14" x14ac:dyDescent="0.25">
      <c r="C43" s="24"/>
      <c r="M43" s="11"/>
      <c r="N43" s="11"/>
    </row>
    <row r="44" spans="3:14" x14ac:dyDescent="0.25">
      <c r="C44" s="24"/>
      <c r="M44" s="11"/>
      <c r="N44" s="11"/>
    </row>
    <row r="45" spans="3:14" x14ac:dyDescent="0.25">
      <c r="C45" s="24"/>
      <c r="M45" s="11"/>
      <c r="N45" s="11"/>
    </row>
    <row r="46" spans="3:14" x14ac:dyDescent="0.25">
      <c r="C46" s="24"/>
      <c r="M46" s="11"/>
      <c r="N46" s="11"/>
    </row>
    <row r="47" spans="3:14" x14ac:dyDescent="0.25">
      <c r="C47" s="24"/>
      <c r="M47" s="11"/>
      <c r="N47" s="11"/>
    </row>
    <row r="48" spans="3:14" x14ac:dyDescent="0.25">
      <c r="C48" s="24"/>
      <c r="M48" s="11"/>
      <c r="N48" s="11"/>
    </row>
    <row r="49" spans="3:14" x14ac:dyDescent="0.25">
      <c r="C49" s="24"/>
      <c r="M49" s="11"/>
      <c r="N49" s="11"/>
    </row>
    <row r="50" spans="3:14" x14ac:dyDescent="0.25">
      <c r="C50" s="24"/>
      <c r="M50" s="11"/>
      <c r="N50" s="11"/>
    </row>
    <row r="51" spans="3:14" x14ac:dyDescent="0.25">
      <c r="C51" s="24"/>
      <c r="M51" s="11"/>
      <c r="N51" s="11"/>
    </row>
    <row r="52" spans="3:14" x14ac:dyDescent="0.25">
      <c r="C52" s="24"/>
    </row>
    <row r="53" spans="3:14" x14ac:dyDescent="0.25">
      <c r="C53" s="24"/>
    </row>
  </sheetData>
  <conditionalFormatting sqref="F2:F1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{7ACDC96B-3ADC-42B8-A537-F954AA0403BF}</x14:id>
        </ext>
      </extLst>
    </cfRule>
  </conditionalFormatting>
  <conditionalFormatting sqref="F2:F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{4ADF05DE-ED94-4370-A474-891EA68FEE00}</x14:id>
        </ext>
      </extLs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CDC96B-3ADC-42B8-A537-F954AA040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4ADF05DE-ED94-4370-A474-891EA68F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788F-0819-4275-9D1D-8494838A72E2}">
  <dimension ref="A1:N54"/>
  <sheetViews>
    <sheetView zoomScale="120" zoomScaleNormal="120" workbookViewId="0">
      <selection activeCell="H17" sqref="H17"/>
    </sheetView>
  </sheetViews>
  <sheetFormatPr defaultRowHeight="15" x14ac:dyDescent="0.25"/>
  <cols>
    <col min="1" max="1" width="3.28515625" style="1" bestFit="1" customWidth="1"/>
    <col min="2" max="2" width="10.42578125" style="7" bestFit="1" customWidth="1"/>
    <col min="3" max="3" width="9.42578125" style="22" bestFit="1" customWidth="1"/>
    <col min="4" max="4" width="11.42578125" style="8" bestFit="1" customWidth="1"/>
    <col min="5" max="5" width="10" style="19" bestFit="1" customWidth="1"/>
    <col min="6" max="6" width="12.85546875" style="3" bestFit="1" customWidth="1"/>
    <col min="7" max="7" width="11.28515625" style="19" bestFit="1" customWidth="1"/>
    <col min="8" max="8" width="11.28515625" style="4" bestFit="1" customWidth="1"/>
    <col min="9" max="9" width="12.85546875" style="19" customWidth="1"/>
    <col min="10" max="10" width="11.140625" style="10" customWidth="1"/>
    <col min="11" max="11" width="12.7109375" style="7" customWidth="1"/>
    <col min="12" max="16384" width="9.140625" style="1"/>
  </cols>
  <sheetData>
    <row r="1" spans="1:14" s="2" customFormat="1" ht="45" x14ac:dyDescent="0.25">
      <c r="A1" s="2" t="s">
        <v>4</v>
      </c>
      <c r="B1" s="7" t="s">
        <v>5</v>
      </c>
      <c r="C1" s="22" t="s">
        <v>29</v>
      </c>
      <c r="D1" s="8" t="s">
        <v>0</v>
      </c>
      <c r="E1" s="19" t="s">
        <v>37</v>
      </c>
      <c r="F1" s="3" t="s">
        <v>1</v>
      </c>
      <c r="G1" s="19" t="s">
        <v>51</v>
      </c>
      <c r="H1" s="15" t="s">
        <v>53</v>
      </c>
      <c r="I1" s="17" t="s">
        <v>34</v>
      </c>
      <c r="J1" s="7" t="s">
        <v>13</v>
      </c>
      <c r="K1" s="7" t="s">
        <v>9</v>
      </c>
      <c r="L1" s="7" t="s">
        <v>44</v>
      </c>
    </row>
    <row r="2" spans="1:14" x14ac:dyDescent="0.25">
      <c r="A2" s="1">
        <v>1</v>
      </c>
      <c r="B2" s="7" t="s">
        <v>57</v>
      </c>
      <c r="C2" s="22">
        <v>109.05</v>
      </c>
      <c r="D2" s="8">
        <v>32</v>
      </c>
      <c r="E2" s="19">
        <f>C2*D2</f>
        <v>3489.6</v>
      </c>
      <c r="F2" s="26">
        <f t="shared" ref="F2:F7" si="0">(E2/$E$8)</f>
        <v>0.29314787015000981</v>
      </c>
      <c r="G2" s="3">
        <v>2.1999999999999999E-2</v>
      </c>
      <c r="H2" s="15">
        <v>0.2</v>
      </c>
      <c r="I2" s="17">
        <f>(1+Table16[[#This Row],[Growth]])*Table16[[#This Row],[Market Value]]</f>
        <v>4187.5199999999995</v>
      </c>
      <c r="J2" s="14" t="s">
        <v>61</v>
      </c>
      <c r="K2" s="14" t="s">
        <v>39</v>
      </c>
      <c r="L2" s="14" t="s">
        <v>46</v>
      </c>
    </row>
    <row r="3" spans="1:14" ht="22.5" x14ac:dyDescent="0.25">
      <c r="A3" s="1">
        <v>2</v>
      </c>
      <c r="B3" s="7" t="s">
        <v>58</v>
      </c>
      <c r="C3" s="22">
        <v>296.68</v>
      </c>
      <c r="D3" s="8">
        <v>8</v>
      </c>
      <c r="E3" s="19">
        <f>C3*D3</f>
        <v>2373.44</v>
      </c>
      <c r="F3" s="26">
        <f t="shared" si="0"/>
        <v>0.19938356285214331</v>
      </c>
      <c r="G3" s="3">
        <v>5.0000000000000001E-3</v>
      </c>
      <c r="H3" s="15">
        <v>0.5</v>
      </c>
      <c r="I3" s="17">
        <f>(1+Table16[[#This Row],[Growth]])*Table16[[#This Row],[Market Value]]</f>
        <v>3560.16</v>
      </c>
      <c r="J3" s="14" t="s">
        <v>61</v>
      </c>
      <c r="K3" s="14" t="s">
        <v>14</v>
      </c>
      <c r="L3" s="14" t="s">
        <v>47</v>
      </c>
    </row>
    <row r="4" spans="1:14" ht="33.75" x14ac:dyDescent="0.25">
      <c r="A4" s="1">
        <v>3</v>
      </c>
      <c r="B4" s="7" t="s">
        <v>49</v>
      </c>
      <c r="C4" s="22">
        <v>274.7</v>
      </c>
      <c r="D4" s="8">
        <v>8</v>
      </c>
      <c r="E4" s="19">
        <f>C4*D4</f>
        <v>2197.6</v>
      </c>
      <c r="F4" s="26">
        <f t="shared" si="0"/>
        <v>0.18461192097709236</v>
      </c>
      <c r="G4" s="3">
        <v>2.1100000000000001E-2</v>
      </c>
      <c r="H4" s="15">
        <v>0.2</v>
      </c>
      <c r="I4" s="17">
        <f>(1+Table16[[#This Row],[Growth]])*Table16[[#This Row],[Market Value]]</f>
        <v>2637.12</v>
      </c>
      <c r="J4" s="14" t="s">
        <v>54</v>
      </c>
      <c r="K4" s="14" t="s">
        <v>20</v>
      </c>
      <c r="L4" s="14" t="s">
        <v>45</v>
      </c>
    </row>
    <row r="5" spans="1:14" ht="22.5" x14ac:dyDescent="0.25">
      <c r="A5" s="1">
        <v>4</v>
      </c>
      <c r="B5" s="7" t="s">
        <v>50</v>
      </c>
      <c r="C5" s="22">
        <v>150.13</v>
      </c>
      <c r="D5" s="8">
        <v>13</v>
      </c>
      <c r="E5" s="19">
        <f>C5*D5</f>
        <v>1951.69</v>
      </c>
      <c r="F5" s="26">
        <f t="shared" si="0"/>
        <v>0.1639539679886155</v>
      </c>
      <c r="G5" s="3">
        <v>2.63E-2</v>
      </c>
      <c r="H5" s="15">
        <v>0.25</v>
      </c>
      <c r="I5" s="17">
        <f>(1+Table16[[#This Row],[Growth]])*Table16[[#This Row],[Market Value]]</f>
        <v>2439.6125000000002</v>
      </c>
      <c r="J5" s="14" t="s">
        <v>55</v>
      </c>
      <c r="K5" s="14" t="s">
        <v>15</v>
      </c>
      <c r="L5" s="14" t="s">
        <v>45</v>
      </c>
    </row>
    <row r="6" spans="1:14" ht="22.5" x14ac:dyDescent="0.25">
      <c r="A6" s="1">
        <v>5</v>
      </c>
      <c r="B6" s="7" t="s">
        <v>19</v>
      </c>
      <c r="C6" s="22">
        <v>85.98</v>
      </c>
      <c r="D6" s="8">
        <v>22</v>
      </c>
      <c r="E6" s="19">
        <f>C6*D6</f>
        <v>1891.5600000000002</v>
      </c>
      <c r="F6" s="26">
        <f t="shared" si="0"/>
        <v>0.15890267803213909</v>
      </c>
      <c r="G6" s="3">
        <v>2.01E-2</v>
      </c>
      <c r="H6" s="15">
        <v>0.2</v>
      </c>
      <c r="I6" s="17">
        <f>(1+Table16[[#This Row],[Growth]])*Table16[[#This Row],[Market Value]]</f>
        <v>2269.8720000000003</v>
      </c>
      <c r="J6" s="14" t="s">
        <v>23</v>
      </c>
      <c r="K6" s="14" t="s">
        <v>20</v>
      </c>
      <c r="L6" s="14" t="s">
        <v>46</v>
      </c>
    </row>
    <row r="7" spans="1:14" x14ac:dyDescent="0.25">
      <c r="A7" s="1">
        <v>6</v>
      </c>
      <c r="B7" s="12" t="s">
        <v>6</v>
      </c>
      <c r="C7" s="22">
        <v>0</v>
      </c>
      <c r="F7" s="26">
        <f t="shared" si="0"/>
        <v>0</v>
      </c>
      <c r="I7" s="17">
        <f>Table16[[#This Row],[Market Value]]</f>
        <v>0</v>
      </c>
      <c r="J7" s="7"/>
      <c r="L7" s="2"/>
    </row>
    <row r="8" spans="1:14" ht="30" x14ac:dyDescent="0.25">
      <c r="D8" s="9" t="s">
        <v>11</v>
      </c>
      <c r="E8" s="20">
        <f>SUM(E2:E7)</f>
        <v>11903.89</v>
      </c>
      <c r="F8" s="9" t="s">
        <v>52</v>
      </c>
      <c r="G8" s="27">
        <f>AVERAGE(G2:G6)</f>
        <v>1.89E-2</v>
      </c>
      <c r="H8" s="6" t="s">
        <v>8</v>
      </c>
      <c r="I8" s="18">
        <f>(SUM(I2:I7))</f>
        <v>15094.284499999998</v>
      </c>
      <c r="J8" s="6" t="s">
        <v>16</v>
      </c>
      <c r="K8" s="13">
        <f>((I8/E8)-1)</f>
        <v>0.26801276725507361</v>
      </c>
    </row>
    <row r="9" spans="1:14" x14ac:dyDescent="0.25">
      <c r="J9" s="11"/>
      <c r="K9" s="16"/>
      <c r="L9" s="11"/>
    </row>
    <row r="10" spans="1:14" x14ac:dyDescent="0.25">
      <c r="F10" s="2" t="s">
        <v>13</v>
      </c>
      <c r="G10" s="19" t="s">
        <v>4</v>
      </c>
      <c r="I10" s="19" t="s">
        <v>9</v>
      </c>
      <c r="J10" s="11" t="s">
        <v>4</v>
      </c>
      <c r="K10" s="16"/>
      <c r="L10" s="11"/>
      <c r="M10" s="19" t="s">
        <v>9</v>
      </c>
      <c r="N10" s="11" t="s">
        <v>4</v>
      </c>
    </row>
    <row r="11" spans="1:14" ht="30" x14ac:dyDescent="0.25">
      <c r="B11" s="8"/>
      <c r="F11" s="2" t="s">
        <v>61</v>
      </c>
      <c r="G11" s="28">
        <f>COUNTIF($J$2:$J$7,"ETF")</f>
        <v>2</v>
      </c>
      <c r="I11" s="23" t="s">
        <v>20</v>
      </c>
      <c r="J11" s="11">
        <f>COUNTIF($K$2:$K$6,"Consumer Cyclical")</f>
        <v>2</v>
      </c>
      <c r="K11" s="16"/>
      <c r="L11" s="11"/>
      <c r="M11" s="23" t="s">
        <v>46</v>
      </c>
      <c r="N11" s="11">
        <f>COUNTIF($L$2:$L$6,"S&amp;P")</f>
        <v>2</v>
      </c>
    </row>
    <row r="12" spans="1:14" ht="45" x14ac:dyDescent="0.25">
      <c r="F12" s="2" t="s">
        <v>55</v>
      </c>
      <c r="G12" s="11">
        <f>COUNTIF($J$2:$J$6,"Farm &amp; Heavy Construction")</f>
        <v>1</v>
      </c>
      <c r="I12" s="19" t="s">
        <v>14</v>
      </c>
      <c r="J12" s="11">
        <f>COUNTIF($K$2:$K$6,"Technology")</f>
        <v>1</v>
      </c>
      <c r="K12" s="16"/>
      <c r="L12" s="11"/>
      <c r="M12" s="19" t="s">
        <v>45</v>
      </c>
      <c r="N12" s="11">
        <f>COUNTIF($L$2:$L$6,"Dow, S&amp;P")</f>
        <v>2</v>
      </c>
    </row>
    <row r="13" spans="1:14" ht="30" x14ac:dyDescent="0.25">
      <c r="F13" s="2" t="s">
        <v>23</v>
      </c>
      <c r="G13" s="11">
        <f>COUNTIF($J$2:$J$6,"Restaurants")</f>
        <v>1</v>
      </c>
      <c r="I13" s="19" t="s">
        <v>15</v>
      </c>
      <c r="J13" s="11">
        <f>COUNTIF($K$2:$K$6,"Industrial")</f>
        <v>1</v>
      </c>
      <c r="K13" s="2"/>
      <c r="L13" s="11"/>
      <c r="M13" s="19" t="s">
        <v>47</v>
      </c>
      <c r="N13" s="11">
        <f>COUNTIF(L4:L8,"NASDAQ or Other")</f>
        <v>0</v>
      </c>
    </row>
    <row r="14" spans="1:14" x14ac:dyDescent="0.25">
      <c r="F14" s="2" t="s">
        <v>54</v>
      </c>
      <c r="G14" s="11">
        <f>COUNTIF($J$2:$J$6,"Home Improvement Retail")</f>
        <v>1</v>
      </c>
      <c r="I14" s="19" t="s">
        <v>39</v>
      </c>
      <c r="J14" s="11">
        <f>COUNTIF(K1:K5,"Healthcare")</f>
        <v>1</v>
      </c>
      <c r="K14" s="16"/>
      <c r="L14" s="11"/>
    </row>
    <row r="15" spans="1:14" x14ac:dyDescent="0.25">
      <c r="F15" s="2" t="s">
        <v>10</v>
      </c>
      <c r="G15" s="5">
        <f>SUM(G11:G14)</f>
        <v>5</v>
      </c>
      <c r="I15" s="19" t="s">
        <v>10</v>
      </c>
      <c r="J15" s="5">
        <f>SUM(J11:J14)</f>
        <v>5</v>
      </c>
      <c r="K15" s="16"/>
      <c r="L15" s="11"/>
    </row>
    <row r="16" spans="1:14" x14ac:dyDescent="0.25">
      <c r="J16" s="5"/>
      <c r="K16" s="16"/>
      <c r="L16" s="11"/>
      <c r="M16" s="11"/>
      <c r="N16" s="11"/>
    </row>
    <row r="17" spans="2:14" x14ac:dyDescent="0.25">
      <c r="J17" s="5"/>
      <c r="K17" s="16"/>
      <c r="L17" s="11"/>
      <c r="M17" s="11"/>
      <c r="N17" s="11"/>
    </row>
    <row r="18" spans="2:14" x14ac:dyDescent="0.25">
      <c r="J18" s="5"/>
      <c r="K18" s="16"/>
      <c r="L18" s="11"/>
      <c r="M18" s="11"/>
      <c r="N18" s="11"/>
    </row>
    <row r="19" spans="2:14" x14ac:dyDescent="0.25">
      <c r="B19" s="25"/>
      <c r="C19" s="1"/>
      <c r="J19" s="11"/>
      <c r="K19" s="16"/>
      <c r="L19" s="11"/>
      <c r="M19" s="11"/>
      <c r="N19" s="11"/>
    </row>
    <row r="20" spans="2:14" x14ac:dyDescent="0.25">
      <c r="B20" s="24"/>
      <c r="C20" s="1"/>
      <c r="K20" s="16"/>
      <c r="L20" s="11"/>
      <c r="M20" s="11"/>
      <c r="N20" s="11"/>
    </row>
    <row r="21" spans="2:14" x14ac:dyDescent="0.25">
      <c r="B21" s="24"/>
      <c r="C21" s="1"/>
      <c r="K21" s="16"/>
      <c r="L21" s="11"/>
      <c r="M21" s="11"/>
      <c r="N21" s="11"/>
    </row>
    <row r="22" spans="2:14" x14ac:dyDescent="0.25">
      <c r="B22" s="24"/>
      <c r="C22" s="1"/>
      <c r="K22" s="16"/>
      <c r="L22" s="11"/>
      <c r="M22" s="11"/>
      <c r="N22" s="11"/>
    </row>
    <row r="23" spans="2:14" x14ac:dyDescent="0.25">
      <c r="B23" s="24"/>
      <c r="C23" s="1"/>
      <c r="K23" s="16"/>
      <c r="L23" s="11"/>
      <c r="M23" s="11"/>
      <c r="N23" s="11"/>
    </row>
    <row r="24" spans="2:14" x14ac:dyDescent="0.25">
      <c r="B24" s="24"/>
      <c r="C24" s="1"/>
      <c r="K24" s="16"/>
      <c r="L24" s="11"/>
      <c r="M24" s="11"/>
      <c r="N24" s="11"/>
    </row>
    <row r="25" spans="2:14" x14ac:dyDescent="0.25">
      <c r="B25" s="24"/>
      <c r="C25" s="1"/>
      <c r="K25" s="16"/>
      <c r="L25" s="11"/>
      <c r="M25" s="11"/>
      <c r="N25" s="11"/>
    </row>
    <row r="26" spans="2:14" x14ac:dyDescent="0.25">
      <c r="B26" s="24"/>
      <c r="C26" s="24"/>
      <c r="K26" s="16"/>
      <c r="L26" s="11"/>
      <c r="M26" s="11"/>
      <c r="N26" s="11"/>
    </row>
    <row r="27" spans="2:14" x14ac:dyDescent="0.25">
      <c r="C27" s="24"/>
      <c r="K27" s="16"/>
      <c r="L27" s="11"/>
      <c r="M27" s="11"/>
      <c r="N27" s="11"/>
    </row>
    <row r="28" spans="2:14" x14ac:dyDescent="0.25">
      <c r="C28" s="24"/>
      <c r="M28" s="11"/>
      <c r="N28" s="11"/>
    </row>
    <row r="29" spans="2:14" x14ac:dyDescent="0.25">
      <c r="C29" s="24"/>
      <c r="M29" s="11"/>
      <c r="N29" s="11"/>
    </row>
    <row r="30" spans="2:14" x14ac:dyDescent="0.25">
      <c r="C30" s="24"/>
      <c r="M30" s="11"/>
      <c r="N30" s="11"/>
    </row>
    <row r="31" spans="2:14" x14ac:dyDescent="0.25">
      <c r="C31" s="24"/>
      <c r="M31" s="11"/>
      <c r="N31" s="11"/>
    </row>
    <row r="32" spans="2:14" x14ac:dyDescent="0.25">
      <c r="C32" s="24"/>
      <c r="M32" s="11"/>
      <c r="N32" s="11"/>
    </row>
    <row r="33" spans="1:14" x14ac:dyDescent="0.25">
      <c r="C33" s="24"/>
      <c r="M33" s="11"/>
      <c r="N33" s="11"/>
    </row>
    <row r="34" spans="1:14" x14ac:dyDescent="0.25">
      <c r="C34" s="24"/>
      <c r="M34" s="11"/>
      <c r="N34" s="11"/>
    </row>
    <row r="35" spans="1:14" x14ac:dyDescent="0.25">
      <c r="C35" s="24"/>
    </row>
    <row r="36" spans="1:14" x14ac:dyDescent="0.25">
      <c r="C36" s="24"/>
    </row>
    <row r="37" spans="1:14" x14ac:dyDescent="0.25">
      <c r="C37" s="24"/>
    </row>
    <row r="38" spans="1:14" x14ac:dyDescent="0.25">
      <c r="C38" s="24"/>
    </row>
    <row r="39" spans="1:14" x14ac:dyDescent="0.25">
      <c r="C39" s="24"/>
    </row>
    <row r="40" spans="1:14" x14ac:dyDescent="0.25">
      <c r="C40" s="24"/>
    </row>
    <row r="41" spans="1:14" x14ac:dyDescent="0.25">
      <c r="C41" s="24"/>
    </row>
    <row r="42" spans="1:14" x14ac:dyDescent="0.25">
      <c r="C42" s="24"/>
    </row>
    <row r="43" spans="1:14" x14ac:dyDescent="0.25">
      <c r="C43" s="24"/>
    </row>
    <row r="44" spans="1:14" x14ac:dyDescent="0.25">
      <c r="C44" s="24"/>
    </row>
    <row r="45" spans="1:14" x14ac:dyDescent="0.25">
      <c r="C45" s="24"/>
    </row>
    <row r="46" spans="1:14" x14ac:dyDescent="0.25">
      <c r="C46" s="24"/>
    </row>
    <row r="47" spans="1:14" x14ac:dyDescent="0.25">
      <c r="C47" s="24"/>
    </row>
    <row r="48" spans="1:14" s="8" customFormat="1" x14ac:dyDescent="0.25">
      <c r="A48" s="1"/>
      <c r="B48" s="7"/>
      <c r="C48" s="22"/>
      <c r="E48" s="19"/>
      <c r="F48" s="3"/>
      <c r="G48" s="19"/>
      <c r="H48" s="4"/>
      <c r="I48" s="19"/>
      <c r="J48" s="10"/>
      <c r="K48" s="7"/>
      <c r="L48" s="1"/>
      <c r="M48" s="1"/>
      <c r="N48" s="1"/>
    </row>
    <row r="49" spans="1:14" s="8" customFormat="1" x14ac:dyDescent="0.25">
      <c r="A49" s="1"/>
      <c r="B49" s="7"/>
      <c r="C49" s="22"/>
      <c r="E49" s="19"/>
      <c r="F49" s="3"/>
      <c r="G49" s="19"/>
      <c r="H49" s="4"/>
      <c r="I49" s="19"/>
      <c r="J49" s="10"/>
      <c r="K49" s="7"/>
      <c r="L49" s="1"/>
      <c r="M49" s="1"/>
      <c r="N49" s="1"/>
    </row>
    <row r="50" spans="1:14" s="8" customFormat="1" x14ac:dyDescent="0.25">
      <c r="A50" s="1"/>
      <c r="B50" s="7"/>
      <c r="C50" s="22"/>
      <c r="E50" s="19"/>
      <c r="F50" s="3"/>
      <c r="G50" s="19"/>
      <c r="H50" s="4"/>
      <c r="I50" s="19"/>
      <c r="J50" s="10"/>
      <c r="K50" s="7"/>
      <c r="L50" s="1"/>
      <c r="M50" s="1"/>
      <c r="N50" s="1"/>
    </row>
    <row r="51" spans="1:14" s="8" customFormat="1" x14ac:dyDescent="0.25">
      <c r="A51" s="1"/>
      <c r="B51" s="7"/>
      <c r="C51" s="22"/>
      <c r="E51" s="19"/>
      <c r="F51" s="3"/>
      <c r="G51" s="19"/>
      <c r="H51" s="4"/>
      <c r="I51" s="19"/>
      <c r="J51" s="10"/>
      <c r="K51" s="7"/>
      <c r="L51" s="1"/>
      <c r="M51" s="1"/>
      <c r="N51" s="1"/>
    </row>
    <row r="52" spans="1:14" s="8" customFormat="1" x14ac:dyDescent="0.25">
      <c r="A52" s="1"/>
      <c r="B52" s="7"/>
      <c r="C52" s="22"/>
      <c r="E52" s="19"/>
      <c r="F52" s="3"/>
      <c r="G52" s="19"/>
      <c r="H52" s="4"/>
      <c r="I52" s="19"/>
      <c r="J52" s="10"/>
      <c r="K52" s="7"/>
      <c r="L52" s="1"/>
      <c r="M52" s="1"/>
      <c r="N52" s="1"/>
    </row>
    <row r="53" spans="1:14" s="8" customFormat="1" x14ac:dyDescent="0.25">
      <c r="A53" s="1"/>
      <c r="B53" s="7"/>
      <c r="C53" s="22"/>
      <c r="E53" s="19"/>
      <c r="F53" s="3"/>
      <c r="G53" s="19"/>
      <c r="H53" s="4"/>
      <c r="I53" s="19"/>
      <c r="J53" s="10"/>
      <c r="K53" s="7"/>
      <c r="L53" s="1"/>
      <c r="M53" s="1"/>
      <c r="N53" s="1"/>
    </row>
    <row r="54" spans="1:14" s="8" customFormat="1" x14ac:dyDescent="0.25">
      <c r="A54" s="1"/>
      <c r="B54" s="7"/>
      <c r="C54" s="22"/>
      <c r="E54" s="19"/>
      <c r="F54" s="3"/>
      <c r="G54" s="19"/>
      <c r="H54" s="4"/>
      <c r="I54" s="19"/>
      <c r="J54" s="10"/>
      <c r="K54" s="7"/>
      <c r="L54" s="1"/>
      <c r="M54" s="1"/>
      <c r="N54" s="1"/>
    </row>
  </sheetData>
  <conditionalFormatting sqref="F2:F7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{496585FA-84C3-4D40-8CA4-764817F670D0}</x14:id>
        </ext>
      </extLst>
    </cfRule>
  </conditionalFormatting>
  <conditionalFormatting sqref="F2:F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{D5FE9EE5-F2C7-4C36-8F2C-18F9A56B5D8E}</x14:id>
        </ext>
      </extLs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6585FA-84C3-4D40-8CA4-764817F67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D5FE9EE5-F2C7-4C36-8F2C-18F9A56B5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F512-80ED-4362-BFC4-71BD1227DD47}">
  <dimension ref="A1:K51"/>
  <sheetViews>
    <sheetView zoomScale="200" zoomScaleNormal="200" workbookViewId="0">
      <selection activeCell="B11" sqref="B11"/>
    </sheetView>
  </sheetViews>
  <sheetFormatPr defaultRowHeight="15" x14ac:dyDescent="0.25"/>
  <cols>
    <col min="1" max="1" width="3.28515625" style="1" bestFit="1" customWidth="1"/>
    <col min="2" max="2" width="10.42578125" style="7" bestFit="1" customWidth="1"/>
    <col min="3" max="3" width="9.42578125" style="22" bestFit="1" customWidth="1"/>
    <col min="4" max="4" width="11.42578125" style="8" bestFit="1" customWidth="1"/>
    <col min="5" max="5" width="10" style="19" bestFit="1" customWidth="1"/>
    <col min="6" max="6" width="12.85546875" style="3" bestFit="1" customWidth="1"/>
    <col min="7" max="7" width="11.140625" style="10" customWidth="1"/>
    <col min="8" max="8" width="12.7109375" style="7" customWidth="1"/>
    <col min="9" max="16384" width="9.140625" style="1"/>
  </cols>
  <sheetData>
    <row r="1" spans="1:11" s="2" customFormat="1" ht="30" x14ac:dyDescent="0.25">
      <c r="A1" s="2" t="s">
        <v>4</v>
      </c>
      <c r="B1" s="7" t="s">
        <v>5</v>
      </c>
      <c r="C1" s="22" t="s">
        <v>29</v>
      </c>
      <c r="D1" s="8" t="s">
        <v>63</v>
      </c>
      <c r="E1" s="19" t="s">
        <v>37</v>
      </c>
      <c r="F1" s="3" t="s">
        <v>1</v>
      </c>
    </row>
    <row r="2" spans="1:11" x14ac:dyDescent="0.25">
      <c r="A2" s="1">
        <v>1</v>
      </c>
      <c r="B2" s="7" t="s">
        <v>64</v>
      </c>
      <c r="C2" s="22">
        <v>0</v>
      </c>
      <c r="D2" s="8">
        <v>0</v>
      </c>
      <c r="E2" s="19">
        <f>C2*D2</f>
        <v>0</v>
      </c>
      <c r="F2" s="26" t="e">
        <f>(E2/$E$5)</f>
        <v>#DIV/0!</v>
      </c>
      <c r="G2" s="1"/>
      <c r="H2" s="1"/>
    </row>
    <row r="3" spans="1:11" x14ac:dyDescent="0.25">
      <c r="A3" s="1">
        <v>2</v>
      </c>
      <c r="B3" s="7" t="s">
        <v>65</v>
      </c>
      <c r="C3" s="22">
        <v>0</v>
      </c>
      <c r="D3" s="8">
        <v>0</v>
      </c>
      <c r="E3" s="19">
        <f>C3*D3</f>
        <v>0</v>
      </c>
      <c r="F3" s="26" t="e">
        <f>(E3/$E$5)</f>
        <v>#DIV/0!</v>
      </c>
      <c r="G3" s="1"/>
      <c r="H3" s="1"/>
    </row>
    <row r="4" spans="1:11" x14ac:dyDescent="0.25">
      <c r="A4" s="1">
        <v>3</v>
      </c>
      <c r="B4" s="12" t="s">
        <v>62</v>
      </c>
      <c r="C4" s="22">
        <v>0</v>
      </c>
      <c r="D4" s="8" t="s">
        <v>56</v>
      </c>
      <c r="E4" s="19">
        <f>C4</f>
        <v>0</v>
      </c>
      <c r="F4" s="26" t="e">
        <f>(E4/$E$5)</f>
        <v>#DIV/0!</v>
      </c>
      <c r="G4" s="1"/>
      <c r="H4" s="1"/>
    </row>
    <row r="5" spans="1:11" ht="30" x14ac:dyDescent="0.25">
      <c r="D5" s="9" t="s">
        <v>11</v>
      </c>
      <c r="E5" s="20">
        <f>SUM(E2:E4)</f>
        <v>0</v>
      </c>
      <c r="F5" s="34" t="e">
        <f>SUM(Table1614[Pos %])</f>
        <v>#DIV/0!</v>
      </c>
      <c r="G5" s="29"/>
      <c r="H5" s="30"/>
      <c r="I5" s="31"/>
    </row>
    <row r="6" spans="1:11" x14ac:dyDescent="0.25">
      <c r="G6" s="32"/>
      <c r="H6" s="33"/>
      <c r="I6" s="32"/>
    </row>
    <row r="7" spans="1:11" x14ac:dyDescent="0.25">
      <c r="F7" s="2"/>
      <c r="G7" s="32"/>
      <c r="H7" s="33"/>
      <c r="I7" s="32"/>
      <c r="J7" s="19"/>
      <c r="K7" s="11"/>
    </row>
    <row r="8" spans="1:11" x14ac:dyDescent="0.25">
      <c r="B8" s="8"/>
      <c r="F8" s="2"/>
      <c r="G8" s="32"/>
      <c r="H8" s="33"/>
      <c r="I8" s="32"/>
      <c r="J8" s="23"/>
      <c r="K8" s="11"/>
    </row>
    <row r="9" spans="1:11" x14ac:dyDescent="0.25">
      <c r="F9" s="2"/>
      <c r="G9" s="11"/>
      <c r="H9" s="16"/>
      <c r="I9" s="11"/>
      <c r="J9" s="19"/>
      <c r="K9" s="11"/>
    </row>
    <row r="10" spans="1:11" x14ac:dyDescent="0.25">
      <c r="F10" s="2"/>
      <c r="G10" s="11"/>
      <c r="H10" s="2"/>
      <c r="I10" s="11"/>
      <c r="J10" s="19"/>
      <c r="K10" s="11"/>
    </row>
    <row r="11" spans="1:11" x14ac:dyDescent="0.25">
      <c r="F11" s="2"/>
      <c r="G11" s="11"/>
      <c r="H11" s="16"/>
      <c r="I11" s="11"/>
    </row>
    <row r="12" spans="1:11" x14ac:dyDescent="0.25">
      <c r="F12" s="2"/>
      <c r="G12" s="5"/>
      <c r="H12" s="16"/>
      <c r="I12" s="11"/>
    </row>
    <row r="13" spans="1:11" x14ac:dyDescent="0.25">
      <c r="F13" s="2"/>
      <c r="G13" s="5"/>
      <c r="H13" s="16"/>
      <c r="I13" s="11"/>
      <c r="J13" s="11"/>
      <c r="K13" s="11"/>
    </row>
    <row r="14" spans="1:11" x14ac:dyDescent="0.25">
      <c r="G14" s="5"/>
      <c r="H14" s="16"/>
      <c r="I14" s="11"/>
      <c r="J14" s="11"/>
      <c r="K14" s="11"/>
    </row>
    <row r="15" spans="1:11" x14ac:dyDescent="0.25">
      <c r="G15" s="5"/>
      <c r="H15" s="16"/>
      <c r="I15" s="11"/>
      <c r="J15" s="11"/>
      <c r="K15" s="11"/>
    </row>
    <row r="16" spans="1:11" x14ac:dyDescent="0.25">
      <c r="B16" s="25"/>
      <c r="C16" s="1"/>
      <c r="I16" s="11"/>
      <c r="J16" s="11"/>
      <c r="K16" s="11"/>
    </row>
    <row r="17" spans="2:11" x14ac:dyDescent="0.25">
      <c r="B17" s="24"/>
      <c r="C17" s="1"/>
      <c r="I17" s="11"/>
      <c r="J17" s="11"/>
      <c r="K17" s="11"/>
    </row>
    <row r="18" spans="2:11" x14ac:dyDescent="0.25">
      <c r="B18" s="24"/>
      <c r="C18" s="1"/>
      <c r="H18" s="16"/>
      <c r="I18" s="11"/>
      <c r="J18" s="11"/>
      <c r="K18" s="11"/>
    </row>
    <row r="19" spans="2:11" x14ac:dyDescent="0.25">
      <c r="B19" s="24"/>
      <c r="C19" s="1"/>
      <c r="H19" s="16"/>
      <c r="I19" s="11"/>
      <c r="J19" s="11"/>
      <c r="K19" s="11"/>
    </row>
    <row r="20" spans="2:11" x14ac:dyDescent="0.25">
      <c r="B20" s="24"/>
      <c r="C20" s="1"/>
      <c r="H20" s="16"/>
      <c r="I20" s="11"/>
      <c r="J20" s="11"/>
      <c r="K20" s="11"/>
    </row>
    <row r="21" spans="2:11" x14ac:dyDescent="0.25">
      <c r="B21" s="24"/>
      <c r="C21" s="1"/>
      <c r="H21" s="16"/>
      <c r="I21" s="11"/>
      <c r="J21" s="11"/>
      <c r="K21" s="11"/>
    </row>
    <row r="22" spans="2:11" x14ac:dyDescent="0.25">
      <c r="B22" s="24"/>
      <c r="C22" s="1"/>
      <c r="H22" s="16"/>
      <c r="I22" s="11"/>
      <c r="J22" s="11"/>
      <c r="K22" s="11"/>
    </row>
    <row r="23" spans="2:11" x14ac:dyDescent="0.25">
      <c r="B23" s="24"/>
      <c r="C23" s="24"/>
      <c r="H23" s="16"/>
      <c r="I23" s="11"/>
      <c r="J23" s="11"/>
      <c r="K23" s="11"/>
    </row>
    <row r="24" spans="2:11" x14ac:dyDescent="0.25">
      <c r="C24" s="24"/>
      <c r="H24" s="16"/>
      <c r="I24" s="11"/>
      <c r="J24" s="11"/>
      <c r="K24" s="11"/>
    </row>
    <row r="25" spans="2:11" x14ac:dyDescent="0.25">
      <c r="C25" s="24"/>
      <c r="J25" s="11"/>
      <c r="K25" s="11"/>
    </row>
    <row r="26" spans="2:11" x14ac:dyDescent="0.25">
      <c r="C26" s="24"/>
      <c r="J26" s="11"/>
      <c r="K26" s="11"/>
    </row>
    <row r="27" spans="2:11" x14ac:dyDescent="0.25">
      <c r="C27" s="24"/>
      <c r="J27" s="11"/>
      <c r="K27" s="11"/>
    </row>
    <row r="28" spans="2:11" x14ac:dyDescent="0.25">
      <c r="C28" s="24"/>
      <c r="J28" s="11"/>
      <c r="K28" s="11"/>
    </row>
    <row r="29" spans="2:11" x14ac:dyDescent="0.25">
      <c r="C29" s="24"/>
      <c r="J29" s="11"/>
      <c r="K29" s="11"/>
    </row>
    <row r="30" spans="2:11" x14ac:dyDescent="0.25">
      <c r="C30" s="24"/>
      <c r="J30" s="11"/>
      <c r="K30" s="11"/>
    </row>
    <row r="31" spans="2:11" x14ac:dyDescent="0.25">
      <c r="C31" s="24"/>
      <c r="J31" s="11"/>
      <c r="K31" s="11"/>
    </row>
    <row r="32" spans="2:11" x14ac:dyDescent="0.25">
      <c r="C32" s="24"/>
    </row>
    <row r="33" spans="1:11" x14ac:dyDescent="0.25">
      <c r="C33" s="24"/>
    </row>
    <row r="34" spans="1:11" x14ac:dyDescent="0.25">
      <c r="C34" s="24"/>
    </row>
    <row r="35" spans="1:11" x14ac:dyDescent="0.25">
      <c r="C35" s="24"/>
    </row>
    <row r="36" spans="1:11" x14ac:dyDescent="0.25">
      <c r="C36" s="24"/>
    </row>
    <row r="37" spans="1:11" x14ac:dyDescent="0.25">
      <c r="C37" s="24"/>
    </row>
    <row r="38" spans="1:11" x14ac:dyDescent="0.25">
      <c r="C38" s="24"/>
    </row>
    <row r="39" spans="1:11" x14ac:dyDescent="0.25">
      <c r="C39" s="24"/>
    </row>
    <row r="40" spans="1:11" x14ac:dyDescent="0.25">
      <c r="C40" s="24"/>
    </row>
    <row r="41" spans="1:11" x14ac:dyDescent="0.25">
      <c r="C41" s="24"/>
    </row>
    <row r="42" spans="1:11" x14ac:dyDescent="0.25">
      <c r="C42" s="24"/>
    </row>
    <row r="43" spans="1:11" x14ac:dyDescent="0.25">
      <c r="C43" s="24"/>
    </row>
    <row r="44" spans="1:11" x14ac:dyDescent="0.25">
      <c r="C44" s="24"/>
    </row>
    <row r="45" spans="1:11" s="8" customFormat="1" x14ac:dyDescent="0.25">
      <c r="A45" s="1"/>
      <c r="B45" s="7"/>
      <c r="C45" s="22"/>
      <c r="E45" s="19"/>
      <c r="F45" s="3"/>
      <c r="G45" s="10"/>
      <c r="H45" s="7"/>
      <c r="I45" s="1"/>
      <c r="J45" s="1"/>
      <c r="K45" s="1"/>
    </row>
    <row r="46" spans="1:11" s="8" customFormat="1" x14ac:dyDescent="0.25">
      <c r="A46" s="1"/>
      <c r="B46" s="7"/>
      <c r="C46" s="22"/>
      <c r="E46" s="19"/>
      <c r="F46" s="3"/>
      <c r="G46" s="10"/>
      <c r="H46" s="7"/>
      <c r="I46" s="1"/>
      <c r="J46" s="1"/>
      <c r="K46" s="1"/>
    </row>
    <row r="47" spans="1:11" s="8" customFormat="1" x14ac:dyDescent="0.25">
      <c r="A47" s="1"/>
      <c r="B47" s="7"/>
      <c r="C47" s="22"/>
      <c r="E47" s="19"/>
      <c r="F47" s="3"/>
      <c r="G47" s="10"/>
      <c r="H47" s="7"/>
      <c r="I47" s="1"/>
      <c r="J47" s="1"/>
      <c r="K47" s="1"/>
    </row>
    <row r="48" spans="1:11" s="8" customFormat="1" x14ac:dyDescent="0.25">
      <c r="A48" s="1"/>
      <c r="B48" s="7"/>
      <c r="C48" s="22"/>
      <c r="E48" s="19"/>
      <c r="F48" s="3"/>
      <c r="G48" s="10"/>
      <c r="H48" s="7"/>
      <c r="I48" s="1"/>
      <c r="J48" s="1"/>
      <c r="K48" s="1"/>
    </row>
    <row r="49" spans="1:11" s="8" customFormat="1" x14ac:dyDescent="0.25">
      <c r="A49" s="1"/>
      <c r="B49" s="7"/>
      <c r="C49" s="22"/>
      <c r="E49" s="19"/>
      <c r="F49" s="3"/>
      <c r="G49" s="10"/>
      <c r="H49" s="7"/>
      <c r="I49" s="1"/>
      <c r="J49" s="1"/>
      <c r="K49" s="1"/>
    </row>
    <row r="50" spans="1:11" s="8" customFormat="1" x14ac:dyDescent="0.25">
      <c r="A50" s="1"/>
      <c r="B50" s="7"/>
      <c r="C50" s="22"/>
      <c r="E50" s="19"/>
      <c r="F50" s="3"/>
      <c r="G50" s="10"/>
      <c r="H50" s="7"/>
      <c r="I50" s="1"/>
      <c r="J50" s="1"/>
      <c r="K50" s="1"/>
    </row>
    <row r="51" spans="1:11" s="8" customFormat="1" x14ac:dyDescent="0.25">
      <c r="A51" s="1"/>
      <c r="B51" s="7"/>
      <c r="C51" s="22"/>
      <c r="E51" s="19"/>
      <c r="F51" s="3"/>
      <c r="G51" s="10"/>
      <c r="H51" s="7"/>
      <c r="I51" s="1"/>
      <c r="J51" s="1"/>
      <c r="K51" s="1"/>
    </row>
  </sheetData>
  <conditionalFormatting sqref="F2:F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{27CF7228-03A3-41BF-8D30-5C6ED51A7826}</x14:id>
        </ext>
      </extLst>
    </cfRule>
  </conditionalFormatting>
  <conditionalFormatting sqref="F2:F3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{FC8789C3-4237-42D8-B89E-092A63DF69D6}</x14:id>
        </ext>
      </extLs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CF7228-03A3-41BF-8D30-5C6ED51A7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FC8789C3-4237-42D8-B89E-092A63DF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TFSA</vt:lpstr>
      <vt:lpstr>RRSP</vt:lpstr>
      <vt:lpstr>Cyrptocurrency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jσrdαn cαndídσ</dc:creator>
  <cp:lastModifiedBy>jσrdαn cαndídσ</cp:lastModifiedBy>
  <dcterms:created xsi:type="dcterms:W3CDTF">2020-04-21T20:14:58Z</dcterms:created>
  <dcterms:modified xsi:type="dcterms:W3CDTF">2021-06-23T17:05:09Z</dcterms:modified>
</cp:coreProperties>
</file>