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dlcat-my.sharepoint.com/personal/jlf4_alumnes_udl_cat/Documents/CampManager App/(103082) DIRECCIÓ D'EMPRESES TECNOLÒGIQUES I EMPRENEDORIA/assignment_4-5/"/>
    </mc:Choice>
  </mc:AlternateContent>
  <xr:revisionPtr revIDLastSave="464" documentId="13_ncr:1_{E3A39ABC-0401-E946-A161-722C0516B7FD}" xr6:coauthVersionLast="47" xr6:coauthVersionMax="47" xr10:uidLastSave="{00ABF97C-907F-4252-84F6-83395C9FF097}"/>
  <bookViews>
    <workbookView xWindow="340" yWindow="1960" windowWidth="36000" windowHeight="22500" firstSheet="6" activeTab="1" xr2:uid="{00000000-000D-0000-FFFF-FFFF00000000}"/>
  </bookViews>
  <sheets>
    <sheet name="PURCHASES" sheetId="1" r:id="rId1"/>
    <sheet name="Initial investments" sheetId="2" r:id="rId2"/>
    <sheet name="Initial Financing" sheetId="3" r:id="rId3"/>
    <sheet name="Forecast Sales  " sheetId="4" r:id="rId4"/>
    <sheet name="Preliminary results" sheetId="5" r:id="rId5"/>
    <sheet name="Evolution Results" sheetId="6" r:id="rId6"/>
    <sheet name="Investment evolution  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dUj0cfmQylDGqqoeHP0PEplUanA=="/>
    </ext>
  </extLst>
</workbook>
</file>

<file path=xl/calcChain.xml><?xml version="1.0" encoding="utf-8"?>
<calcChain xmlns="http://schemas.openxmlformats.org/spreadsheetml/2006/main">
  <c r="B23" i="2" l="1"/>
  <c r="C4" i="5"/>
  <c r="B2" i="5"/>
  <c r="B20" i="5"/>
  <c r="E32" i="4"/>
  <c r="B58" i="7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I10" i="6"/>
  <c r="D31" i="4"/>
  <c r="D32" i="4"/>
  <c r="D30" i="4"/>
  <c r="C31" i="4"/>
  <c r="D19" i="4"/>
  <c r="A31" i="4"/>
  <c r="A32" i="4"/>
  <c r="A28" i="1"/>
  <c r="A29" i="1"/>
  <c r="A30" i="1"/>
  <c r="A31" i="1"/>
  <c r="D33" i="1"/>
  <c r="C32" i="4"/>
  <c r="C30" i="4"/>
  <c r="C28" i="1"/>
  <c r="C30" i="1"/>
  <c r="C27" i="1"/>
  <c r="B3" i="5" l="1"/>
  <c r="D5" i="6" s="1"/>
  <c r="C16" i="3" l="1"/>
  <c r="B28" i="5" s="1"/>
  <c r="D27" i="4" l="1"/>
  <c r="D26" i="4"/>
  <c r="D13" i="4"/>
  <c r="D12" i="4"/>
  <c r="B22" i="5" l="1"/>
  <c r="B19" i="5"/>
  <c r="B17" i="5"/>
  <c r="B12" i="5"/>
  <c r="B11" i="5"/>
  <c r="B10" i="5"/>
  <c r="B6" i="5"/>
  <c r="B31" i="7" l="1"/>
  <c r="B35" i="7" s="1"/>
  <c r="I5" i="6"/>
  <c r="F5" i="6"/>
  <c r="B5" i="6"/>
  <c r="B7" i="5"/>
  <c r="D7" i="6" s="1"/>
  <c r="A30" i="4"/>
  <c r="D20" i="4"/>
  <c r="D18" i="4"/>
  <c r="B4" i="4"/>
  <c r="B29" i="5"/>
  <c r="B30" i="5" s="1"/>
  <c r="D12" i="6" s="1"/>
  <c r="B12" i="6" s="1"/>
  <c r="C12" i="3"/>
  <c r="C14" i="3" s="1"/>
  <c r="B9" i="3"/>
  <c r="C8" i="3" s="1"/>
  <c r="B6" i="2"/>
  <c r="D8" i="7" s="1"/>
  <c r="C8" i="7" s="1"/>
  <c r="B2" i="2"/>
  <c r="C35" i="1"/>
  <c r="D35" i="1" s="1"/>
  <c r="A35" i="1"/>
  <c r="C34" i="1"/>
  <c r="D34" i="1" s="1"/>
  <c r="A34" i="1"/>
  <c r="A33" i="1"/>
  <c r="E32" i="1"/>
  <c r="A32" i="1"/>
  <c r="C31" i="1"/>
  <c r="D31" i="1" s="1"/>
  <c r="D30" i="1"/>
  <c r="D28" i="1"/>
  <c r="D27" i="1"/>
  <c r="A27" i="1"/>
  <c r="O5" i="6" l="1"/>
  <c r="L5" i="6"/>
  <c r="D7" i="7"/>
  <c r="C7" i="7" s="1"/>
  <c r="G5" i="6"/>
  <c r="C2" i="3"/>
  <c r="C6" i="3"/>
  <c r="C9" i="3"/>
  <c r="C5" i="3"/>
  <c r="E31" i="1"/>
  <c r="D38" i="1"/>
  <c r="B17" i="2" s="1"/>
  <c r="D36" i="1"/>
  <c r="E36" i="1" s="1"/>
  <c r="D37" i="1"/>
  <c r="E34" i="1"/>
  <c r="E8" i="7"/>
  <c r="D16" i="7"/>
  <c r="F12" i="6"/>
  <c r="I7" i="6"/>
  <c r="B7" i="6"/>
  <c r="F7" i="6"/>
  <c r="I12" i="6"/>
  <c r="B13" i="5"/>
  <c r="M5" i="6"/>
  <c r="R5" i="6"/>
  <c r="C16" i="7"/>
  <c r="C3" i="3"/>
  <c r="C7" i="3"/>
  <c r="C4" i="3"/>
  <c r="E28" i="1" l="1"/>
  <c r="E27" i="1"/>
  <c r="D33" i="4"/>
  <c r="E31" i="4" s="1"/>
  <c r="E26" i="4"/>
  <c r="E33" i="1"/>
  <c r="G7" i="6"/>
  <c r="L7" i="6"/>
  <c r="E30" i="4"/>
  <c r="D10" i="6"/>
  <c r="E38" i="1"/>
  <c r="G12" i="6"/>
  <c r="C22" i="7" s="1"/>
  <c r="L12" i="6"/>
  <c r="E22" i="7" s="1"/>
  <c r="D22" i="7"/>
  <c r="E7" i="7"/>
  <c r="O7" i="6"/>
  <c r="E16" i="7"/>
  <c r="O12" i="6"/>
  <c r="E37" i="1"/>
  <c r="B16" i="2"/>
  <c r="E35" i="1"/>
  <c r="E30" i="1"/>
  <c r="D4" i="6" l="1"/>
  <c r="E27" i="4"/>
  <c r="B4" i="5"/>
  <c r="E33" i="4"/>
  <c r="B10" i="2"/>
  <c r="B10" i="6"/>
  <c r="D14" i="7"/>
  <c r="F10" i="6"/>
  <c r="R7" i="6"/>
  <c r="M7" i="6"/>
  <c r="B23" i="5"/>
  <c r="B24" i="5"/>
  <c r="D28" i="7"/>
  <c r="M12" i="6"/>
  <c r="C28" i="7" s="1"/>
  <c r="R12" i="6"/>
  <c r="E28" i="7" s="1"/>
  <c r="F4" i="6"/>
  <c r="F6" i="6" s="1"/>
  <c r="E12" i="7" s="1"/>
  <c r="B4" i="6"/>
  <c r="B6" i="6" s="1"/>
  <c r="C12" i="7" s="1"/>
  <c r="C30" i="5" l="1"/>
  <c r="B26" i="5"/>
  <c r="D6" i="6"/>
  <c r="D12" i="7" s="1"/>
  <c r="D11" i="7" s="1"/>
  <c r="I4" i="6"/>
  <c r="I6" i="6" s="1"/>
  <c r="D9" i="7"/>
  <c r="B22" i="2"/>
  <c r="E9" i="7"/>
  <c r="C9" i="7"/>
  <c r="C24" i="5"/>
  <c r="C16" i="5"/>
  <c r="C21" i="5"/>
  <c r="C9" i="5"/>
  <c r="C17" i="5"/>
  <c r="C6" i="5"/>
  <c r="C18" i="5"/>
  <c r="C5" i="5"/>
  <c r="C19" i="5"/>
  <c r="C11" i="5"/>
  <c r="C23" i="5"/>
  <c r="B8" i="5"/>
  <c r="C8" i="5" s="1"/>
  <c r="C12" i="5"/>
  <c r="C22" i="5"/>
  <c r="C13" i="5"/>
  <c r="C28" i="5"/>
  <c r="C10" i="5"/>
  <c r="C20" i="5"/>
  <c r="C2" i="5"/>
  <c r="C3" i="5"/>
  <c r="C14" i="5"/>
  <c r="C29" i="5"/>
  <c r="C7" i="5"/>
  <c r="C15" i="5"/>
  <c r="D8" i="6"/>
  <c r="I8" i="6"/>
  <c r="L4" i="6"/>
  <c r="L6" i="6" s="1"/>
  <c r="D18" i="7"/>
  <c r="D17" i="7" s="1"/>
  <c r="G4" i="6"/>
  <c r="G6" i="6" s="1"/>
  <c r="C14" i="7"/>
  <c r="B25" i="5"/>
  <c r="L10" i="6"/>
  <c r="D20" i="7"/>
  <c r="G10" i="6"/>
  <c r="E11" i="7"/>
  <c r="O4" i="6"/>
  <c r="O6" i="6" s="1"/>
  <c r="E14" i="7"/>
  <c r="O10" i="6"/>
  <c r="C11" i="7"/>
  <c r="B27" i="5" l="1"/>
  <c r="B31" i="5" s="1"/>
  <c r="B32" i="5" s="1"/>
  <c r="B8" i="6"/>
  <c r="B9" i="6" s="1"/>
  <c r="R10" i="6"/>
  <c r="D26" i="7"/>
  <c r="M10" i="6"/>
  <c r="E20" i="7"/>
  <c r="E18" i="7"/>
  <c r="E17" i="7" s="1"/>
  <c r="D11" i="6"/>
  <c r="C25" i="5"/>
  <c r="M4" i="6"/>
  <c r="M6" i="6" s="1"/>
  <c r="D24" i="7"/>
  <c r="D23" i="7" s="1"/>
  <c r="O8" i="6"/>
  <c r="R4" i="6"/>
  <c r="R6" i="6" s="1"/>
  <c r="C20" i="7"/>
  <c r="C18" i="7"/>
  <c r="C17" i="7" s="1"/>
  <c r="F8" i="6"/>
  <c r="D9" i="6"/>
  <c r="I9" i="6" s="1"/>
  <c r="D14" i="6" l="1"/>
  <c r="I14" i="6" s="1"/>
  <c r="C32" i="5"/>
  <c r="D13" i="6"/>
  <c r="D15" i="6" s="1"/>
  <c r="C20" i="6" s="1"/>
  <c r="I11" i="6"/>
  <c r="C27" i="5"/>
  <c r="G8" i="6"/>
  <c r="G9" i="6" s="1"/>
  <c r="E24" i="7"/>
  <c r="E23" i="7" s="1"/>
  <c r="C26" i="7"/>
  <c r="F9" i="6"/>
  <c r="O9" i="6" s="1"/>
  <c r="L8" i="6"/>
  <c r="L9" i="6" s="1"/>
  <c r="D10" i="7"/>
  <c r="C10" i="7" s="1"/>
  <c r="B24" i="2"/>
  <c r="E26" i="7"/>
  <c r="C24" i="7"/>
  <c r="C23" i="7" s="1"/>
  <c r="D15" i="7"/>
  <c r="B11" i="6"/>
  <c r="F11" i="6"/>
  <c r="D13" i="7"/>
  <c r="D43" i="7" s="1"/>
  <c r="I41" i="7" s="1"/>
  <c r="B33" i="5"/>
  <c r="C33" i="5" s="1"/>
  <c r="C31" i="5"/>
  <c r="C6" i="7" l="1"/>
  <c r="C42" i="7" s="1"/>
  <c r="D6" i="7"/>
  <c r="E10" i="7"/>
  <c r="E6" i="7" s="1"/>
  <c r="B13" i="6"/>
  <c r="G11" i="6"/>
  <c r="G13" i="6" s="1"/>
  <c r="D21" i="7"/>
  <c r="L11" i="6"/>
  <c r="L13" i="6" s="1"/>
  <c r="D19" i="7"/>
  <c r="D44" i="7" s="1"/>
  <c r="J41" i="7" s="1"/>
  <c r="I13" i="6"/>
  <c r="I15" i="6" s="1"/>
  <c r="C21" i="6" s="1"/>
  <c r="O11" i="6"/>
  <c r="E15" i="7"/>
  <c r="M8" i="6"/>
  <c r="M9" i="6" s="1"/>
  <c r="C18" i="2"/>
  <c r="C23" i="2"/>
  <c r="C21" i="2"/>
  <c r="C20" i="2"/>
  <c r="C16" i="2"/>
  <c r="C13" i="2"/>
  <c r="C10" i="2"/>
  <c r="C8" i="2"/>
  <c r="C3" i="2"/>
  <c r="C5" i="2"/>
  <c r="C2" i="2"/>
  <c r="C24" i="2"/>
  <c r="C19" i="2"/>
  <c r="C17" i="2"/>
  <c r="C15" i="2"/>
  <c r="C12" i="2"/>
  <c r="C9" i="2"/>
  <c r="C7" i="2"/>
  <c r="C4" i="2"/>
  <c r="C14" i="2"/>
  <c r="C6" i="2"/>
  <c r="C22" i="2"/>
  <c r="C11" i="2"/>
  <c r="C15" i="7"/>
  <c r="R8" i="6"/>
  <c r="R9" i="6" s="1"/>
  <c r="F13" i="6"/>
  <c r="F14" i="6" l="1"/>
  <c r="L14" i="6"/>
  <c r="L15" i="6" s="1"/>
  <c r="D21" i="6" s="1"/>
  <c r="G14" i="6"/>
  <c r="G15" i="6" s="1"/>
  <c r="B21" i="6" s="1"/>
  <c r="B14" i="6"/>
  <c r="D42" i="7"/>
  <c r="E42" i="7"/>
  <c r="E21" i="7"/>
  <c r="E19" i="7"/>
  <c r="E44" i="7" s="1"/>
  <c r="D27" i="7"/>
  <c r="R11" i="6"/>
  <c r="R13" i="6" s="1"/>
  <c r="M11" i="6"/>
  <c r="M13" i="6" s="1"/>
  <c r="O13" i="6"/>
  <c r="H41" i="7"/>
  <c r="H42" i="7" s="1"/>
  <c r="I42" i="7" s="1"/>
  <c r="D49" i="7"/>
  <c r="C21" i="7"/>
  <c r="C19" i="7"/>
  <c r="C44" i="7" s="1"/>
  <c r="M14" i="6" l="1"/>
  <c r="M15" i="6" s="1"/>
  <c r="B22" i="6" s="1"/>
  <c r="R14" i="6"/>
  <c r="R15" i="6" s="1"/>
  <c r="D22" i="6" s="1"/>
  <c r="C13" i="7"/>
  <c r="C43" i="7" s="1"/>
  <c r="C49" i="7" s="1"/>
  <c r="B15" i="6"/>
  <c r="B20" i="6" s="1"/>
  <c r="O14" i="6"/>
  <c r="E13" i="7"/>
  <c r="E43" i="7" s="1"/>
  <c r="E49" i="7" s="1"/>
  <c r="F15" i="6"/>
  <c r="D20" i="6" s="1"/>
  <c r="J42" i="7"/>
  <c r="I43" i="7"/>
  <c r="C27" i="7"/>
  <c r="C25" i="7"/>
  <c r="C45" i="7" s="1"/>
  <c r="E27" i="7"/>
  <c r="E25" i="7"/>
  <c r="E45" i="7" s="1"/>
  <c r="E47" i="7" s="1"/>
  <c r="D25" i="7" l="1"/>
  <c r="C71" i="7" s="1"/>
  <c r="O15" i="6"/>
  <c r="C22" i="6" s="1"/>
  <c r="E48" i="7"/>
  <c r="C48" i="7"/>
  <c r="C47" i="7"/>
  <c r="C50" i="7"/>
  <c r="J43" i="7"/>
  <c r="E50" i="7"/>
  <c r="C57" i="7" l="1"/>
  <c r="C58" i="7"/>
  <c r="C59" i="7"/>
  <c r="D45" i="7"/>
  <c r="C76" i="7"/>
  <c r="C68" i="7"/>
  <c r="C60" i="7"/>
  <c r="C79" i="7"/>
  <c r="C63" i="7"/>
  <c r="C80" i="7"/>
  <c r="C82" i="7"/>
  <c r="C74" i="7"/>
  <c r="C66" i="7"/>
  <c r="C77" i="7"/>
  <c r="C69" i="7"/>
  <c r="C61" i="7"/>
  <c r="C64" i="7"/>
  <c r="C67" i="7"/>
  <c r="C72" i="7"/>
  <c r="C78" i="7"/>
  <c r="C70" i="7"/>
  <c r="C62" i="7"/>
  <c r="C81" i="7"/>
  <c r="C73" i="7"/>
  <c r="C65" i="7"/>
  <c r="C75" i="7"/>
  <c r="D47" i="7" l="1"/>
  <c r="K41" i="7"/>
  <c r="K42" i="7" s="1"/>
  <c r="K43" i="7" s="1"/>
  <c r="D48" i="7"/>
  <c r="D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tc={220920C5-4451-471F-A81C-C0595A8872FD}</author>
  </authors>
  <commentList>
    <comment ref="A5" authorId="0" shapeId="0" xr:uid="{220920C5-4451-471F-A81C-C0595A8872FD}">
      <text>
        <t>[Threaded comment]
Your version of Excel allows you to read this threaded comment; however, any edits to it will get removed if the file is opened in a newer version of Excel. Learn more: https://go.microsoft.com/fwlink/?linkid=870924
Comment:
    que es?</t>
      </text>
    </comment>
  </commentList>
</comments>
</file>

<file path=xl/sharedStrings.xml><?xml version="1.0" encoding="utf-8"?>
<sst xmlns="http://schemas.openxmlformats.org/spreadsheetml/2006/main" count="258" uniqueCount="189">
  <si>
    <t>Initial investment in tangible fixed assets</t>
  </si>
  <si>
    <t>CONCEPT</t>
  </si>
  <si>
    <t>COST PRICE</t>
  </si>
  <si>
    <t>DISCOUNT</t>
  </si>
  <si>
    <t>URL REFERENCE</t>
  </si>
  <si>
    <t>FURNITURE</t>
  </si>
  <si>
    <t>HARDWARE</t>
  </si>
  <si>
    <t>Computer</t>
  </si>
  <si>
    <t>https://www.dell.com/es-es/shop/port%C3%A1tiles-dell/port%C3%A1til-inspiron-15/spd/inspiron-15-3520-laptop/cn32009</t>
  </si>
  <si>
    <t>Monitor</t>
  </si>
  <si>
    <t>https://www.pccomponentes.com/dell-e2216hv-22-led-fullhd</t>
  </si>
  <si>
    <t>Periferics</t>
  </si>
  <si>
    <t>https://www.amazon.es/KRYPTON-Teclado-Gaming-Multicolor-Retroiluminaci%C3%B3n/dp/B07YT113RP/ref=sr_1_4?keywords=pack+perifericos&amp;qid=1683647871&amp;sprefix=pack+perife%2Caps%2C102&amp;sr=8-4</t>
  </si>
  <si>
    <t>UNITS</t>
  </si>
  <si>
    <t>SRP</t>
  </si>
  <si>
    <t>AMOUNT</t>
  </si>
  <si>
    <t>%</t>
  </si>
  <si>
    <t>TOTAL INM. MATERIAL</t>
  </si>
  <si>
    <t>TOTAL FURNISHINGS</t>
  </si>
  <si>
    <t>TOTAL HARDWARE</t>
  </si>
  <si>
    <t xml:space="preserve"> </t>
  </si>
  <si>
    <t>JUSTIFICATION</t>
  </si>
  <si>
    <t>DEFERRED EXPENSES</t>
  </si>
  <si>
    <t>Expenses and commissioning</t>
  </si>
  <si>
    <t>High Home Activity IAE</t>
  </si>
  <si>
    <t>Business License (City Hall)</t>
  </si>
  <si>
    <t>https://www.migestoriaonline.es/cuanto-cuesta-constituir-una-sociedad-limitada/</t>
  </si>
  <si>
    <t>INTANGIBLE</t>
  </si>
  <si>
    <t>Patents and brand</t>
  </si>
  <si>
    <t>computer software</t>
  </si>
  <si>
    <t>Others</t>
  </si>
  <si>
    <t>TANGIBLE</t>
  </si>
  <si>
    <t>lands</t>
  </si>
  <si>
    <t>Because we work form home</t>
  </si>
  <si>
    <t>buildings</t>
  </si>
  <si>
    <t>Facilities</t>
  </si>
  <si>
    <t>Machinery</t>
  </si>
  <si>
    <t>Tools</t>
  </si>
  <si>
    <t>Furniture</t>
  </si>
  <si>
    <t>computer hardware</t>
  </si>
  <si>
    <t>Conveying elements (vehicle)</t>
  </si>
  <si>
    <t>INVENTORIES</t>
  </si>
  <si>
    <t>OTHERS</t>
  </si>
  <si>
    <t>TOTAL INVESTMENTS</t>
  </si>
  <si>
    <t>INITIAL BALANCE TREASURY</t>
  </si>
  <si>
    <t>TOTAL INVESTMENTS AND CASH BALANCE</t>
  </si>
  <si>
    <t xml:space="preserve">CONCEPT </t>
  </si>
  <si>
    <t>Capitalization</t>
  </si>
  <si>
    <t>Own resources</t>
  </si>
  <si>
    <t>credits</t>
  </si>
  <si>
    <t>loans</t>
  </si>
  <si>
    <t>subsidies</t>
  </si>
  <si>
    <t>Aids (self promotion)</t>
  </si>
  <si>
    <t>Another resources</t>
  </si>
  <si>
    <t>TOTAL RESOURCES</t>
  </si>
  <si>
    <t>Total contributed by partners</t>
  </si>
  <si>
    <t>Number of Partners</t>
  </si>
  <si>
    <t>Contributed by each partner</t>
  </si>
  <si>
    <t>bank loan</t>
  </si>
  <si>
    <t>Interest rate (APR)</t>
  </si>
  <si>
    <t>HYPOTHESIS</t>
  </si>
  <si>
    <t>Population of market</t>
  </si>
  <si>
    <t>https://www.lavanguardia.com/vida/20170609/423286119215/en-cataluna-hay-20000-entidades-no-lucrativas-una-por-cada-330-habitantes.html#:~:text=El%20estudio%2C%20realizado%20a%20partir,asociaci%C3%B3n%20por%20cada%20327%20personas.</t>
  </si>
  <si>
    <t>Potential market</t>
  </si>
  <si>
    <t>Of these 20,000 non-profit organizations we count that only 10% are dedicated to organizing activities related to summer camps</t>
  </si>
  <si>
    <t>Potential users</t>
  </si>
  <si>
    <t>Market penetration (1st year)</t>
  </si>
  <si>
    <t>Users download the App 1st year</t>
  </si>
  <si>
    <t>CATALOG types of product</t>
  </si>
  <si>
    <t>Profile</t>
  </si>
  <si>
    <t>Applied Commission</t>
  </si>
  <si>
    <t>Product 1</t>
  </si>
  <si>
    <t>License 1</t>
  </si>
  <si>
    <t>CATALOG types of users/service</t>
  </si>
  <si>
    <t>subscription price</t>
  </si>
  <si>
    <t>Premium</t>
  </si>
  <si>
    <t>Algorithm prioritisation</t>
  </si>
  <si>
    <t>Customer service</t>
  </si>
  <si>
    <t>FORECASTING SALES</t>
  </si>
  <si>
    <t>Products</t>
  </si>
  <si>
    <t>Units</t>
  </si>
  <si>
    <t>users/services</t>
  </si>
  <si>
    <t>% Sales</t>
  </si>
  <si>
    <t>TOTAL SALES</t>
  </si>
  <si>
    <t>% Of revenues</t>
  </si>
  <si>
    <t>revenue</t>
  </si>
  <si>
    <t>Other income</t>
  </si>
  <si>
    <t>TOTAL INCOME</t>
  </si>
  <si>
    <t>consumptions</t>
  </si>
  <si>
    <t>Other variable costs</t>
  </si>
  <si>
    <t>VARIABLE EXPENDS</t>
  </si>
  <si>
    <t>GROSS MARGIN</t>
  </si>
  <si>
    <t>own remuneration</t>
  </si>
  <si>
    <t>Autonomous Social Security</t>
  </si>
  <si>
    <t>Personal expenses</t>
  </si>
  <si>
    <t>Social Security workers</t>
  </si>
  <si>
    <t>TOTAL STAFF COSTS</t>
  </si>
  <si>
    <t>rentals</t>
  </si>
  <si>
    <t>Because we works at home</t>
  </si>
  <si>
    <t>Utilities (water, electricity, telephone ...)</t>
  </si>
  <si>
    <t>Advertising and promotions</t>
  </si>
  <si>
    <t>https://shorturl.at/mtFIQ</t>
  </si>
  <si>
    <t>Google ads charges between €2-4 per click</t>
  </si>
  <si>
    <t>Independent professional services</t>
  </si>
  <si>
    <t>Reparations and conservation</t>
  </si>
  <si>
    <t>Insurance premiums - PRIMAS DE SEGUROS</t>
  </si>
  <si>
    <t>tributes</t>
  </si>
  <si>
    <t>Transportation</t>
  </si>
  <si>
    <t>Average cost 1,62 , 1/2 month refuel, and average fuel tank 55 L</t>
  </si>
  <si>
    <t>Other expenses</t>
  </si>
  <si>
    <t>amortizations Hardware</t>
  </si>
  <si>
    <t>amortizations Furnishings</t>
  </si>
  <si>
    <t>TOTAL OTHER EXPENSES STRUCTURE</t>
  </si>
  <si>
    <t>EBITDA (EBIT-Amortisations)</t>
  </si>
  <si>
    <t>Earnings before interest and taxes (EBIT)</t>
  </si>
  <si>
    <t>Financial income</t>
  </si>
  <si>
    <t>Financial expenses</t>
  </si>
  <si>
    <t>FINANCIAL RESULTS</t>
  </si>
  <si>
    <t>Earnings before taxes (EBT)</t>
  </si>
  <si>
    <t>Tax / benefits</t>
  </si>
  <si>
    <t>https://www.asesoriafiscalsevilla.org/blog/que-impuestos-pagan-las-sociedades-limitadas</t>
  </si>
  <si>
    <t>NET PROFIT</t>
  </si>
  <si>
    <r>
      <rPr>
        <b/>
        <sz val="10"/>
        <color rgb="FF000000"/>
        <rFont val="Cambria"/>
      </rPr>
      <t>Estimation own remuneration</t>
    </r>
    <r>
      <rPr>
        <sz val="10"/>
        <color rgb="FF000000"/>
        <rFont val="Cambria"/>
      </rPr>
      <t>: The four partners contribute their work for a gross monthly salary of € 1,000.00</t>
    </r>
  </si>
  <si>
    <t>amortization tables</t>
  </si>
  <si>
    <t>Item Type</t>
  </si>
  <si>
    <t>Coef. maximum linear</t>
  </si>
  <si>
    <t>Maximum period of years</t>
  </si>
  <si>
    <t>Furniture and fixtures</t>
  </si>
  <si>
    <t>electronic and computer equipment, systems and programs</t>
  </si>
  <si>
    <t>CONCEPTS</t>
  </si>
  <si>
    <t>YEAR 1</t>
  </si>
  <si>
    <t>YEAR 2</t>
  </si>
  <si>
    <t>YEAR 3</t>
  </si>
  <si>
    <t>VARIATION on PESSIMIST forecasts</t>
  </si>
  <si>
    <t>Neutral</t>
  </si>
  <si>
    <t>VARIATION overoptimistic forecasts</t>
  </si>
  <si>
    <t>VARIATION about YR 1 (%)</t>
  </si>
  <si>
    <t>VARIATION on YEAR 2 (%)</t>
  </si>
  <si>
    <t>Pessimistic</t>
  </si>
  <si>
    <t>Change (%)</t>
  </si>
  <si>
    <t>Variation(%)</t>
  </si>
  <si>
    <t>Optimistic</t>
  </si>
  <si>
    <t>TOTAL INCOME (TI)</t>
  </si>
  <si>
    <t>VARIABLE COSTS (GV)</t>
  </si>
  <si>
    <t>GROSS MARGIN (MB)</t>
  </si>
  <si>
    <t>% MB / TI</t>
  </si>
  <si>
    <t>STAFF COSTS (GP)</t>
  </si>
  <si>
    <t>Overheads (GE)</t>
  </si>
  <si>
    <t>Financial expenses (GF)</t>
  </si>
  <si>
    <t>EARNINGS BEFORE TAX (EBT)</t>
  </si>
  <si>
    <t>Income tax</t>
  </si>
  <si>
    <t>NET INCOME (BDI)</t>
  </si>
  <si>
    <t>Periods / Prev. Desp benefit. Taxes</t>
  </si>
  <si>
    <t>Year 1</t>
  </si>
  <si>
    <t>year2</t>
  </si>
  <si>
    <t>year3</t>
  </si>
  <si>
    <t xml:space="preserve">ECONOMIC ASSESSMENT </t>
  </si>
  <si>
    <t>concepts</t>
  </si>
  <si>
    <t>Amount</t>
  </si>
  <si>
    <t>Initial investment</t>
  </si>
  <si>
    <t>Income Year 1</t>
  </si>
  <si>
    <t>sales</t>
  </si>
  <si>
    <t>year expenditure 1</t>
  </si>
  <si>
    <t>Salaries + SS Self</t>
  </si>
  <si>
    <t>Structural costs</t>
  </si>
  <si>
    <t>Revenue Year 2</t>
  </si>
  <si>
    <t>Sales increase</t>
  </si>
  <si>
    <t>year expenditure 2</t>
  </si>
  <si>
    <t>Income year 3</t>
  </si>
  <si>
    <t>year Expenses 3</t>
  </si>
  <si>
    <t>Interest</t>
  </si>
  <si>
    <t>http://www.bde.es/webbde/es/estadis/tipos/tipos.html</t>
  </si>
  <si>
    <t>Interest risk</t>
  </si>
  <si>
    <t>update rate</t>
  </si>
  <si>
    <t>Cash Flow</t>
  </si>
  <si>
    <t>Year</t>
  </si>
  <si>
    <t>Home project</t>
  </si>
  <si>
    <t>Cumulative Cash Flow</t>
  </si>
  <si>
    <t>Fraction Calculation</t>
  </si>
  <si>
    <t>n / m</t>
  </si>
  <si>
    <t>year 2</t>
  </si>
  <si>
    <t>year 3</t>
  </si>
  <si>
    <t>Evaluation criteria of investment</t>
  </si>
  <si>
    <t>ROI</t>
  </si>
  <si>
    <t>Net Present Value (NPV)</t>
  </si>
  <si>
    <t>Pay Back Period (PBP)</t>
  </si>
  <si>
    <t>Internal Rate of Return (IRR)</t>
  </si>
  <si>
    <t>Sensitivity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</si>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</sst>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&quot; €&quot;_-;\-* #,##0.00&quot; €&quot;_-;_-* \-??&quot; €&quot;_-;_-@"/>
    <numFmt numFmtId="165" formatCode="#,##0.00&quot; €&quot;;[Red]\-#,##0.00&quot; €&quot;"/>
    <numFmt numFmtId="166" formatCode="_-* #,##0.00\ _€_-;\-* #,##0.00\ _€_-;_-* \-??\ _€_-;_-@"/>
    <numFmt numFmtId="167" formatCode="#,##0.00\ [$€-1]"/>
    <numFmt numFmtId="168" formatCode="#,#00.00%"/>
    <numFmt numFmtId="169" formatCode="#,##0.00%"/>
    <numFmt numFmtId="170" formatCode="#,##0\ [$€-1]"/>
    <numFmt numFmtId="171" formatCode="#,##0.00;\(#,##0.00\)"/>
    <numFmt numFmtId="172" formatCode="#,##0\€"/>
  </numFmts>
  <fonts count="26">
    <font>
      <sz val="10"/>
      <color rgb="FF000000"/>
      <name val="Arial"/>
    </font>
    <font>
      <sz val="10"/>
      <name val="Cambria"/>
      <family val="1"/>
    </font>
    <font>
      <b/>
      <sz val="10"/>
      <name val="Cambria"/>
      <family val="1"/>
    </font>
    <font>
      <b/>
      <sz val="12"/>
      <name val="Cambria"/>
      <family val="1"/>
    </font>
    <font>
      <sz val="10"/>
      <name val="Arial"/>
      <family val="2"/>
    </font>
    <font>
      <sz val="12"/>
      <name val="Cambria"/>
      <family val="1"/>
    </font>
    <font>
      <sz val="10"/>
      <color rgb="FF000000"/>
      <name val="Cambria"/>
      <family val="1"/>
    </font>
    <font>
      <i/>
      <sz val="10"/>
      <name val="Cambria"/>
      <family val="1"/>
    </font>
    <font>
      <u/>
      <sz val="10"/>
      <color rgb="FF0000FF"/>
      <name val="Cambria"/>
      <family val="1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1"/>
      <name val="Cambria"/>
      <family val="1"/>
    </font>
    <font>
      <sz val="11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0"/>
      <color theme="10"/>
      <name val="Arial"/>
      <family val="2"/>
    </font>
    <font>
      <u/>
      <sz val="10"/>
      <color theme="10"/>
      <name val="Arial"/>
    </font>
    <font>
      <sz val="10"/>
      <color rgb="FFFF0000"/>
      <name val="Arial"/>
    </font>
    <font>
      <u/>
      <sz val="11"/>
      <name val="Calibri"/>
      <family val="2"/>
    </font>
    <font>
      <u/>
      <sz val="10"/>
      <color rgb="FF000000"/>
      <name val="Arial"/>
    </font>
    <font>
      <b/>
      <sz val="10"/>
      <color rgb="FF000000"/>
      <name val="Cambria"/>
    </font>
    <font>
      <sz val="10"/>
      <color rgb="FF000000"/>
      <name val="Cambria"/>
    </font>
    <font>
      <b/>
      <sz val="10"/>
      <color rgb="FF000000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EAD3"/>
        <bgColor rgb="FFD9EAD3"/>
      </patternFill>
    </fill>
    <fill>
      <patternFill patternType="solid">
        <fgColor rgb="FFC0C0C0"/>
        <bgColor rgb="FFC0C0C0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E69138"/>
        <bgColor rgb="FFE69138"/>
      </patternFill>
    </fill>
    <fill>
      <patternFill patternType="solid">
        <fgColor rgb="FF8EB4E3"/>
        <bgColor rgb="FF8EB4E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76">
    <border>
      <left/>
      <right/>
      <top/>
      <bottom/>
      <diagonal/>
    </border>
    <border>
      <left style="medium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/>
      <top style="thin">
        <color rgb="FF1F497D"/>
      </top>
      <bottom style="thin">
        <color rgb="FF1F497D"/>
      </bottom>
      <diagonal/>
    </border>
    <border>
      <left/>
      <right/>
      <top style="thin">
        <color rgb="FF1F497D"/>
      </top>
      <bottom style="thin">
        <color rgb="FF1F497D"/>
      </bottom>
      <diagonal/>
    </border>
    <border>
      <left/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/>
      <diagonal/>
    </border>
    <border>
      <left style="medium">
        <color rgb="FF1F497D"/>
      </left>
      <right/>
      <top style="medium">
        <color rgb="FF1F497D"/>
      </top>
      <bottom style="medium">
        <color rgb="FF000000"/>
      </bottom>
      <diagonal/>
    </border>
    <border>
      <left/>
      <right/>
      <top style="medium">
        <color rgb="FF1F497D"/>
      </top>
      <bottom style="medium">
        <color rgb="FF000000"/>
      </bottom>
      <diagonal/>
    </border>
    <border>
      <left/>
      <right style="medium">
        <color rgb="FF1F497D"/>
      </right>
      <top style="medium">
        <color rgb="FF1F497D"/>
      </top>
      <bottom style="medium">
        <color rgb="FF000000"/>
      </bottom>
      <diagonal/>
    </border>
    <border>
      <left style="medium">
        <color rgb="FF1F497D"/>
      </left>
      <right style="medium">
        <color rgb="FF1F497D"/>
      </right>
      <top/>
      <bottom/>
      <diagonal/>
    </border>
    <border>
      <left style="medium">
        <color rgb="FF1F497D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1F497D"/>
      </right>
      <top style="medium">
        <color rgb="FF000000"/>
      </top>
      <bottom style="medium">
        <color rgb="FF000000"/>
      </bottom>
      <diagonal/>
    </border>
    <border>
      <left style="medium">
        <color rgb="FF1F497D"/>
      </left>
      <right style="medium">
        <color rgb="FF000000"/>
      </right>
      <top style="medium">
        <color rgb="FF000000"/>
      </top>
      <bottom style="medium">
        <color rgb="FF1F497D"/>
      </bottom>
      <diagonal/>
    </border>
    <border>
      <left style="medium">
        <color rgb="FF000000"/>
      </left>
      <right/>
      <top style="medium">
        <color rgb="FF000000"/>
      </top>
      <bottom style="medium">
        <color rgb="FF1F497D"/>
      </bottom>
      <diagonal/>
    </border>
    <border>
      <left/>
      <right style="medium">
        <color rgb="FF000000"/>
      </right>
      <top style="medium">
        <color rgb="FF000000"/>
      </top>
      <bottom style="medium">
        <color rgb="FF1F497D"/>
      </bottom>
      <diagonal/>
    </border>
    <border>
      <left style="medium">
        <color rgb="FF000000"/>
      </left>
      <right style="medium">
        <color rgb="FF1F497D"/>
      </right>
      <top style="medium">
        <color rgb="FF000000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999999"/>
      </bottom>
      <diagonal/>
    </border>
    <border>
      <left style="medium">
        <color rgb="FF1F497D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1F497D"/>
      </right>
      <top/>
      <bottom style="medium">
        <color rgb="FF999999"/>
      </bottom>
      <diagonal/>
    </border>
    <border>
      <left style="medium">
        <color rgb="FF1F497D"/>
      </left>
      <right style="medium">
        <color rgb="FF1F497D"/>
      </right>
      <top style="medium">
        <color rgb="FF999999"/>
      </top>
      <bottom style="medium">
        <color rgb="FF999999"/>
      </bottom>
      <diagonal/>
    </border>
    <border>
      <left style="medium">
        <color rgb="FF1F497D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1F497D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1F497D"/>
      </left>
      <right style="medium">
        <color rgb="FF1F497D"/>
      </right>
      <top style="medium">
        <color rgb="FF999999"/>
      </top>
      <bottom style="medium">
        <color rgb="FF1F497D"/>
      </bottom>
      <diagonal/>
    </border>
    <border>
      <left style="medium">
        <color rgb="FF1F497D"/>
      </left>
      <right style="medium">
        <color rgb="FF999999"/>
      </right>
      <top style="medium">
        <color rgb="FF999999"/>
      </top>
      <bottom style="medium">
        <color rgb="FF1F497D"/>
      </bottom>
      <diagonal/>
    </border>
    <border>
      <left style="medium">
        <color rgb="FF999999"/>
      </left>
      <right/>
      <top style="medium">
        <color rgb="FF999999"/>
      </top>
      <bottom style="medium">
        <color rgb="FF1F497D"/>
      </bottom>
      <diagonal/>
    </border>
    <border>
      <left/>
      <right style="medium">
        <color rgb="FF999999"/>
      </right>
      <top style="medium">
        <color rgb="FF999999"/>
      </top>
      <bottom style="medium">
        <color rgb="FF1F497D"/>
      </bottom>
      <diagonal/>
    </border>
    <border>
      <left style="medium">
        <color rgb="FF999999"/>
      </left>
      <right style="medium">
        <color rgb="FF1F497D"/>
      </right>
      <top style="medium">
        <color rgb="FF999999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/>
      <right style="thin">
        <color rgb="FF1F497D"/>
      </right>
      <top style="medium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thin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/>
      <bottom style="thin">
        <color rgb="FF1F497D"/>
      </bottom>
      <diagonal/>
    </border>
    <border>
      <left style="medium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/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/>
      <diagonal/>
    </border>
    <border>
      <left style="medium">
        <color rgb="FF1F497D"/>
      </left>
      <right/>
      <top style="medium">
        <color rgb="FF1F497D"/>
      </top>
      <bottom style="thin">
        <color rgb="FF1F497D"/>
      </bottom>
      <diagonal/>
    </border>
    <border>
      <left/>
      <right/>
      <top style="medium">
        <color rgb="FF1F497D"/>
      </top>
      <bottom style="thin">
        <color rgb="FF1F497D"/>
      </bottom>
      <diagonal/>
    </border>
    <border>
      <left/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>
      <left/>
      <right/>
      <top style="medium">
        <color rgb="FF3C3C3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>
      <left style="medium">
        <color rgb="FF3C3C3C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3C3C3C"/>
      </left>
      <right/>
      <top style="medium">
        <color rgb="FF3C3C3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9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0" fontId="3" fillId="2" borderId="2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9" fontId="3" fillId="2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3" fillId="2" borderId="2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3" borderId="2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5" fillId="0" borderId="0" xfId="0" applyFont="1"/>
    <xf numFmtId="165" fontId="2" fillId="0" borderId="1" xfId="0" applyNumberFormat="1" applyFont="1" applyBorder="1"/>
    <xf numFmtId="0" fontId="5" fillId="0" borderId="2" xfId="0" applyFont="1" applyBorder="1"/>
    <xf numFmtId="165" fontId="5" fillId="0" borderId="2" xfId="0" applyNumberFormat="1" applyFont="1" applyBorder="1"/>
    <xf numFmtId="0" fontId="2" fillId="3" borderId="2" xfId="0" applyFont="1" applyFill="1" applyBorder="1" applyAlignment="1">
      <alignment horizontal="center"/>
    </xf>
    <xf numFmtId="166" fontId="2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164" fontId="1" fillId="0" borderId="2" xfId="0" applyNumberFormat="1" applyFont="1" applyBorder="1"/>
    <xf numFmtId="165" fontId="6" fillId="4" borderId="0" xfId="0" applyNumberFormat="1" applyFont="1" applyFill="1" applyAlignment="1">
      <alignment horizontal="right"/>
    </xf>
    <xf numFmtId="166" fontId="1" fillId="0" borderId="1" xfId="0" applyNumberFormat="1" applyFont="1" applyBorder="1"/>
    <xf numFmtId="2" fontId="5" fillId="0" borderId="3" xfId="0" applyNumberFormat="1" applyFont="1" applyBorder="1" applyAlignment="1">
      <alignment horizontal="center"/>
    </xf>
    <xf numFmtId="0" fontId="7" fillId="0" borderId="1" xfId="0" applyFont="1" applyBorder="1"/>
    <xf numFmtId="165" fontId="1" fillId="0" borderId="1" xfId="0" applyNumberFormat="1" applyFont="1" applyBorder="1"/>
    <xf numFmtId="0" fontId="9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164" fontId="2" fillId="3" borderId="2" xfId="0" applyNumberFormat="1" applyFont="1" applyFill="1" applyBorder="1"/>
    <xf numFmtId="0" fontId="3" fillId="0" borderId="2" xfId="0" applyFont="1" applyBorder="1"/>
    <xf numFmtId="165" fontId="3" fillId="0" borderId="2" xfId="0" applyNumberFormat="1" applyFont="1" applyBorder="1"/>
    <xf numFmtId="0" fontId="1" fillId="0" borderId="10" xfId="0" applyFont="1" applyBorder="1"/>
    <xf numFmtId="2" fontId="3" fillId="0" borderId="3" xfId="0" applyNumberFormat="1" applyFont="1" applyBorder="1" applyAlignment="1">
      <alignment horizontal="center"/>
    </xf>
    <xf numFmtId="164" fontId="1" fillId="0" borderId="10" xfId="0" applyNumberFormat="1" applyFont="1" applyBorder="1"/>
    <xf numFmtId="165" fontId="5" fillId="0" borderId="0" xfId="0" applyNumberFormat="1" applyFont="1"/>
    <xf numFmtId="167" fontId="5" fillId="0" borderId="0" xfId="0" applyNumberFormat="1" applyFont="1"/>
    <xf numFmtId="0" fontId="1" fillId="0" borderId="6" xfId="0" applyFont="1" applyBorder="1"/>
    <xf numFmtId="9" fontId="5" fillId="0" borderId="0" xfId="0" applyNumberFormat="1" applyFont="1"/>
    <xf numFmtId="0" fontId="5" fillId="0" borderId="0" xfId="0" applyFont="1" applyAlignment="1">
      <alignment horizontal="right"/>
    </xf>
    <xf numFmtId="0" fontId="2" fillId="0" borderId="2" xfId="0" applyFont="1" applyBorder="1"/>
    <xf numFmtId="165" fontId="2" fillId="0" borderId="2" xfId="0" applyNumberFormat="1" applyFont="1" applyBorder="1"/>
    <xf numFmtId="168" fontId="2" fillId="0" borderId="2" xfId="0" applyNumberFormat="1" applyFont="1" applyBorder="1" applyAlignment="1">
      <alignment horizontal="center"/>
    </xf>
    <xf numFmtId="0" fontId="1" fillId="3" borderId="2" xfId="0" applyFont="1" applyFill="1" applyBorder="1"/>
    <xf numFmtId="165" fontId="2" fillId="3" borderId="2" xfId="0" applyNumberFormat="1" applyFont="1" applyFill="1" applyBorder="1"/>
    <xf numFmtId="168" fontId="2" fillId="3" borderId="2" xfId="0" applyNumberFormat="1" applyFont="1" applyFill="1" applyBorder="1" applyAlignment="1">
      <alignment horizontal="center"/>
    </xf>
    <xf numFmtId="0" fontId="2" fillId="5" borderId="2" xfId="0" applyFont="1" applyFill="1" applyBorder="1"/>
    <xf numFmtId="0" fontId="1" fillId="5" borderId="2" xfId="0" applyFont="1" applyFill="1" applyBorder="1"/>
    <xf numFmtId="165" fontId="1" fillId="5" borderId="2" xfId="0" applyNumberFormat="1" applyFont="1" applyFill="1" applyBorder="1"/>
    <xf numFmtId="165" fontId="2" fillId="5" borderId="2" xfId="0" applyNumberFormat="1" applyFont="1" applyFill="1" applyBorder="1"/>
    <xf numFmtId="168" fontId="2" fillId="5" borderId="2" xfId="0" applyNumberFormat="1" applyFont="1" applyFill="1" applyBorder="1" applyAlignment="1">
      <alignment horizontal="center"/>
    </xf>
    <xf numFmtId="165" fontId="1" fillId="0" borderId="2" xfId="0" applyNumberFormat="1" applyFont="1" applyBorder="1"/>
    <xf numFmtId="0" fontId="11" fillId="0" borderId="6" xfId="0" applyFont="1" applyBorder="1"/>
    <xf numFmtId="0" fontId="12" fillId="0" borderId="6" xfId="0" applyFont="1" applyBorder="1"/>
    <xf numFmtId="0" fontId="2" fillId="0" borderId="6" xfId="0" applyFont="1" applyBorder="1"/>
    <xf numFmtId="0" fontId="12" fillId="0" borderId="0" xfId="0" applyFont="1"/>
    <xf numFmtId="3" fontId="12" fillId="0" borderId="6" xfId="0" applyNumberFormat="1" applyFont="1" applyBorder="1"/>
    <xf numFmtId="10" fontId="12" fillId="0" borderId="6" xfId="0" applyNumberFormat="1" applyFont="1" applyBorder="1"/>
    <xf numFmtId="4" fontId="12" fillId="0" borderId="6" xfId="0" applyNumberFormat="1" applyFont="1" applyBorder="1"/>
    <xf numFmtId="9" fontId="12" fillId="0" borderId="0" xfId="0" applyNumberFormat="1" applyFont="1"/>
    <xf numFmtId="3" fontId="12" fillId="0" borderId="0" xfId="0" applyNumberFormat="1" applyFont="1"/>
    <xf numFmtId="0" fontId="11" fillId="0" borderId="0" xfId="0" applyFont="1"/>
    <xf numFmtId="9" fontId="12" fillId="0" borderId="2" xfId="0" applyNumberFormat="1" applyFont="1" applyBorder="1"/>
    <xf numFmtId="167" fontId="12" fillId="0" borderId="2" xfId="0" applyNumberFormat="1" applyFont="1" applyBorder="1"/>
    <xf numFmtId="0" fontId="11" fillId="0" borderId="2" xfId="0" applyFont="1" applyBorder="1"/>
    <xf numFmtId="0" fontId="11" fillId="2" borderId="2" xfId="0" applyFont="1" applyFill="1" applyBorder="1"/>
    <xf numFmtId="167" fontId="11" fillId="2" borderId="2" xfId="0" applyNumberFormat="1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/>
    </xf>
    <xf numFmtId="167" fontId="11" fillId="2" borderId="2" xfId="0" applyNumberFormat="1" applyFont="1" applyFill="1" applyBorder="1"/>
    <xf numFmtId="0" fontId="12" fillId="0" borderId="2" xfId="0" applyFont="1" applyBorder="1"/>
    <xf numFmtId="4" fontId="12" fillId="0" borderId="0" xfId="0" applyNumberFormat="1" applyFont="1"/>
    <xf numFmtId="3" fontId="11" fillId="0" borderId="2" xfId="0" applyNumberFormat="1" applyFont="1" applyBorder="1"/>
    <xf numFmtId="165" fontId="11" fillId="0" borderId="2" xfId="0" applyNumberFormat="1" applyFont="1" applyBorder="1"/>
    <xf numFmtId="10" fontId="11" fillId="0" borderId="3" xfId="0" applyNumberFormat="1" applyFont="1" applyBorder="1" applyAlignment="1">
      <alignment horizontal="right"/>
    </xf>
    <xf numFmtId="165" fontId="11" fillId="0" borderId="3" xfId="0" applyNumberFormat="1" applyFont="1" applyBorder="1" applyAlignment="1">
      <alignment horizontal="right"/>
    </xf>
    <xf numFmtId="165" fontId="11" fillId="2" borderId="2" xfId="0" applyNumberFormat="1" applyFont="1" applyFill="1" applyBorder="1" applyAlignment="1">
      <alignment horizontal="center"/>
    </xf>
    <xf numFmtId="165" fontId="11" fillId="2" borderId="3" xfId="0" applyNumberFormat="1" applyFont="1" applyFill="1" applyBorder="1" applyAlignment="1">
      <alignment horizontal="center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165" fontId="1" fillId="0" borderId="6" xfId="0" applyNumberFormat="1" applyFont="1" applyBorder="1"/>
    <xf numFmtId="169" fontId="1" fillId="0" borderId="6" xfId="0" applyNumberFormat="1" applyFont="1" applyBorder="1"/>
    <xf numFmtId="0" fontId="1" fillId="0" borderId="6" xfId="0" applyFont="1" applyBorder="1" applyAlignment="1">
      <alignment wrapText="1"/>
    </xf>
    <xf numFmtId="0" fontId="2" fillId="7" borderId="6" xfId="0" applyFont="1" applyFill="1" applyBorder="1"/>
    <xf numFmtId="165" fontId="2" fillId="7" borderId="6" xfId="0" applyNumberFormat="1" applyFont="1" applyFill="1" applyBorder="1"/>
    <xf numFmtId="169" fontId="2" fillId="7" borderId="6" xfId="0" applyNumberFormat="1" applyFont="1" applyFill="1" applyBorder="1"/>
    <xf numFmtId="165" fontId="2" fillId="0" borderId="6" xfId="0" applyNumberFormat="1" applyFont="1" applyBorder="1"/>
    <xf numFmtId="169" fontId="2" fillId="0" borderId="6" xfId="0" applyNumberFormat="1" applyFont="1" applyBorder="1"/>
    <xf numFmtId="165" fontId="2" fillId="5" borderId="6" xfId="0" applyNumberFormat="1" applyFont="1" applyFill="1" applyBorder="1"/>
    <xf numFmtId="2" fontId="1" fillId="0" borderId="6" xfId="0" applyNumberFormat="1" applyFont="1" applyBorder="1"/>
    <xf numFmtId="167" fontId="2" fillId="10" borderId="18" xfId="0" applyNumberFormat="1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1" borderId="20" xfId="0" applyFont="1" applyFill="1" applyBorder="1"/>
    <xf numFmtId="167" fontId="2" fillId="11" borderId="21" xfId="0" applyNumberFormat="1" applyFont="1" applyFill="1" applyBorder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12" borderId="20" xfId="0" applyFont="1" applyFill="1" applyBorder="1"/>
    <xf numFmtId="167" fontId="2" fillId="12" borderId="21" xfId="0" applyNumberFormat="1" applyFont="1" applyFill="1" applyBorder="1" applyAlignment="1">
      <alignment horizontal="center"/>
    </xf>
    <xf numFmtId="167" fontId="2" fillId="13" borderId="18" xfId="0" applyNumberFormat="1" applyFont="1" applyFill="1" applyBorder="1" applyAlignment="1">
      <alignment horizontal="center"/>
    </xf>
    <xf numFmtId="0" fontId="2" fillId="13" borderId="19" xfId="0" applyFont="1" applyFill="1" applyBorder="1"/>
    <xf numFmtId="0" fontId="2" fillId="14" borderId="20" xfId="0" applyFont="1" applyFill="1" applyBorder="1"/>
    <xf numFmtId="167" fontId="2" fillId="14" borderId="21" xfId="0" applyNumberFormat="1" applyFont="1" applyFill="1" applyBorder="1" applyAlignment="1">
      <alignment horizontal="center"/>
    </xf>
    <xf numFmtId="0" fontId="1" fillId="0" borderId="22" xfId="0" applyFont="1" applyBorder="1"/>
    <xf numFmtId="167" fontId="13" fillId="0" borderId="23" xfId="0" applyNumberFormat="1" applyFont="1" applyBorder="1"/>
    <xf numFmtId="9" fontId="13" fillId="0" borderId="24" xfId="0" applyNumberFormat="1" applyFont="1" applyBorder="1" applyAlignment="1">
      <alignment horizontal="center"/>
    </xf>
    <xf numFmtId="167" fontId="13" fillId="0" borderId="22" xfId="0" applyNumberFormat="1" applyFont="1" applyBorder="1"/>
    <xf numFmtId="9" fontId="13" fillId="0" borderId="25" xfId="0" applyNumberFormat="1" applyFont="1" applyBorder="1" applyAlignment="1">
      <alignment horizontal="center"/>
    </xf>
    <xf numFmtId="167" fontId="13" fillId="0" borderId="26" xfId="0" applyNumberFormat="1" applyFont="1" applyBorder="1"/>
    <xf numFmtId="9" fontId="13" fillId="0" borderId="22" xfId="0" applyNumberFormat="1" applyFont="1" applyBorder="1" applyAlignment="1">
      <alignment horizontal="center"/>
    </xf>
    <xf numFmtId="0" fontId="2" fillId="5" borderId="6" xfId="0" applyFont="1" applyFill="1" applyBorder="1"/>
    <xf numFmtId="0" fontId="2" fillId="5" borderId="6" xfId="0" applyFont="1" applyFill="1" applyBorder="1" applyAlignment="1">
      <alignment horizontal="center"/>
    </xf>
    <xf numFmtId="0" fontId="1" fillId="0" borderId="27" xfId="0" applyFont="1" applyBorder="1"/>
    <xf numFmtId="9" fontId="1" fillId="0" borderId="6" xfId="0" applyNumberFormat="1" applyFont="1" applyBorder="1" applyAlignment="1">
      <alignment horizontal="center"/>
    </xf>
    <xf numFmtId="167" fontId="13" fillId="0" borderId="28" xfId="0" applyNumberFormat="1" applyFont="1" applyBorder="1"/>
    <xf numFmtId="0" fontId="1" fillId="0" borderId="6" xfId="0" applyFont="1" applyBorder="1" applyAlignment="1">
      <alignment horizontal="center"/>
    </xf>
    <xf numFmtId="167" fontId="13" fillId="0" borderId="27" xfId="0" applyNumberFormat="1" applyFont="1" applyBorder="1"/>
    <xf numFmtId="167" fontId="13" fillId="0" borderId="29" xfId="0" applyNumberFormat="1" applyFont="1" applyBorder="1"/>
    <xf numFmtId="9" fontId="13" fillId="0" borderId="27" xfId="0" applyNumberFormat="1" applyFont="1" applyBorder="1" applyAlignment="1">
      <alignment horizontal="center"/>
    </xf>
    <xf numFmtId="0" fontId="2" fillId="3" borderId="27" xfId="0" applyFont="1" applyFill="1" applyBorder="1"/>
    <xf numFmtId="167" fontId="14" fillId="3" borderId="28" xfId="0" applyNumberFormat="1" applyFont="1" applyFill="1" applyBorder="1"/>
    <xf numFmtId="9" fontId="14" fillId="3" borderId="30" xfId="0" applyNumberFormat="1" applyFont="1" applyFill="1" applyBorder="1" applyAlignment="1">
      <alignment horizontal="center"/>
    </xf>
    <xf numFmtId="167" fontId="14" fillId="3" borderId="27" xfId="0" applyNumberFormat="1" applyFont="1" applyFill="1" applyBorder="1"/>
    <xf numFmtId="167" fontId="14" fillId="3" borderId="31" xfId="0" applyNumberFormat="1" applyFont="1" applyFill="1" applyBorder="1" applyAlignment="1">
      <alignment horizontal="center"/>
    </xf>
    <xf numFmtId="167" fontId="14" fillId="3" borderId="29" xfId="0" applyNumberFormat="1" applyFont="1" applyFill="1" applyBorder="1"/>
    <xf numFmtId="167" fontId="14" fillId="3" borderId="27" xfId="0" applyNumberFormat="1" applyFont="1" applyFill="1" applyBorder="1" applyAlignment="1">
      <alignment horizontal="center"/>
    </xf>
    <xf numFmtId="0" fontId="2" fillId="0" borderId="27" xfId="0" applyFont="1" applyBorder="1"/>
    <xf numFmtId="167" fontId="13" fillId="3" borderId="28" xfId="0" applyNumberFormat="1" applyFont="1" applyFill="1" applyBorder="1"/>
    <xf numFmtId="9" fontId="13" fillId="3" borderId="30" xfId="0" applyNumberFormat="1" applyFont="1" applyFill="1" applyBorder="1" applyAlignment="1">
      <alignment horizontal="center"/>
    </xf>
    <xf numFmtId="167" fontId="13" fillId="3" borderId="27" xfId="0" applyNumberFormat="1" applyFont="1" applyFill="1" applyBorder="1"/>
    <xf numFmtId="165" fontId="13" fillId="3" borderId="31" xfId="0" applyNumberFormat="1" applyFont="1" applyFill="1" applyBorder="1" applyAlignment="1">
      <alignment horizontal="center"/>
    </xf>
    <xf numFmtId="165" fontId="13" fillId="3" borderId="29" xfId="0" applyNumberFormat="1" applyFont="1" applyFill="1" applyBorder="1"/>
    <xf numFmtId="9" fontId="13" fillId="3" borderId="27" xfId="0" applyNumberFormat="1" applyFont="1" applyFill="1" applyBorder="1" applyAlignment="1">
      <alignment horizontal="center"/>
    </xf>
    <xf numFmtId="165" fontId="13" fillId="3" borderId="28" xfId="0" applyNumberFormat="1" applyFont="1" applyFill="1" applyBorder="1"/>
    <xf numFmtId="165" fontId="13" fillId="3" borderId="27" xfId="0" applyNumberFormat="1" applyFont="1" applyFill="1" applyBorder="1"/>
    <xf numFmtId="165" fontId="13" fillId="3" borderId="27" xfId="0" applyNumberFormat="1" applyFont="1" applyFill="1" applyBorder="1" applyAlignment="1">
      <alignment horizontal="center"/>
    </xf>
    <xf numFmtId="0" fontId="2" fillId="3" borderId="32" xfId="0" applyFont="1" applyFill="1" applyBorder="1"/>
    <xf numFmtId="167" fontId="14" fillId="3" borderId="33" xfId="0" applyNumberFormat="1" applyFont="1" applyFill="1" applyBorder="1"/>
    <xf numFmtId="167" fontId="14" fillId="3" borderId="34" xfId="0" applyNumberFormat="1" applyFont="1" applyFill="1" applyBorder="1" applyAlignment="1">
      <alignment horizontal="center"/>
    </xf>
    <xf numFmtId="167" fontId="14" fillId="3" borderId="32" xfId="0" applyNumberFormat="1" applyFont="1" applyFill="1" applyBorder="1"/>
    <xf numFmtId="167" fontId="14" fillId="3" borderId="35" xfId="0" applyNumberFormat="1" applyFont="1" applyFill="1" applyBorder="1" applyAlignment="1">
      <alignment horizontal="center"/>
    </xf>
    <xf numFmtId="167" fontId="14" fillId="3" borderId="36" xfId="0" applyNumberFormat="1" applyFont="1" applyFill="1" applyBorder="1"/>
    <xf numFmtId="167" fontId="14" fillId="3" borderId="3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37" xfId="0" applyFont="1" applyFill="1" applyBorder="1"/>
    <xf numFmtId="0" fontId="2" fillId="3" borderId="38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167" fontId="1" fillId="0" borderId="42" xfId="0" applyNumberFormat="1" applyFont="1" applyBorder="1" applyAlignment="1">
      <alignment horizontal="center"/>
    </xf>
    <xf numFmtId="167" fontId="1" fillId="0" borderId="43" xfId="0" applyNumberFormat="1" applyFont="1" applyBorder="1" applyAlignment="1">
      <alignment horizontal="center"/>
    </xf>
    <xf numFmtId="167" fontId="1" fillId="0" borderId="44" xfId="0" applyNumberFormat="1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7" fontId="1" fillId="0" borderId="46" xfId="0" applyNumberFormat="1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167" fontId="1" fillId="0" borderId="48" xfId="0" applyNumberFormat="1" applyFont="1" applyBorder="1" applyAlignment="1">
      <alignment horizontal="center"/>
    </xf>
    <xf numFmtId="167" fontId="1" fillId="0" borderId="49" xfId="0" applyNumberFormat="1" applyFont="1" applyBorder="1" applyAlignment="1">
      <alignment horizontal="center"/>
    </xf>
    <xf numFmtId="167" fontId="1" fillId="0" borderId="50" xfId="0" applyNumberFormat="1" applyFont="1" applyBorder="1" applyAlignment="1">
      <alignment horizontal="center"/>
    </xf>
    <xf numFmtId="0" fontId="15" fillId="0" borderId="0" xfId="0" applyFont="1"/>
    <xf numFmtId="170" fontId="15" fillId="0" borderId="0" xfId="0" applyNumberFormat="1" applyFont="1" applyAlignment="1">
      <alignment horizontal="right"/>
    </xf>
    <xf numFmtId="170" fontId="15" fillId="0" borderId="0" xfId="0" applyNumberFormat="1" applyFont="1" applyAlignment="1">
      <alignment horizontal="center"/>
    </xf>
    <xf numFmtId="0" fontId="16" fillId="0" borderId="0" xfId="0" applyFont="1"/>
    <xf numFmtId="0" fontId="16" fillId="15" borderId="51" xfId="0" applyFont="1" applyFill="1" applyBorder="1"/>
    <xf numFmtId="0" fontId="16" fillId="15" borderId="55" xfId="0" applyFont="1" applyFill="1" applyBorder="1"/>
    <xf numFmtId="170" fontId="16" fillId="15" borderId="56" xfId="0" applyNumberFormat="1" applyFont="1" applyFill="1" applyBorder="1" applyAlignment="1">
      <alignment horizontal="center"/>
    </xf>
    <xf numFmtId="170" fontId="16" fillId="15" borderId="49" xfId="0" applyNumberFormat="1" applyFont="1" applyFill="1" applyBorder="1" applyAlignment="1">
      <alignment horizontal="center"/>
    </xf>
    <xf numFmtId="170" fontId="16" fillId="15" borderId="50" xfId="0" applyNumberFormat="1" applyFont="1" applyFill="1" applyBorder="1" applyAlignment="1">
      <alignment horizontal="center"/>
    </xf>
    <xf numFmtId="0" fontId="16" fillId="7" borderId="57" xfId="0" applyFont="1" applyFill="1" applyBorder="1"/>
    <xf numFmtId="170" fontId="16" fillId="7" borderId="57" xfId="0" applyNumberFormat="1" applyFont="1" applyFill="1" applyBorder="1" applyAlignment="1">
      <alignment horizontal="center"/>
    </xf>
    <xf numFmtId="0" fontId="15" fillId="0" borderId="45" xfId="0" applyFont="1" applyBorder="1"/>
    <xf numFmtId="170" fontId="15" fillId="0" borderId="45" xfId="0" applyNumberFormat="1" applyFont="1" applyBorder="1" applyAlignment="1">
      <alignment horizontal="center"/>
    </xf>
    <xf numFmtId="0" fontId="16" fillId="16" borderId="45" xfId="0" applyFont="1" applyFill="1" applyBorder="1"/>
    <xf numFmtId="170" fontId="16" fillId="7" borderId="45" xfId="0" applyNumberFormat="1" applyFont="1" applyFill="1" applyBorder="1" applyAlignment="1">
      <alignment horizontal="center"/>
    </xf>
    <xf numFmtId="0" fontId="16" fillId="6" borderId="45" xfId="0" applyFont="1" applyFill="1" applyBorder="1"/>
    <xf numFmtId="170" fontId="15" fillId="7" borderId="45" xfId="0" applyNumberFormat="1" applyFont="1" applyFill="1" applyBorder="1" applyAlignment="1">
      <alignment horizontal="center"/>
    </xf>
    <xf numFmtId="0" fontId="16" fillId="17" borderId="45" xfId="0" applyFont="1" applyFill="1" applyBorder="1"/>
    <xf numFmtId="0" fontId="15" fillId="0" borderId="47" xfId="0" applyFont="1" applyBorder="1"/>
    <xf numFmtId="170" fontId="15" fillId="0" borderId="47" xfId="0" applyNumberFormat="1" applyFont="1" applyBorder="1" applyAlignment="1">
      <alignment horizontal="center"/>
    </xf>
    <xf numFmtId="170" fontId="16" fillId="15" borderId="58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170" fontId="17" fillId="0" borderId="0" xfId="0" applyNumberFormat="1" applyFont="1" applyAlignment="1">
      <alignment horizontal="left"/>
    </xf>
    <xf numFmtId="10" fontId="15" fillId="0" borderId="58" xfId="0" applyNumberFormat="1" applyFont="1" applyBorder="1" applyAlignment="1">
      <alignment horizontal="center"/>
    </xf>
    <xf numFmtId="170" fontId="15" fillId="0" borderId="0" xfId="0" applyNumberFormat="1" applyFont="1" applyAlignment="1">
      <alignment horizontal="left"/>
    </xf>
    <xf numFmtId="170" fontId="16" fillId="15" borderId="58" xfId="0" applyNumberFormat="1" applyFont="1" applyFill="1" applyBorder="1" applyAlignment="1">
      <alignment horizontal="center" wrapText="1"/>
    </xf>
    <xf numFmtId="0" fontId="16" fillId="15" borderId="58" xfId="0" applyFont="1" applyFill="1" applyBorder="1" applyAlignment="1">
      <alignment horizontal="center"/>
    </xf>
    <xf numFmtId="3" fontId="15" fillId="0" borderId="58" xfId="0" applyNumberFormat="1" applyFont="1" applyBorder="1"/>
    <xf numFmtId="0" fontId="16" fillId="15" borderId="62" xfId="0" applyFont="1" applyFill="1" applyBorder="1" applyAlignment="1">
      <alignment wrapText="1"/>
    </xf>
    <xf numFmtId="170" fontId="16" fillId="15" borderId="62" xfId="0" applyNumberFormat="1" applyFont="1" applyFill="1" applyBorder="1" applyAlignment="1">
      <alignment horizontal="center" vertical="center" wrapText="1"/>
    </xf>
    <xf numFmtId="0" fontId="16" fillId="15" borderId="62" xfId="0" applyFont="1" applyFill="1" applyBorder="1" applyAlignment="1">
      <alignment horizontal="center" vertical="center"/>
    </xf>
    <xf numFmtId="0" fontId="16" fillId="15" borderId="63" xfId="0" applyFont="1" applyFill="1" applyBorder="1" applyAlignment="1">
      <alignment horizontal="center" vertical="center"/>
    </xf>
    <xf numFmtId="171" fontId="15" fillId="0" borderId="58" xfId="0" applyNumberFormat="1" applyFont="1" applyBorder="1"/>
    <xf numFmtId="0" fontId="16" fillId="0" borderId="64" xfId="0" applyFont="1" applyBorder="1" applyAlignment="1">
      <alignment horizontal="right"/>
    </xf>
    <xf numFmtId="171" fontId="15" fillId="0" borderId="65" xfId="0" applyNumberFormat="1" applyFont="1" applyBorder="1" applyAlignment="1">
      <alignment horizontal="right"/>
    </xf>
    <xf numFmtId="171" fontId="15" fillId="0" borderId="37" xfId="0" applyNumberFormat="1" applyFont="1" applyBorder="1" applyAlignment="1">
      <alignment horizontal="right"/>
    </xf>
    <xf numFmtId="0" fontId="16" fillId="0" borderId="59" xfId="0" applyFont="1" applyBorder="1" applyAlignment="1">
      <alignment horizontal="right"/>
    </xf>
    <xf numFmtId="170" fontId="15" fillId="0" borderId="58" xfId="0" applyNumberFormat="1" applyFont="1" applyBorder="1" applyAlignment="1">
      <alignment horizontal="right"/>
    </xf>
    <xf numFmtId="170" fontId="15" fillId="0" borderId="66" xfId="0" applyNumberFormat="1" applyFont="1" applyBorder="1" applyAlignment="1">
      <alignment horizontal="right"/>
    </xf>
    <xf numFmtId="4" fontId="15" fillId="0" borderId="58" xfId="0" applyNumberFormat="1" applyFont="1" applyBorder="1" applyAlignment="1">
      <alignment horizontal="right"/>
    </xf>
    <xf numFmtId="4" fontId="15" fillId="0" borderId="58" xfId="0" applyNumberFormat="1" applyFont="1" applyBorder="1"/>
    <xf numFmtId="172" fontId="15" fillId="0" borderId="0" xfId="0" applyNumberFormat="1" applyFont="1"/>
    <xf numFmtId="0" fontId="16" fillId="0" borderId="67" xfId="0" applyFont="1" applyBorder="1" applyAlignment="1">
      <alignment horizontal="right"/>
    </xf>
    <xf numFmtId="170" fontId="15" fillId="0" borderId="68" xfId="0" applyNumberFormat="1" applyFont="1" applyBorder="1" applyAlignment="1">
      <alignment horizontal="right"/>
    </xf>
    <xf numFmtId="0" fontId="16" fillId="15" borderId="37" xfId="0" applyFont="1" applyFill="1" applyBorder="1"/>
    <xf numFmtId="170" fontId="15" fillId="15" borderId="37" xfId="0" applyNumberFormat="1" applyFont="1" applyFill="1" applyBorder="1" applyAlignment="1">
      <alignment horizontal="right"/>
    </xf>
    <xf numFmtId="0" fontId="16" fillId="0" borderId="62" xfId="0" applyFont="1" applyBorder="1" applyAlignment="1">
      <alignment horizontal="right"/>
    </xf>
    <xf numFmtId="170" fontId="15" fillId="0" borderId="62" xfId="0" applyNumberFormat="1" applyFont="1" applyBorder="1" applyAlignment="1">
      <alignment horizontal="right"/>
    </xf>
    <xf numFmtId="4" fontId="15" fillId="0" borderId="62" xfId="0" applyNumberFormat="1" applyFont="1" applyBorder="1" applyAlignment="1">
      <alignment horizontal="right"/>
    </xf>
    <xf numFmtId="10" fontId="15" fillId="0" borderId="62" xfId="0" applyNumberFormat="1" applyFont="1" applyBorder="1" applyAlignment="1">
      <alignment horizontal="right"/>
    </xf>
    <xf numFmtId="170" fontId="16" fillId="15" borderId="62" xfId="0" applyNumberFormat="1" applyFont="1" applyFill="1" applyBorder="1" applyAlignment="1">
      <alignment horizontal="right"/>
    </xf>
    <xf numFmtId="164" fontId="15" fillId="0" borderId="62" xfId="0" applyNumberFormat="1" applyFont="1" applyBorder="1" applyAlignment="1">
      <alignment horizontal="center" vertical="center"/>
    </xf>
    <xf numFmtId="167" fontId="12" fillId="0" borderId="0" xfId="0" applyNumberFormat="1" applyFont="1"/>
    <xf numFmtId="0" fontId="15" fillId="0" borderId="64" xfId="0" applyFont="1" applyBorder="1" applyAlignment="1">
      <alignment horizontal="right"/>
    </xf>
    <xf numFmtId="0" fontId="9" fillId="0" borderId="0" xfId="0" applyFont="1" applyAlignment="1">
      <alignment wrapText="1"/>
    </xf>
    <xf numFmtId="10" fontId="4" fillId="0" borderId="0" xfId="0" applyNumberFormat="1" applyFont="1"/>
    <xf numFmtId="0" fontId="9" fillId="0" borderId="6" xfId="0" applyFont="1" applyBorder="1"/>
    <xf numFmtId="0" fontId="8" fillId="0" borderId="6" xfId="0" applyFont="1" applyBorder="1" applyAlignment="1">
      <alignment wrapText="1"/>
    </xf>
    <xf numFmtId="9" fontId="13" fillId="0" borderId="30" xfId="0" applyNumberFormat="1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0" fontId="18" fillId="0" borderId="0" xfId="1" applyAlignment="1">
      <alignment wrapText="1"/>
    </xf>
    <xf numFmtId="9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4" fontId="1" fillId="0" borderId="69" xfId="0" applyNumberFormat="1" applyFont="1" applyBorder="1"/>
    <xf numFmtId="0" fontId="18" fillId="0" borderId="0" xfId="1"/>
    <xf numFmtId="0" fontId="20" fillId="0" borderId="0" xfId="0" applyFont="1"/>
    <xf numFmtId="0" fontId="18" fillId="0" borderId="6" xfId="1" applyBorder="1" applyAlignment="1">
      <alignment wrapText="1"/>
    </xf>
    <xf numFmtId="167" fontId="0" fillId="0" borderId="0" xfId="0" applyNumberFormat="1"/>
    <xf numFmtId="0" fontId="16" fillId="15" borderId="58" xfId="0" applyFont="1" applyFill="1" applyBorder="1" applyAlignment="1">
      <alignment horizontal="center" wrapText="1"/>
    </xf>
    <xf numFmtId="170" fontId="16" fillId="15" borderId="58" xfId="0" applyNumberFormat="1" applyFont="1" applyFill="1" applyBorder="1" applyAlignment="1">
      <alignment horizontal="center" vertical="center" wrapText="1"/>
    </xf>
    <xf numFmtId="170" fontId="21" fillId="0" borderId="0" xfId="0" applyNumberFormat="1" applyFont="1" applyAlignment="1">
      <alignment horizontal="left"/>
    </xf>
    <xf numFmtId="0" fontId="22" fillId="0" borderId="0" xfId="0" applyFont="1"/>
    <xf numFmtId="0" fontId="25" fillId="0" borderId="0" xfId="0" applyFont="1"/>
    <xf numFmtId="170" fontId="21" fillId="0" borderId="62" xfId="0" applyNumberFormat="1" applyFont="1" applyBorder="1" applyAlignment="1">
      <alignment horizontal="right"/>
    </xf>
    <xf numFmtId="170" fontId="21" fillId="0" borderId="0" xfId="0" applyNumberFormat="1" applyFont="1" applyAlignment="1">
      <alignment horizontal="center"/>
    </xf>
    <xf numFmtId="0" fontId="18" fillId="0" borderId="0" xfId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/>
    </xf>
    <xf numFmtId="0" fontId="19" fillId="0" borderId="0" xfId="1" applyFont="1" applyAlignment="1">
      <alignment wrapText="1"/>
    </xf>
    <xf numFmtId="0" fontId="19" fillId="0" borderId="0" xfId="1" applyFont="1" applyAlignment="1"/>
    <xf numFmtId="0" fontId="18" fillId="0" borderId="0" xfId="1" applyAlignment="1">
      <alignment horizontal="left"/>
    </xf>
    <xf numFmtId="0" fontId="18" fillId="0" borderId="0" xfId="1" applyAlignment="1">
      <alignment wrapText="1"/>
    </xf>
    <xf numFmtId="0" fontId="18" fillId="0" borderId="0" xfId="1" applyAlignme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0" fillId="4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9" fontId="3" fillId="2" borderId="3" xfId="0" applyNumberFormat="1" applyFont="1" applyFill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7" xfId="0" applyFont="1" applyBorder="1" applyAlignment="1">
      <alignment wrapText="1"/>
    </xf>
    <xf numFmtId="0" fontId="2" fillId="14" borderId="16" xfId="0" applyFont="1" applyFill="1" applyBorder="1" applyAlignment="1">
      <alignment horizontal="center" wrapText="1"/>
    </xf>
    <xf numFmtId="0" fontId="2" fillId="9" borderId="51" xfId="0" applyFont="1" applyFill="1" applyBorder="1" applyAlignment="1">
      <alignment horizontal="center" wrapText="1"/>
    </xf>
    <xf numFmtId="0" fontId="2" fillId="9" borderId="11" xfId="0" applyFont="1" applyFill="1" applyBorder="1" applyAlignment="1">
      <alignment horizontal="center" wrapText="1"/>
    </xf>
    <xf numFmtId="0" fontId="2" fillId="8" borderId="11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wrapText="1"/>
    </xf>
    <xf numFmtId="0" fontId="2" fillId="9" borderId="51" xfId="0" applyFont="1" applyFill="1" applyBorder="1" applyAlignment="1">
      <alignment horizontal="center"/>
    </xf>
    <xf numFmtId="0" fontId="2" fillId="13" borderId="15" xfId="0" applyFont="1" applyFill="1" applyBorder="1" applyAlignment="1">
      <alignment horizontal="center" wrapText="1"/>
    </xf>
    <xf numFmtId="167" fontId="2" fillId="8" borderId="51" xfId="0" applyNumberFormat="1" applyFont="1" applyFill="1" applyBorder="1" applyAlignment="1">
      <alignment horizontal="center"/>
    </xf>
    <xf numFmtId="9" fontId="2" fillId="8" borderId="5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2" borderId="51" xfId="0" applyFont="1" applyFill="1" applyBorder="1" applyAlignment="1">
      <alignment horizontal="left"/>
    </xf>
    <xf numFmtId="167" fontId="2" fillId="2" borderId="51" xfId="0" applyNumberFormat="1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 wrapText="1"/>
    </xf>
    <xf numFmtId="170" fontId="16" fillId="15" borderId="52" xfId="0" applyNumberFormat="1" applyFont="1" applyFill="1" applyBorder="1" applyAlignment="1">
      <alignment horizontal="center"/>
    </xf>
    <xf numFmtId="170" fontId="15" fillId="0" borderId="0" xfId="0" applyNumberFormat="1" applyFont="1" applyAlignment="1">
      <alignment horizontal="left"/>
    </xf>
    <xf numFmtId="170" fontId="16" fillId="15" borderId="59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/>
    <xf numFmtId="0" fontId="4" fillId="0" borderId="5" xfId="0" applyFont="1" applyBorder="1" applyAlignment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5" fillId="0" borderId="7" xfId="0" applyFont="1" applyBorder="1" applyAlignment="1"/>
    <xf numFmtId="0" fontId="2" fillId="0" borderId="7" xfId="0" applyFont="1" applyBorder="1" applyAlignment="1"/>
    <xf numFmtId="0" fontId="12" fillId="0" borderId="7" xfId="0" applyFont="1" applyBorder="1" applyAlignment="1"/>
    <xf numFmtId="0" fontId="1" fillId="0" borderId="7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4" fillId="0" borderId="14" xfId="0" applyFont="1" applyBorder="1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55" xfId="0" applyFont="1" applyBorder="1" applyAlignment="1"/>
    <xf numFmtId="0" fontId="4" fillId="0" borderId="53" xfId="0" applyFont="1" applyBorder="1" applyAlignment="1"/>
    <xf numFmtId="0" fontId="4" fillId="0" borderId="54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Calibri"/>
              </a:defRPr>
            </a:pPr>
            <a:r>
              <a:rPr lang="en-GB" sz="1400" b="1" i="0" u="none" strike="noStrike" baseline="0">
                <a:effectLst/>
              </a:rPr>
              <a:t>After Tax Benefit Forecasts</a:t>
            </a:r>
            <a:endParaRPr lang="en-GB" b="1"/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'Evolution Results'!$A$20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'Evolution Results'!$B$19:$D$19</c:f>
              <c:strCache>
                <c:ptCount val="3"/>
                <c:pt idx="0">
                  <c:v>Pessimistic</c:v>
                </c:pt>
                <c:pt idx="1">
                  <c:v>Neutral</c:v>
                </c:pt>
                <c:pt idx="2">
                  <c:v>Optimistic</c:v>
                </c:pt>
              </c:strCache>
            </c:strRef>
          </c:cat>
          <c:val>
            <c:numRef>
              <c:f>'Evolution Results'!$B$20:$D$20</c:f>
              <c:numCache>
                <c:formatCode>#,##0.00\ [$€-1]</c:formatCode>
                <c:ptCount val="3"/>
                <c:pt idx="0">
                  <c:v>-1665.2604499999943</c:v>
                </c:pt>
                <c:pt idx="1">
                  <c:v>26010.694450000003</c:v>
                </c:pt>
                <c:pt idx="2">
                  <c:v>54762.929727499999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960-934F-BD88-A22DF8D0CAA5}"/>
            </c:ext>
          </c:extLst>
        </c:ser>
        <c:ser>
          <c:idx val="1"/>
          <c:order val="1"/>
          <c:tx>
            <c:strRef>
              <c:f>'Evolution Results'!$A$21</c:f>
              <c:strCache>
                <c:ptCount val="1"/>
                <c:pt idx="0">
                  <c:v>year2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strRef>
              <c:f>'Evolution Results'!$B$19:$D$19</c:f>
              <c:strCache>
                <c:ptCount val="3"/>
                <c:pt idx="0">
                  <c:v>Pessimistic</c:v>
                </c:pt>
                <c:pt idx="1">
                  <c:v>Neutral</c:v>
                </c:pt>
                <c:pt idx="2">
                  <c:v>Optimistic</c:v>
                </c:pt>
              </c:strCache>
            </c:strRef>
          </c:cat>
          <c:val>
            <c:numRef>
              <c:f>'Evolution Results'!$B$21:$D$21</c:f>
              <c:numCache>
                <c:formatCode>#,##0.00\ [$€-1]</c:formatCode>
                <c:ptCount val="3"/>
                <c:pt idx="0">
                  <c:v>543.36547924999434</c:v>
                </c:pt>
                <c:pt idx="1">
                  <c:v>33480.163894999998</c:v>
                </c:pt>
                <c:pt idx="2">
                  <c:v>66956.432700250021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960-934F-BD88-A22DF8D0CAA5}"/>
            </c:ext>
          </c:extLst>
        </c:ser>
        <c:ser>
          <c:idx val="2"/>
          <c:order val="2"/>
          <c:tx>
            <c:strRef>
              <c:f>'Evolution Results'!$A$22</c:f>
              <c:strCache>
                <c:ptCount val="1"/>
                <c:pt idx="0">
                  <c:v>year3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strRef>
              <c:f>'Evolution Results'!$B$19:$D$19</c:f>
              <c:strCache>
                <c:ptCount val="3"/>
                <c:pt idx="0">
                  <c:v>Pessimistic</c:v>
                </c:pt>
                <c:pt idx="1">
                  <c:v>Neutral</c:v>
                </c:pt>
                <c:pt idx="2">
                  <c:v>Optimistic</c:v>
                </c:pt>
              </c:strCache>
            </c:strRef>
          </c:cat>
          <c:val>
            <c:numRef>
              <c:f>'Evolution Results'!$B$22:$D$22</c:f>
              <c:numCache>
                <c:formatCode>#,##0.00\ [$€-1]</c:formatCode>
                <c:ptCount val="3"/>
                <c:pt idx="0">
                  <c:v>36314.23960528749</c:v>
                </c:pt>
                <c:pt idx="1">
                  <c:v>96799.622700250009</c:v>
                </c:pt>
                <c:pt idx="2">
                  <c:v>154045.9420652375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960-934F-BD88-A22DF8D0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40544"/>
        <c:axId val="194045632"/>
      </c:barChart>
      <c:catAx>
        <c:axId val="19454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Forecasts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4045632"/>
        <c:crosses val="autoZero"/>
        <c:auto val="1"/>
        <c:lblAlgn val="ctr"/>
        <c:lblOffset val="100"/>
        <c:noMultiLvlLbl val="1"/>
      </c:catAx>
      <c:valAx>
        <c:axId val="194045632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Annual</a:t>
                </a:r>
                <a:r>
                  <a:rPr lang="en-GB" baseline="0"/>
                  <a:t> Results</a:t>
                </a:r>
                <a:endParaRPr lang="en-GB"/>
              </a:p>
            </c:rich>
          </c:tx>
          <c:overlay val="0"/>
        </c:title>
        <c:numFmt formatCode="#,##0.00\ [$€-1]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45405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rPr lang="en-GB" sz="1800" b="1" i="0" u="none" strike="noStrike" baseline="0"/>
              <a:t>NPV sensitivity to sales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'Investment evolution  '!$C$56</c:f>
              <c:strCache>
                <c:ptCount val="1"/>
                <c:pt idx="0">
                  <c:v>NPV</c:v>
                </c:pt>
              </c:strCache>
            </c:strRef>
          </c:tx>
          <c:spPr>
            <a:ln w="19050" cmpd="sng">
              <a:solidFill>
                <a:srgbClr val="8E3B38"/>
              </a:solidFill>
              <a:prstDash val="solid"/>
            </a:ln>
          </c:spPr>
          <c:marker>
            <c:symbol val="none"/>
          </c:marker>
          <c:cat>
            <c:numRef>
              <c:f>'Investment evolution  '!$B$57:$B$82</c:f>
              <c:numCache>
                <c:formatCode>_-* #,##0.00" €"_-;\-* #,##0.00" €"_-;_-* \-??" €"_-;_-@</c:formatCode>
                <c:ptCount val="26"/>
                <c:pt idx="0">
                  <c:v>12000</c:v>
                </c:pt>
                <c:pt idx="1">
                  <c:v>17000</c:v>
                </c:pt>
                <c:pt idx="2">
                  <c:v>22000</c:v>
                </c:pt>
                <c:pt idx="3">
                  <c:v>27000</c:v>
                </c:pt>
                <c:pt idx="4">
                  <c:v>32000</c:v>
                </c:pt>
                <c:pt idx="5">
                  <c:v>37000</c:v>
                </c:pt>
                <c:pt idx="6">
                  <c:v>42000</c:v>
                </c:pt>
                <c:pt idx="7">
                  <c:v>47000</c:v>
                </c:pt>
                <c:pt idx="8">
                  <c:v>52000</c:v>
                </c:pt>
                <c:pt idx="9">
                  <c:v>57000</c:v>
                </c:pt>
                <c:pt idx="10">
                  <c:v>62000</c:v>
                </c:pt>
                <c:pt idx="11">
                  <c:v>67000</c:v>
                </c:pt>
                <c:pt idx="12">
                  <c:v>72000</c:v>
                </c:pt>
                <c:pt idx="13">
                  <c:v>77000</c:v>
                </c:pt>
                <c:pt idx="14">
                  <c:v>82000</c:v>
                </c:pt>
                <c:pt idx="15">
                  <c:v>87000</c:v>
                </c:pt>
                <c:pt idx="16">
                  <c:v>92000</c:v>
                </c:pt>
                <c:pt idx="17">
                  <c:v>97000</c:v>
                </c:pt>
                <c:pt idx="18">
                  <c:v>102000</c:v>
                </c:pt>
                <c:pt idx="19">
                  <c:v>107000</c:v>
                </c:pt>
                <c:pt idx="20">
                  <c:v>112000</c:v>
                </c:pt>
                <c:pt idx="21">
                  <c:v>117000</c:v>
                </c:pt>
                <c:pt idx="22">
                  <c:v>122000</c:v>
                </c:pt>
                <c:pt idx="23">
                  <c:v>127000</c:v>
                </c:pt>
                <c:pt idx="24">
                  <c:v>132000</c:v>
                </c:pt>
                <c:pt idx="25">
                  <c:v>137000</c:v>
                </c:pt>
              </c:numCache>
            </c:numRef>
          </c:cat>
          <c:val>
            <c:numRef>
              <c:f>'Investment evolution  '!$C$57:$C$82</c:f>
              <c:numCache>
                <c:formatCode>#,##0\ [$€-1]</c:formatCode>
                <c:ptCount val="26"/>
                <c:pt idx="0">
                  <c:v>-113023.23764639087</c:v>
                </c:pt>
                <c:pt idx="1">
                  <c:v>-105205.0869390053</c:v>
                </c:pt>
                <c:pt idx="2">
                  <c:v>-97386.936231619693</c:v>
                </c:pt>
                <c:pt idx="3">
                  <c:v>-89568.785524234103</c:v>
                </c:pt>
                <c:pt idx="4">
                  <c:v>-81750.634816848527</c:v>
                </c:pt>
                <c:pt idx="5">
                  <c:v>-73932.484109462923</c:v>
                </c:pt>
                <c:pt idx="6">
                  <c:v>-66114.333402077333</c:v>
                </c:pt>
                <c:pt idx="7">
                  <c:v>-58296.182694691743</c:v>
                </c:pt>
                <c:pt idx="8">
                  <c:v>-50478.03198730616</c:v>
                </c:pt>
                <c:pt idx="9">
                  <c:v>-42659.88127992057</c:v>
                </c:pt>
                <c:pt idx="10">
                  <c:v>-34841.73057253498</c:v>
                </c:pt>
                <c:pt idx="11">
                  <c:v>-27023.57986514939</c:v>
                </c:pt>
                <c:pt idx="12">
                  <c:v>-19205.429157763803</c:v>
                </c:pt>
                <c:pt idx="13">
                  <c:v>-11387.278450378217</c:v>
                </c:pt>
                <c:pt idx="14">
                  <c:v>-3569.1277429926122</c:v>
                </c:pt>
                <c:pt idx="15">
                  <c:v>4249.0229643929706</c:v>
                </c:pt>
                <c:pt idx="16">
                  <c:v>12067.173671778553</c:v>
                </c:pt>
                <c:pt idx="17">
                  <c:v>19885.324379164151</c:v>
                </c:pt>
                <c:pt idx="18">
                  <c:v>27703.475086549741</c:v>
                </c:pt>
                <c:pt idx="19">
                  <c:v>35521.625793935331</c:v>
                </c:pt>
                <c:pt idx="20">
                  <c:v>43339.776501320921</c:v>
                </c:pt>
                <c:pt idx="21">
                  <c:v>51157.927208706511</c:v>
                </c:pt>
                <c:pt idx="22">
                  <c:v>58976.077916092087</c:v>
                </c:pt>
                <c:pt idx="23">
                  <c:v>66794.228623477684</c:v>
                </c:pt>
                <c:pt idx="24">
                  <c:v>74612.379330863245</c:v>
                </c:pt>
                <c:pt idx="25">
                  <c:v>82430.530038248864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F-2E4D-ACB0-ABE14D49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104"/>
        <c:axId val="194047936"/>
      </c:lineChart>
      <c:catAx>
        <c:axId val="194543104"/>
        <c:scaling>
          <c:orientation val="minMax"/>
        </c:scaling>
        <c:delete val="0"/>
        <c:axPos val="b"/>
        <c:numFmt formatCode="_-* #,##0.00&quot; €&quot;_-;\-* #,##0.00&quot; €&quot;_-;_-* \-??&quot; €&quot;_-;_-@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4047936"/>
        <c:crosses val="autoZero"/>
        <c:auto val="1"/>
        <c:lblAlgn val="ctr"/>
        <c:lblOffset val="100"/>
        <c:noMultiLvlLbl val="1"/>
      </c:catAx>
      <c:valAx>
        <c:axId val="194047936"/>
        <c:scaling>
          <c:orientation val="minMax"/>
        </c:scaling>
        <c:delete val="0"/>
        <c:axPos val="l"/>
        <c:majorGridlines>
          <c:spPr>
            <a:ln>
              <a:solidFill>
                <a:srgbClr val="878787"/>
              </a:solidFill>
            </a:ln>
          </c:spPr>
        </c:majorGridlines>
        <c:numFmt formatCode="#,##0\ [$€-1]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454310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542925</xdr:colOff>
      <xdr:row>18</xdr:row>
      <xdr:rowOff>124883</xdr:rowOff>
    </xdr:from>
    <xdr:ext cx="5029200" cy="3533775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37D2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438150</xdr:colOff>
      <xdr:row>54</xdr:row>
      <xdr:rowOff>76778</xdr:rowOff>
    </xdr:from>
    <xdr:ext cx="5743575" cy="4324350"/>
    <xdr:graphicFrame macro="">
      <xdr:nvGraphicFramePr>
        <xdr:cNvPr id="9" name="Chart 2" title="Chart">
          <a:extLst>
            <a:ext uri="{FF2B5EF4-FFF2-40B4-BE49-F238E27FC236}">
              <a16:creationId xmlns:a16="http://schemas.microsoft.com/office/drawing/2014/main" id="{00000000-0008-0000-0600-000019323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o Clavera Poza" id="{65CA1178-0695-47C8-978C-FE6A8BEF2469}" userId="S::acp36@alumnes.udl.cat::6bebd3c9-e928-4584-811d-3dbb062be445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5-09T17:12:04.29" personId="{65CA1178-0695-47C8-978C-FE6A8BEF2469}" id="{220920C5-4451-471F-A81C-C0595A8872FD}">
    <text>que es?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es/KRYPTON-Teclado-Gaming-Multicolor-Retroiluminaci%C3%B3n/dp/B07YT113RP/ref=sr_1_4?keywords=pack+perifericos&amp;qid=1683647871&amp;sprefix=pack+perife%2Caps%2C102&amp;sr=8-4" TargetMode="External"/><Relationship Id="rId2" Type="http://schemas.openxmlformats.org/officeDocument/2006/relationships/hyperlink" Target="https://www.pccomponentes.com/dell-e2216hv-22-led-fullhd" TargetMode="External"/><Relationship Id="rId1" Type="http://schemas.openxmlformats.org/officeDocument/2006/relationships/hyperlink" Target="https://www.dell.com/es-es/shop/port%C3%A1tiles-dell/port%C3%A1til-inspiron-15/spd/inspiron-15-3520-laptop/cn320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gestoriaonline.es/cuanto-cuesta-constituir-una-sociedad-limitad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vanguardia.com/vida/20170609/423286119215/en-cataluna-hay-20000-entidades-no-lucrativas-una-por-cada-330-habitantes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asesoriafiscalsevilla.org/blog/que-impuestos-pagan-las-sociedades-limitadas" TargetMode="External"/><Relationship Id="rId1" Type="http://schemas.openxmlformats.org/officeDocument/2006/relationships/hyperlink" Target="https://shorturl.at/mtFIQ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bde.es/webbde/es/estadis/tipos/tip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38"/>
  <sheetViews>
    <sheetView topLeftCell="A6" zoomScale="130" zoomScaleNormal="130" workbookViewId="0">
      <selection activeCell="B16" sqref="B16"/>
    </sheetView>
  </sheetViews>
  <sheetFormatPr defaultColWidth="14.42578125" defaultRowHeight="15" customHeight="1"/>
  <cols>
    <col min="1" max="1" width="36.42578125" customWidth="1"/>
    <col min="2" max="2" width="14.7109375" customWidth="1"/>
    <col min="4" max="4" width="21.28515625" customWidth="1"/>
    <col min="5" max="11" width="11.140625" customWidth="1"/>
    <col min="12" max="12" width="35.42578125" customWidth="1"/>
    <col min="13" max="17" width="11.140625" customWidth="1"/>
    <col min="18" max="26" width="8.7109375" customWidth="1"/>
  </cols>
  <sheetData>
    <row r="2" spans="1:12" ht="13.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3.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3.5" customHeight="1">
      <c r="A4" s="6" t="s">
        <v>1</v>
      </c>
      <c r="B4" s="8" t="s">
        <v>2</v>
      </c>
      <c r="C4" s="8" t="s">
        <v>3</v>
      </c>
      <c r="D4" s="236" t="s">
        <v>4</v>
      </c>
      <c r="E4" s="275"/>
      <c r="F4" s="275"/>
      <c r="G4" s="275"/>
      <c r="H4" s="275"/>
      <c r="I4" s="275"/>
      <c r="J4" s="275"/>
      <c r="K4" s="275"/>
      <c r="L4" s="276"/>
    </row>
    <row r="5" spans="1:12" ht="13.5" customHeight="1">
      <c r="A5" s="11" t="s">
        <v>5</v>
      </c>
      <c r="B5" s="12"/>
      <c r="C5" s="17"/>
      <c r="D5" s="1"/>
      <c r="E5" s="1"/>
      <c r="F5" s="1"/>
      <c r="G5" s="1"/>
      <c r="H5" s="1"/>
      <c r="I5" s="1"/>
      <c r="J5" s="1"/>
      <c r="K5" s="1"/>
      <c r="L5" s="1"/>
    </row>
    <row r="6" spans="1:12" ht="12.75">
      <c r="A6" s="221"/>
      <c r="B6" s="220"/>
      <c r="C6" s="219"/>
      <c r="D6" s="234"/>
      <c r="E6" s="235"/>
      <c r="F6" s="235"/>
      <c r="G6" s="235"/>
      <c r="H6" s="235"/>
      <c r="I6" s="235"/>
      <c r="J6" s="235"/>
      <c r="K6" s="235"/>
      <c r="L6" s="235"/>
    </row>
    <row r="7" spans="1:12" ht="12.75">
      <c r="A7" s="221"/>
      <c r="B7" s="220"/>
      <c r="C7" s="219"/>
      <c r="D7" s="234"/>
      <c r="E7" s="239"/>
      <c r="F7" s="239"/>
      <c r="G7" s="239"/>
      <c r="H7" s="239"/>
      <c r="I7" s="239"/>
      <c r="J7" s="239"/>
      <c r="K7" s="239"/>
      <c r="L7" s="239"/>
    </row>
    <row r="8" spans="1:12" ht="12.75">
      <c r="A8" s="19"/>
      <c r="B8" s="220"/>
      <c r="C8" s="219"/>
      <c r="D8" s="240"/>
      <c r="E8" s="241"/>
      <c r="F8" s="241"/>
      <c r="G8" s="241"/>
      <c r="H8" s="241"/>
      <c r="I8" s="241"/>
      <c r="J8" s="241"/>
      <c r="K8" s="241"/>
      <c r="L8" s="241"/>
    </row>
    <row r="9" spans="1:12" ht="12.75">
      <c r="A9" s="19"/>
      <c r="B9" s="21"/>
      <c r="C9" s="19"/>
      <c r="D9" s="242"/>
      <c r="E9" s="277"/>
      <c r="F9" s="277"/>
      <c r="G9" s="277"/>
      <c r="H9" s="277"/>
      <c r="I9" s="277"/>
      <c r="J9" s="277"/>
      <c r="K9" s="277"/>
      <c r="L9" s="277"/>
    </row>
    <row r="10" spans="1:12" ht="12.75">
      <c r="B10" s="21"/>
      <c r="C10" s="19"/>
      <c r="D10" s="243"/>
      <c r="E10" s="277"/>
      <c r="F10" s="277"/>
      <c r="G10" s="277"/>
      <c r="H10" s="277"/>
      <c r="I10" s="277"/>
      <c r="J10" s="277"/>
      <c r="K10" s="277"/>
      <c r="L10" s="277"/>
    </row>
    <row r="11" spans="1:12" ht="12" customHeight="1">
      <c r="A11" s="11" t="s">
        <v>6</v>
      </c>
      <c r="B11" s="29"/>
      <c r="C11" s="11"/>
      <c r="D11" s="244"/>
      <c r="E11" s="277"/>
      <c r="F11" s="277"/>
      <c r="G11" s="277"/>
      <c r="H11" s="277"/>
      <c r="I11" s="277"/>
      <c r="J11" s="277"/>
      <c r="K11" s="277"/>
      <c r="L11" s="277"/>
    </row>
    <row r="12" spans="1:12" ht="12.75">
      <c r="A12" s="19" t="s">
        <v>7</v>
      </c>
      <c r="B12" s="220">
        <v>849</v>
      </c>
      <c r="C12" s="219">
        <v>0.13</v>
      </c>
      <c r="D12" s="240" t="s">
        <v>8</v>
      </c>
      <c r="E12" s="241"/>
      <c r="F12" s="241"/>
      <c r="G12" s="241"/>
      <c r="H12" s="241"/>
      <c r="I12" s="241"/>
      <c r="J12" s="241"/>
      <c r="K12" s="241"/>
      <c r="L12" s="241"/>
    </row>
    <row r="13" spans="1:12" ht="12.75">
      <c r="A13" s="32" t="s">
        <v>9</v>
      </c>
      <c r="B13" s="34">
        <v>131.62</v>
      </c>
      <c r="C13" s="219">
        <v>0</v>
      </c>
      <c r="D13" s="237" t="s">
        <v>10</v>
      </c>
      <c r="E13" s="238"/>
      <c r="F13" s="238"/>
      <c r="G13" s="238"/>
      <c r="H13" s="238"/>
      <c r="I13" s="238"/>
      <c r="J13" s="238"/>
      <c r="K13" s="238"/>
      <c r="L13" s="238"/>
    </row>
    <row r="14" spans="1:12" ht="12.75">
      <c r="A14" s="37" t="s">
        <v>11</v>
      </c>
      <c r="B14" s="222">
        <v>29.99</v>
      </c>
      <c r="C14" s="219">
        <v>0</v>
      </c>
      <c r="D14" s="240" t="s">
        <v>12</v>
      </c>
      <c r="E14" s="241"/>
      <c r="F14" s="241"/>
      <c r="G14" s="241"/>
      <c r="H14" s="241"/>
      <c r="I14" s="241"/>
      <c r="J14" s="241"/>
      <c r="K14" s="241"/>
      <c r="L14" s="241"/>
    </row>
    <row r="15" spans="1:12" ht="12" customHeight="1">
      <c r="A15" s="1"/>
      <c r="B15" s="1"/>
      <c r="C15" s="1"/>
      <c r="D15" s="278"/>
      <c r="E15" s="277"/>
      <c r="F15" s="277"/>
      <c r="G15" s="277"/>
      <c r="H15" s="277"/>
      <c r="I15" s="277"/>
      <c r="J15" s="277"/>
      <c r="K15" s="277"/>
      <c r="L15" s="277"/>
    </row>
    <row r="16" spans="1:12" ht="12" customHeight="1">
      <c r="A16" s="1"/>
      <c r="B16" s="1"/>
      <c r="C16" s="1"/>
      <c r="D16" s="278"/>
      <c r="E16" s="277"/>
      <c r="F16" s="277"/>
      <c r="G16" s="277"/>
      <c r="H16" s="277"/>
      <c r="I16" s="277"/>
      <c r="J16" s="277"/>
      <c r="K16" s="277"/>
      <c r="L16" s="277"/>
    </row>
    <row r="17" spans="1:12" ht="12" customHeight="1">
      <c r="A17" s="1"/>
      <c r="B17" s="1"/>
      <c r="C17" s="1"/>
      <c r="D17" s="278"/>
      <c r="E17" s="277"/>
      <c r="F17" s="277"/>
      <c r="G17" s="277"/>
      <c r="H17" s="277"/>
      <c r="I17" s="277"/>
      <c r="J17" s="277"/>
      <c r="K17" s="277"/>
      <c r="L17" s="277"/>
    </row>
    <row r="18" spans="1:12" ht="13.5" customHeight="1">
      <c r="A18" s="1"/>
      <c r="B18" s="1"/>
      <c r="C18" s="1"/>
      <c r="D18" s="278"/>
      <c r="E18" s="277"/>
      <c r="F18" s="277"/>
      <c r="G18" s="277"/>
      <c r="H18" s="277"/>
      <c r="I18" s="277"/>
      <c r="J18" s="277"/>
      <c r="K18" s="277"/>
      <c r="L18" s="277"/>
    </row>
    <row r="19" spans="1:12" ht="13.5" customHeight="1">
      <c r="A19" s="1"/>
      <c r="B19" s="1"/>
      <c r="C19" s="1"/>
      <c r="D19" s="278"/>
      <c r="E19" s="277"/>
      <c r="F19" s="277"/>
      <c r="G19" s="277"/>
      <c r="H19" s="277"/>
      <c r="I19" s="277"/>
      <c r="J19" s="277"/>
      <c r="K19" s="277"/>
      <c r="L19" s="277"/>
    </row>
    <row r="20" spans="1:12" ht="13.5" customHeight="1">
      <c r="A20" s="1"/>
      <c r="B20" s="1"/>
      <c r="C20" s="1"/>
      <c r="D20" s="278"/>
      <c r="E20" s="277"/>
      <c r="F20" s="277"/>
      <c r="G20" s="277"/>
      <c r="H20" s="277"/>
      <c r="I20" s="277"/>
      <c r="J20" s="277"/>
      <c r="K20" s="277"/>
      <c r="L20" s="277"/>
    </row>
    <row r="21" spans="1:12" ht="13.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3.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3.5" customHeight="1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3.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3.5" customHeight="1">
      <c r="A25" s="6" t="s">
        <v>1</v>
      </c>
      <c r="B25" s="6" t="s">
        <v>13</v>
      </c>
      <c r="C25" s="6" t="s">
        <v>14</v>
      </c>
      <c r="D25" s="6" t="s">
        <v>15</v>
      </c>
      <c r="E25" s="8" t="s">
        <v>16</v>
      </c>
      <c r="F25" s="1"/>
      <c r="G25" s="1"/>
      <c r="H25" s="1"/>
      <c r="I25" s="1"/>
      <c r="J25" s="1"/>
      <c r="K25" s="1"/>
      <c r="L25" s="1"/>
    </row>
    <row r="26" spans="1:12" ht="13.5" customHeight="1">
      <c r="A26" s="11" t="s">
        <v>5</v>
      </c>
      <c r="B26" s="12"/>
      <c r="C26" s="17"/>
      <c r="D26" s="11"/>
      <c r="E26" s="17"/>
      <c r="F26" s="1"/>
      <c r="G26" s="1"/>
      <c r="H26" s="1"/>
      <c r="I26" s="1"/>
      <c r="J26" s="1"/>
      <c r="K26" s="1"/>
      <c r="L26" s="1"/>
    </row>
    <row r="27" spans="1:12" ht="12" customHeight="1">
      <c r="A27" s="40">
        <f>A6</f>
        <v>0</v>
      </c>
      <c r="B27" s="40">
        <v>0</v>
      </c>
      <c r="C27" s="41">
        <f>B6</f>
        <v>0</v>
      </c>
      <c r="D27" s="41">
        <f t="shared" ref="D27:D31" si="0">B27*C27</f>
        <v>0</v>
      </c>
      <c r="E27" s="42" t="str">
        <f>IF(D27&gt;0,D27/D$36,"")</f>
        <v/>
      </c>
      <c r="F27" s="1"/>
      <c r="G27" s="1"/>
      <c r="H27" s="1"/>
      <c r="I27" s="1"/>
      <c r="J27" s="1"/>
      <c r="K27" s="1"/>
      <c r="L27" s="1"/>
    </row>
    <row r="28" spans="1:12" ht="12" customHeight="1">
      <c r="A28" s="40">
        <f>A7</f>
        <v>0</v>
      </c>
      <c r="B28" s="40">
        <v>0</v>
      </c>
      <c r="C28" s="41">
        <f>B7</f>
        <v>0</v>
      </c>
      <c r="D28" s="41">
        <f t="shared" si="0"/>
        <v>0</v>
      </c>
      <c r="E28" s="42" t="str">
        <f>IF(D28&gt;0,D28/D$36,"")</f>
        <v/>
      </c>
      <c r="F28" s="1"/>
      <c r="G28" s="1"/>
      <c r="H28" s="1"/>
      <c r="I28" s="1"/>
      <c r="J28" s="1"/>
      <c r="K28" s="1"/>
      <c r="L28" s="1"/>
    </row>
    <row r="29" spans="1:12" ht="12" customHeight="1">
      <c r="A29" s="40">
        <f>A8</f>
        <v>0</v>
      </c>
      <c r="B29" s="40">
        <v>0</v>
      </c>
      <c r="C29" s="41"/>
      <c r="D29" s="41"/>
      <c r="E29" s="42"/>
      <c r="F29" s="1"/>
      <c r="G29" s="1"/>
      <c r="H29" s="1"/>
      <c r="I29" s="1"/>
      <c r="J29" s="1"/>
      <c r="K29" s="1"/>
      <c r="L29" s="1"/>
    </row>
    <row r="30" spans="1:12" ht="12" customHeight="1">
      <c r="A30" s="40">
        <f>A9</f>
        <v>0</v>
      </c>
      <c r="B30" s="40">
        <v>0</v>
      </c>
      <c r="C30" s="41">
        <f>B8</f>
        <v>0</v>
      </c>
      <c r="D30" s="41">
        <f t="shared" si="0"/>
        <v>0</v>
      </c>
      <c r="E30" s="42" t="str">
        <f>IF(D30&gt;0,D30/D$36,"")</f>
        <v/>
      </c>
      <c r="F30" s="1"/>
      <c r="G30" s="1"/>
      <c r="H30" s="1"/>
      <c r="I30" s="1"/>
      <c r="J30" s="1"/>
      <c r="K30" s="1"/>
      <c r="L30" s="1"/>
    </row>
    <row r="31" spans="1:12" ht="12" customHeight="1">
      <c r="A31" s="40">
        <f>A10</f>
        <v>0</v>
      </c>
      <c r="B31" s="19">
        <v>0</v>
      </c>
      <c r="C31" s="41">
        <f>B10</f>
        <v>0</v>
      </c>
      <c r="D31" s="41">
        <f t="shared" si="0"/>
        <v>0</v>
      </c>
      <c r="E31" s="42" t="str">
        <f>IF(D31&gt;0,D31/D$36,"")</f>
        <v/>
      </c>
      <c r="F31" s="1"/>
      <c r="G31" s="1"/>
      <c r="H31" s="1"/>
      <c r="I31" s="1"/>
      <c r="J31" s="1"/>
      <c r="K31" s="1"/>
      <c r="L31" s="1"/>
    </row>
    <row r="32" spans="1:12" ht="12" customHeight="1">
      <c r="A32" s="11" t="str">
        <f>A11</f>
        <v>HARDWARE</v>
      </c>
      <c r="B32" s="43"/>
      <c r="C32" s="44"/>
      <c r="D32" s="44"/>
      <c r="E32" s="45" t="str">
        <f>IF(D32&gt;0,D32/D$36,"")</f>
        <v/>
      </c>
      <c r="F32" s="1"/>
      <c r="G32" s="1"/>
      <c r="H32" s="1"/>
      <c r="I32" s="1"/>
      <c r="J32" s="1"/>
      <c r="K32" s="1"/>
      <c r="L32" s="1"/>
    </row>
    <row r="33" spans="1:5" ht="12" customHeight="1">
      <c r="A33" s="40" t="str">
        <f>A12</f>
        <v>Computer</v>
      </c>
      <c r="B33" s="19">
        <v>1</v>
      </c>
      <c r="C33" s="41">
        <v>849</v>
      </c>
      <c r="D33" s="41">
        <f>B33*C33</f>
        <v>849</v>
      </c>
      <c r="E33" s="42">
        <f>IF(D33&gt;0,D33/D$36,"")</f>
        <v>0.84008668032178579</v>
      </c>
    </row>
    <row r="34" spans="1:5" ht="12" customHeight="1">
      <c r="A34" s="40" t="str">
        <f t="shared" ref="A34:A35" si="1">A13</f>
        <v>Monitor</v>
      </c>
      <c r="B34" s="19">
        <v>1</v>
      </c>
      <c r="C34" s="41">
        <f t="shared" ref="C34:C35" si="2">B13</f>
        <v>131.62</v>
      </c>
      <c r="D34" s="41">
        <f t="shared" ref="D33:D35" si="3">B34*C34</f>
        <v>131.62</v>
      </c>
      <c r="E34" s="42">
        <f>IF(D34&gt;0,D34/D$36,"")</f>
        <v>0.13023817298463305</v>
      </c>
    </row>
    <row r="35" spans="1:5" ht="12" customHeight="1">
      <c r="A35" s="40" t="str">
        <f t="shared" si="1"/>
        <v>Periferics</v>
      </c>
      <c r="B35" s="19">
        <v>1</v>
      </c>
      <c r="C35" s="41">
        <f t="shared" si="2"/>
        <v>29.99</v>
      </c>
      <c r="D35" s="41">
        <f t="shared" si="3"/>
        <v>29.99</v>
      </c>
      <c r="E35" s="42">
        <f>IF(D35&gt;0,D35/D$36,"")</f>
        <v>2.9675146693581102E-2</v>
      </c>
    </row>
    <row r="36" spans="1:5" ht="13.5" customHeight="1">
      <c r="A36" s="46" t="s">
        <v>17</v>
      </c>
      <c r="B36" s="47"/>
      <c r="C36" s="48"/>
      <c r="D36" s="49">
        <f>SUM(D27:D35)</f>
        <v>1010.61</v>
      </c>
      <c r="E36" s="50">
        <f>IF(D36&gt;0,D36/D$36,"")</f>
        <v>1</v>
      </c>
    </row>
    <row r="37" spans="1:5" ht="13.5" customHeight="1">
      <c r="A37" s="40" t="s">
        <v>18</v>
      </c>
      <c r="B37" s="19"/>
      <c r="C37" s="51"/>
      <c r="D37" s="41">
        <f>SUM(D27:D31)</f>
        <v>0</v>
      </c>
      <c r="E37" s="42" t="str">
        <f>IF(D37&gt;0,D37/D$36,"")</f>
        <v/>
      </c>
    </row>
    <row r="38" spans="1:5" ht="13.5" customHeight="1">
      <c r="A38" s="40" t="s">
        <v>19</v>
      </c>
      <c r="B38" s="19"/>
      <c r="C38" s="51"/>
      <c r="D38" s="41">
        <f>SUM(D33:D35)</f>
        <v>1010.61</v>
      </c>
      <c r="E38" s="42">
        <f>IF(D38&gt;0,D38/D$36,"")</f>
        <v>1</v>
      </c>
    </row>
  </sheetData>
  <mergeCells count="16">
    <mergeCell ref="D6:L6"/>
    <mergeCell ref="D4:L4"/>
    <mergeCell ref="D19:L19"/>
    <mergeCell ref="D20:L20"/>
    <mergeCell ref="D13:L13"/>
    <mergeCell ref="D7:L7"/>
    <mergeCell ref="D8:L8"/>
    <mergeCell ref="D9:L9"/>
    <mergeCell ref="D10:L10"/>
    <mergeCell ref="D11:L11"/>
    <mergeCell ref="D12:L12"/>
    <mergeCell ref="D14:L14"/>
    <mergeCell ref="D15:L15"/>
    <mergeCell ref="D16:L16"/>
    <mergeCell ref="D17:L17"/>
    <mergeCell ref="D18:L18"/>
  </mergeCells>
  <hyperlinks>
    <hyperlink ref="D12:L12" r:id="rId1" display="https://www.dell.com/es-es/shop/port%C3%A1tiles-dell/port%C3%A1til-inspiron-15/spd/inspiron-15-3520-laptop/cn32009" xr:uid="{34C9DB9E-5E6D-49DB-8B3E-1F27ED14994F}"/>
    <hyperlink ref="D13:L13" r:id="rId2" display="https://www.pccomponentes.com/dell-e2216hv-22-led-fullhd" xr:uid="{D72CB063-DDC4-4783-AC06-652597E81D28}"/>
    <hyperlink ref="D14:L14" r:id="rId3" display="https://www.amazon.es/KRYPTON-Teclado-Gaming-Multicolor-Retroiluminaci%C3%B3n/dp/B07YT113RP/ref=sr_1_4?keywords=pack+perifericos&amp;qid=1683647871&amp;sprefix=pack+perife%2Caps%2C102&amp;sr=8-4" xr:uid="{16439816-6C09-4E31-97AA-4A1137FB0E4D}"/>
  </hyperlinks>
  <pageMargins left="0.23611111111111099" right="0.23611111111111099" top="0.74861111111111101" bottom="0.74791666666666701" header="0" footer="0"/>
  <pageSetup orientation="landscape"/>
  <headerFooter>
    <oddHeader>&amp;LPRÁCTICA 4-5: Evaluación económica del plan de tecnologías&amp;R&amp;A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abSelected="1" zoomScale="130" zoomScaleNormal="130" workbookViewId="0">
      <selection activeCell="D18" sqref="D18"/>
    </sheetView>
  </sheetViews>
  <sheetFormatPr defaultColWidth="14.42578125" defaultRowHeight="15" customHeight="1"/>
  <cols>
    <col min="1" max="1" width="52.7109375" customWidth="1"/>
    <col min="2" max="2" width="18.140625" customWidth="1"/>
    <col min="3" max="3" width="13" customWidth="1"/>
    <col min="4" max="4" width="69.28515625" customWidth="1"/>
    <col min="5" max="5" width="12" customWidth="1"/>
    <col min="6" max="6" width="11.140625" customWidth="1"/>
    <col min="7" max="26" width="8.7109375" customWidth="1"/>
  </cols>
  <sheetData>
    <row r="1" spans="1:14" ht="26.25" customHeight="1">
      <c r="A1" s="2" t="s">
        <v>20</v>
      </c>
      <c r="B1" s="5" t="s">
        <v>15</v>
      </c>
      <c r="C1" s="5" t="s">
        <v>16</v>
      </c>
      <c r="D1" s="7" t="s">
        <v>4</v>
      </c>
      <c r="E1" s="248" t="s">
        <v>21</v>
      </c>
      <c r="F1" s="275"/>
      <c r="G1" s="275"/>
      <c r="H1" s="275"/>
      <c r="I1" s="275"/>
      <c r="J1" s="275"/>
      <c r="K1" s="275"/>
      <c r="L1" s="275"/>
      <c r="M1" s="275"/>
      <c r="N1" s="275"/>
    </row>
    <row r="2" spans="1:14" ht="25.5" customHeight="1">
      <c r="A2" s="10" t="s">
        <v>22</v>
      </c>
      <c r="B2" s="14">
        <f>SUM(B3:B5)</f>
        <v>400</v>
      </c>
      <c r="C2" s="18">
        <f>IF($B$24&lt;&gt;0,(B2/$B$24)*100,0)</f>
        <v>0.80818214922424714</v>
      </c>
      <c r="D2" s="3"/>
      <c r="E2" s="3"/>
      <c r="F2" s="3"/>
      <c r="G2" s="1"/>
      <c r="H2" s="1"/>
      <c r="I2" s="1"/>
      <c r="J2" s="1"/>
      <c r="K2" s="1"/>
      <c r="L2" s="1"/>
      <c r="M2" s="1"/>
      <c r="N2" s="1"/>
    </row>
    <row r="3" spans="1:14" ht="12.95">
      <c r="A3" s="20" t="s">
        <v>23</v>
      </c>
      <c r="B3" s="22">
        <v>0</v>
      </c>
      <c r="C3" s="23">
        <f>IF($B$24&lt;&gt;0,(B3/$B$24)*100,0)</f>
        <v>0</v>
      </c>
      <c r="G3" s="1"/>
      <c r="H3" s="1"/>
      <c r="I3" s="1"/>
      <c r="J3" s="1"/>
      <c r="K3" s="1"/>
      <c r="L3" s="1"/>
      <c r="M3" s="1"/>
      <c r="N3" s="1"/>
    </row>
    <row r="4" spans="1:14" ht="12.95">
      <c r="A4" s="25" t="s">
        <v>24</v>
      </c>
      <c r="B4" s="26">
        <v>0</v>
      </c>
      <c r="C4" s="23">
        <f>IF($B$24&lt;&gt;0,(B4/$B$24)*100,0)</f>
        <v>0</v>
      </c>
      <c r="D4" s="212"/>
      <c r="E4" s="247"/>
      <c r="F4" s="277"/>
      <c r="G4" s="277"/>
      <c r="H4" s="277"/>
      <c r="I4" s="277"/>
      <c r="J4" s="277"/>
      <c r="K4" s="277"/>
      <c r="L4" s="277"/>
      <c r="M4" s="277"/>
      <c r="N4" s="277"/>
    </row>
    <row r="5" spans="1:14" ht="12.75">
      <c r="A5" s="25" t="s">
        <v>25</v>
      </c>
      <c r="B5" s="26">
        <v>400</v>
      </c>
      <c r="C5" s="23">
        <f>IF($B$24&lt;&gt;0,(B5/$B$24)*100,0)</f>
        <v>0.80818214922424714</v>
      </c>
      <c r="D5" s="218" t="s">
        <v>26</v>
      </c>
      <c r="E5" s="277"/>
      <c r="F5" s="277"/>
      <c r="G5" s="277"/>
      <c r="H5" s="277"/>
      <c r="I5" s="277"/>
      <c r="J5" s="277"/>
      <c r="K5" s="277"/>
      <c r="L5" s="277"/>
      <c r="M5" s="277"/>
      <c r="N5" s="277"/>
    </row>
    <row r="6" spans="1:14" ht="20.25" customHeight="1">
      <c r="A6" s="10" t="s">
        <v>27</v>
      </c>
      <c r="B6" s="14">
        <f>SUM(B7:B9)</f>
        <v>0</v>
      </c>
      <c r="C6" s="18">
        <f>IF($B$24&lt;&gt;0,(B6/$B$24)*100,0)</f>
        <v>0</v>
      </c>
      <c r="D6" s="3"/>
      <c r="E6" s="279"/>
      <c r="F6" s="277"/>
      <c r="G6" s="277"/>
      <c r="H6" s="277"/>
      <c r="I6" s="277"/>
      <c r="J6" s="277"/>
      <c r="K6" s="277"/>
      <c r="L6" s="277"/>
      <c r="M6" s="277"/>
      <c r="N6" s="277"/>
    </row>
    <row r="7" spans="1:14" ht="12.75">
      <c r="A7" s="20" t="s">
        <v>28</v>
      </c>
      <c r="B7" s="26">
        <v>0</v>
      </c>
      <c r="C7" s="23">
        <f>IF($B$24&lt;&gt;0,(B7/$B$24)*100,0)</f>
        <v>0</v>
      </c>
      <c r="D7" s="212"/>
      <c r="E7" s="277"/>
      <c r="F7" s="277"/>
      <c r="G7" s="277"/>
      <c r="H7" s="277"/>
      <c r="I7" s="277"/>
      <c r="J7" s="277"/>
      <c r="K7" s="277"/>
      <c r="L7" s="277"/>
      <c r="M7" s="277"/>
      <c r="N7" s="277"/>
    </row>
    <row r="8" spans="1:14" ht="12.75">
      <c r="A8" s="25" t="s">
        <v>29</v>
      </c>
      <c r="B8" s="26">
        <v>0</v>
      </c>
      <c r="C8" s="23">
        <f>IF($B$24&lt;&gt;0,(B8/$B$24)*100,0)</f>
        <v>0</v>
      </c>
      <c r="D8" s="218"/>
      <c r="E8" s="247"/>
      <c r="F8" s="277"/>
      <c r="G8" s="277"/>
      <c r="H8" s="277"/>
      <c r="I8" s="277"/>
      <c r="J8" s="277"/>
      <c r="K8" s="277"/>
      <c r="L8" s="277"/>
      <c r="M8" s="277"/>
      <c r="N8" s="277"/>
    </row>
    <row r="9" spans="1:14" ht="12.95">
      <c r="A9" s="20" t="s">
        <v>30</v>
      </c>
      <c r="B9" s="26">
        <v>0</v>
      </c>
      <c r="C9" s="23">
        <f>IF($B$24&lt;&gt;0,(B9/$B$24)*100,0)</f>
        <v>0</v>
      </c>
      <c r="D9" s="212"/>
      <c r="E9" s="245"/>
      <c r="F9" s="277"/>
      <c r="G9" s="277"/>
      <c r="H9" s="277"/>
      <c r="I9" s="277"/>
      <c r="J9" s="277"/>
      <c r="K9" s="277"/>
      <c r="L9" s="277"/>
      <c r="M9" s="277"/>
      <c r="N9" s="277"/>
    </row>
    <row r="10" spans="1:14" ht="21.75" customHeight="1">
      <c r="A10" s="10" t="s">
        <v>31</v>
      </c>
      <c r="B10" s="14">
        <f>SUM(B11:B18)</f>
        <v>1010.61</v>
      </c>
      <c r="C10" s="18">
        <f>IF($B$24&lt;&gt;0,(B10/$B$24)*100,0)</f>
        <v>2.0418924045687912</v>
      </c>
      <c r="D10" s="3"/>
      <c r="E10" s="279"/>
      <c r="F10" s="277"/>
      <c r="G10" s="277"/>
      <c r="H10" s="277"/>
      <c r="I10" s="277"/>
      <c r="J10" s="277"/>
      <c r="K10" s="277"/>
      <c r="L10" s="277"/>
      <c r="M10" s="277"/>
      <c r="N10" s="277"/>
    </row>
    <row r="11" spans="1:14" ht="12" customHeight="1">
      <c r="A11" s="20" t="s">
        <v>32</v>
      </c>
      <c r="B11" s="26">
        <v>0</v>
      </c>
      <c r="C11" s="23">
        <f>IF($B$24&lt;&gt;0,(B11/$B$24)*100,0)</f>
        <v>0</v>
      </c>
      <c r="E11" s="246" t="s">
        <v>33</v>
      </c>
      <c r="F11" s="246"/>
      <c r="G11" s="246"/>
      <c r="H11" s="246"/>
      <c r="I11" s="246"/>
      <c r="J11" s="246"/>
      <c r="K11" s="246"/>
      <c r="L11" s="246"/>
      <c r="M11" s="246"/>
      <c r="N11" s="246"/>
    </row>
    <row r="12" spans="1:14" ht="12" customHeight="1">
      <c r="A12" s="20" t="s">
        <v>34</v>
      </c>
      <c r="B12" s="26">
        <v>0</v>
      </c>
      <c r="C12" s="23">
        <f>IF($B$24&lt;&gt;0,(B12/$B$24)*100,0)</f>
        <v>0</v>
      </c>
      <c r="D12" s="223"/>
      <c r="E12" s="246"/>
      <c r="F12" s="246"/>
      <c r="G12" s="246"/>
      <c r="H12" s="246"/>
      <c r="I12" s="246"/>
      <c r="J12" s="246"/>
      <c r="K12" s="246"/>
      <c r="L12" s="246"/>
      <c r="M12" s="246"/>
      <c r="N12" s="246"/>
    </row>
    <row r="13" spans="1:14" ht="12.95" customHeight="1">
      <c r="A13" s="20" t="s">
        <v>35</v>
      </c>
      <c r="B13" s="26">
        <v>0</v>
      </c>
      <c r="C13" s="23">
        <f>IF($B$24&lt;&gt;0,(B13/$B$24)*100,0)</f>
        <v>0</v>
      </c>
      <c r="D13" s="212"/>
      <c r="E13" s="246"/>
      <c r="F13" s="246"/>
      <c r="G13" s="246"/>
      <c r="H13" s="246"/>
      <c r="I13" s="246"/>
      <c r="J13" s="246"/>
      <c r="K13" s="246"/>
      <c r="L13" s="246"/>
      <c r="M13" s="246"/>
      <c r="N13" s="246"/>
    </row>
    <row r="14" spans="1:14" ht="12" customHeight="1">
      <c r="A14" s="20" t="s">
        <v>36</v>
      </c>
      <c r="B14" s="26">
        <v>0</v>
      </c>
      <c r="C14" s="23">
        <f>IF($B$24&lt;&gt;0,(B14/$B$24)*100,0)</f>
        <v>0</v>
      </c>
      <c r="E14" s="280"/>
      <c r="F14" s="277"/>
      <c r="G14" s="277"/>
      <c r="H14" s="277"/>
      <c r="I14" s="277"/>
      <c r="J14" s="277"/>
      <c r="K14" s="277"/>
      <c r="L14" s="277"/>
      <c r="M14" s="277"/>
      <c r="N14" s="277"/>
    </row>
    <row r="15" spans="1:14" ht="12" customHeight="1">
      <c r="A15" s="20" t="s">
        <v>37</v>
      </c>
      <c r="B15" s="26">
        <v>0</v>
      </c>
      <c r="C15" s="23">
        <f>IF($B$24&lt;&gt;0,(B15/$B$24)*100,0)</f>
        <v>0</v>
      </c>
      <c r="E15" s="280"/>
      <c r="F15" s="277"/>
      <c r="G15" s="277"/>
      <c r="H15" s="277"/>
      <c r="I15" s="277"/>
      <c r="J15" s="277"/>
      <c r="K15" s="277"/>
      <c r="L15" s="277"/>
      <c r="M15" s="277"/>
      <c r="N15" s="277"/>
    </row>
    <row r="16" spans="1:14" ht="12" customHeight="1">
      <c r="A16" s="20" t="s">
        <v>38</v>
      </c>
      <c r="B16" s="26">
        <f>PURCHASES!D37</f>
        <v>0</v>
      </c>
      <c r="C16" s="23">
        <f>IF($B$24&lt;&gt;0,(B16/$B$24)*100,0)</f>
        <v>0</v>
      </c>
      <c r="E16" s="277"/>
      <c r="F16" s="277"/>
      <c r="G16" s="277"/>
      <c r="H16" s="277"/>
      <c r="I16" s="277"/>
      <c r="J16" s="277"/>
      <c r="K16" s="277"/>
      <c r="L16" s="277"/>
      <c r="M16" s="277"/>
      <c r="N16" s="277"/>
    </row>
    <row r="17" spans="1:14" ht="12" customHeight="1">
      <c r="A17" s="25" t="s">
        <v>39</v>
      </c>
      <c r="B17" s="26">
        <f>PURCHASES!D38</f>
        <v>1010.61</v>
      </c>
      <c r="C17" s="23">
        <f>IF($B$24&lt;&gt;0,(B17/$B$24)*100,0)</f>
        <v>2.0418924045687912</v>
      </c>
      <c r="E17" s="277"/>
      <c r="F17" s="277"/>
      <c r="G17" s="277"/>
      <c r="H17" s="277"/>
      <c r="I17" s="277"/>
      <c r="J17" s="277"/>
      <c r="K17" s="277"/>
      <c r="L17" s="277"/>
      <c r="M17" s="277"/>
      <c r="N17" s="277"/>
    </row>
    <row r="18" spans="1:14" ht="15.75" customHeight="1">
      <c r="A18" s="20" t="s">
        <v>40</v>
      </c>
      <c r="B18" s="26">
        <v>0</v>
      </c>
      <c r="C18" s="23">
        <f>IF($B$24&lt;&gt;0,(B18/$B$24)*100,0)</f>
        <v>0</v>
      </c>
      <c r="E18" s="280"/>
      <c r="F18" s="277"/>
      <c r="G18" s="277"/>
      <c r="H18" s="277"/>
      <c r="I18" s="277"/>
      <c r="J18" s="277"/>
      <c r="K18" s="277"/>
      <c r="L18" s="277"/>
      <c r="M18" s="277"/>
      <c r="N18" s="277"/>
    </row>
    <row r="19" spans="1:14" ht="18.75" customHeight="1">
      <c r="A19" s="10" t="s">
        <v>41</v>
      </c>
      <c r="B19" s="14">
        <v>0</v>
      </c>
      <c r="C19" s="18">
        <f>IF($B$24&lt;&gt;0,(B19/$B$24)*100,0)</f>
        <v>0</v>
      </c>
      <c r="D19" s="3"/>
      <c r="E19" s="279"/>
      <c r="F19" s="277"/>
      <c r="G19" s="277"/>
      <c r="H19" s="277"/>
      <c r="I19" s="277"/>
      <c r="J19" s="277"/>
      <c r="K19" s="277"/>
      <c r="L19" s="277"/>
      <c r="M19" s="277"/>
      <c r="N19" s="277"/>
    </row>
    <row r="20" spans="1:14" ht="21" customHeight="1">
      <c r="A20" s="10" t="s">
        <v>42</v>
      </c>
      <c r="B20" s="14"/>
      <c r="C20" s="18">
        <f>IF($B$24&lt;&gt;0,(B20/$B$24)*100,0)</f>
        <v>0</v>
      </c>
      <c r="D20" s="3"/>
      <c r="E20" s="279"/>
      <c r="F20" s="277"/>
      <c r="G20" s="277"/>
      <c r="H20" s="277"/>
      <c r="I20" s="277"/>
      <c r="J20" s="277"/>
      <c r="K20" s="277"/>
      <c r="L20" s="277"/>
      <c r="M20" s="277"/>
      <c r="N20" s="277"/>
    </row>
    <row r="21" spans="1:14" ht="12" customHeight="1">
      <c r="A21" s="20" t="s">
        <v>30</v>
      </c>
      <c r="B21" s="26"/>
      <c r="C21" s="23">
        <f>IF($B$24&lt;&gt;0,(B21/$B$24)*100,0)</f>
        <v>0</v>
      </c>
      <c r="E21" s="280"/>
      <c r="F21" s="277"/>
      <c r="G21" s="277"/>
      <c r="H21" s="277"/>
      <c r="I21" s="277"/>
      <c r="J21" s="277"/>
      <c r="K21" s="277"/>
      <c r="L21" s="277"/>
      <c r="M21" s="277"/>
      <c r="N21" s="277"/>
    </row>
    <row r="22" spans="1:14" ht="23.25" customHeight="1">
      <c r="A22" s="10" t="s">
        <v>43</v>
      </c>
      <c r="B22" s="14">
        <f>B2+B6+B10+B19+B20</f>
        <v>1410.6100000000001</v>
      </c>
      <c r="C22" s="18">
        <f>IF($B$24&lt;&gt;0,(B22/$B$24)*100,0)</f>
        <v>2.8500745537930383</v>
      </c>
      <c r="D22" s="3"/>
      <c r="E22" s="279"/>
      <c r="F22" s="277"/>
      <c r="G22" s="277"/>
      <c r="H22" s="277"/>
      <c r="I22" s="277"/>
      <c r="J22" s="277"/>
      <c r="K22" s="277"/>
      <c r="L22" s="277"/>
      <c r="M22" s="277"/>
      <c r="N22" s="277"/>
    </row>
    <row r="23" spans="1:14" ht="21" customHeight="1">
      <c r="A23" s="10" t="s">
        <v>44</v>
      </c>
      <c r="B23" s="14">
        <f>'Preliminary results'!B7+'Preliminary results'!B13+'Preliminary results'!B25</f>
        <v>48083.182999999997</v>
      </c>
      <c r="C23" s="18">
        <f>IF($B$24&lt;&gt;0,(B23/$B$24)*100,0)</f>
        <v>97.149925446206964</v>
      </c>
      <c r="D23" s="3"/>
      <c r="E23" s="279"/>
      <c r="F23" s="277"/>
      <c r="G23" s="277"/>
      <c r="H23" s="277"/>
      <c r="I23" s="277"/>
      <c r="J23" s="277"/>
      <c r="K23" s="277"/>
      <c r="L23" s="277"/>
      <c r="M23" s="277"/>
      <c r="N23" s="277"/>
    </row>
    <row r="24" spans="1:14" ht="25.5" customHeight="1">
      <c r="A24" s="10" t="s">
        <v>45</v>
      </c>
      <c r="B24" s="14">
        <f>B22+B23</f>
        <v>49493.792999999998</v>
      </c>
      <c r="C24" s="18">
        <f>IF($B$24&lt;&gt;0,(B24/$B$24)*100,0)</f>
        <v>100</v>
      </c>
      <c r="D24" s="3"/>
      <c r="E24" s="279"/>
      <c r="F24" s="277"/>
      <c r="G24" s="277"/>
      <c r="H24" s="277"/>
      <c r="I24" s="277"/>
      <c r="J24" s="277"/>
      <c r="K24" s="277"/>
      <c r="L24" s="277"/>
      <c r="M24" s="277"/>
      <c r="N24" s="277"/>
    </row>
  </sheetData>
  <mergeCells count="20">
    <mergeCell ref="E8:N8"/>
    <mergeCell ref="E7:N7"/>
    <mergeCell ref="E5:N5"/>
    <mergeCell ref="E4:N4"/>
    <mergeCell ref="E1:N1"/>
    <mergeCell ref="E6:N6"/>
    <mergeCell ref="E14:N14"/>
    <mergeCell ref="E9:N9"/>
    <mergeCell ref="E10:N10"/>
    <mergeCell ref="E11:N13"/>
    <mergeCell ref="E22:N22"/>
    <mergeCell ref="E23:N23"/>
    <mergeCell ref="E24:N24"/>
    <mergeCell ref="E15:N15"/>
    <mergeCell ref="E16:N16"/>
    <mergeCell ref="E21:N21"/>
    <mergeCell ref="E17:N17"/>
    <mergeCell ref="E18:N18"/>
    <mergeCell ref="E19:N19"/>
    <mergeCell ref="E20:N20"/>
  </mergeCells>
  <hyperlinks>
    <hyperlink ref="D5" r:id="rId1" xr:uid="{C6003174-DA43-4E81-8E68-73CE4AB88BF6}"/>
  </hyperlinks>
  <pageMargins left="0.74791666666666701" right="0.74791666666666701" top="0.98402777777777795" bottom="0.98402777777777795" header="0" footer="0"/>
  <pageSetup paperSize="9" orientation="landscape"/>
  <headerFooter>
    <oddHeader>&amp;LPRÁCTICA 4-5: Evaluación económica del plan de tecnologías&amp;R&amp;A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zoomScale="130" zoomScaleNormal="130" workbookViewId="0">
      <selection activeCell="B3" sqref="B3"/>
    </sheetView>
  </sheetViews>
  <sheetFormatPr defaultColWidth="14.42578125" defaultRowHeight="15" customHeight="1"/>
  <cols>
    <col min="1" max="1" width="31.85546875" customWidth="1"/>
    <col min="2" max="2" width="14.42578125" customWidth="1"/>
    <col min="3" max="3" width="13.28515625" customWidth="1"/>
    <col min="4" max="4" width="33.28515625" customWidth="1"/>
    <col min="5" max="6" width="11.140625" customWidth="1"/>
    <col min="7" max="26" width="8.7109375" customWidth="1"/>
  </cols>
  <sheetData>
    <row r="1" spans="1:14" ht="13.5" customHeight="1">
      <c r="A1" s="4" t="s">
        <v>46</v>
      </c>
      <c r="B1" s="9" t="s">
        <v>15</v>
      </c>
      <c r="C1" s="7" t="s">
        <v>16</v>
      </c>
      <c r="D1" s="7" t="s">
        <v>4</v>
      </c>
      <c r="E1" s="248" t="s">
        <v>21</v>
      </c>
      <c r="F1" s="275"/>
      <c r="G1" s="275"/>
      <c r="H1" s="275"/>
      <c r="I1" s="275"/>
      <c r="J1" s="275"/>
      <c r="K1" s="275"/>
      <c r="L1" s="275"/>
      <c r="M1" s="275"/>
      <c r="N1" s="275"/>
    </row>
    <row r="2" spans="1:14" ht="15.95">
      <c r="A2" s="15" t="s">
        <v>47</v>
      </c>
      <c r="B2" s="16">
        <v>3000</v>
      </c>
      <c r="C2" s="24">
        <f t="shared" ref="C2:C9" si="0">IF($B$9&lt;&gt;0,(B2/$B$9)*100,0)</f>
        <v>20</v>
      </c>
      <c r="D2" s="27"/>
      <c r="E2" s="281"/>
      <c r="F2" s="282"/>
      <c r="G2" s="282"/>
      <c r="H2" s="282"/>
      <c r="I2" s="282"/>
      <c r="J2" s="282"/>
      <c r="K2" s="282"/>
      <c r="L2" s="282"/>
      <c r="M2" s="282"/>
      <c r="N2" s="283"/>
    </row>
    <row r="3" spans="1:14" ht="15.95">
      <c r="A3" s="15" t="s">
        <v>48</v>
      </c>
      <c r="B3" s="16">
        <v>12000</v>
      </c>
      <c r="C3" s="24">
        <f t="shared" si="0"/>
        <v>80</v>
      </c>
      <c r="D3" s="28"/>
      <c r="E3" s="284"/>
      <c r="F3" s="282"/>
      <c r="G3" s="282"/>
      <c r="H3" s="282"/>
      <c r="I3" s="282"/>
      <c r="J3" s="282"/>
      <c r="K3" s="282"/>
      <c r="L3" s="282"/>
      <c r="M3" s="282"/>
      <c r="N3" s="283"/>
    </row>
    <row r="4" spans="1:14" ht="15.95">
      <c r="A4" s="15" t="s">
        <v>49</v>
      </c>
      <c r="B4" s="16">
        <v>0</v>
      </c>
      <c r="C4" s="24">
        <f t="shared" si="0"/>
        <v>0</v>
      </c>
      <c r="D4" s="28"/>
      <c r="E4" s="281"/>
      <c r="F4" s="282"/>
      <c r="G4" s="282"/>
      <c r="H4" s="282"/>
      <c r="I4" s="282"/>
      <c r="J4" s="282"/>
      <c r="K4" s="282"/>
      <c r="L4" s="282"/>
      <c r="M4" s="282"/>
      <c r="N4" s="283"/>
    </row>
    <row r="5" spans="1:14" ht="15.95">
      <c r="A5" s="15" t="s">
        <v>50</v>
      </c>
      <c r="B5" s="16">
        <v>0</v>
      </c>
      <c r="C5" s="24">
        <f t="shared" si="0"/>
        <v>0</v>
      </c>
      <c r="D5" s="28"/>
      <c r="E5" s="284"/>
      <c r="F5" s="282"/>
      <c r="G5" s="282"/>
      <c r="H5" s="282"/>
      <c r="I5" s="282"/>
      <c r="J5" s="282"/>
      <c r="K5" s="282"/>
      <c r="L5" s="282"/>
      <c r="M5" s="282"/>
      <c r="N5" s="283"/>
    </row>
    <row r="6" spans="1:14" ht="15.95">
      <c r="A6" s="15" t="s">
        <v>51</v>
      </c>
      <c r="B6" s="16">
        <v>0</v>
      </c>
      <c r="C6" s="24">
        <f t="shared" si="0"/>
        <v>0</v>
      </c>
      <c r="D6" s="27"/>
      <c r="E6" s="284"/>
      <c r="F6" s="282"/>
      <c r="G6" s="282"/>
      <c r="H6" s="282"/>
      <c r="I6" s="282"/>
      <c r="J6" s="282"/>
      <c r="K6" s="282"/>
      <c r="L6" s="282"/>
      <c r="M6" s="282"/>
      <c r="N6" s="283"/>
    </row>
    <row r="7" spans="1:14" ht="15.95">
      <c r="A7" s="15" t="s">
        <v>52</v>
      </c>
      <c r="B7" s="16">
        <v>0</v>
      </c>
      <c r="C7" s="24">
        <f t="shared" si="0"/>
        <v>0</v>
      </c>
      <c r="D7" s="28"/>
      <c r="E7" s="284"/>
      <c r="F7" s="282"/>
      <c r="G7" s="282"/>
      <c r="H7" s="282"/>
      <c r="I7" s="282"/>
      <c r="J7" s="282"/>
      <c r="K7" s="282"/>
      <c r="L7" s="282"/>
      <c r="M7" s="282"/>
      <c r="N7" s="283"/>
    </row>
    <row r="8" spans="1:14" ht="15.95">
      <c r="A8" s="15" t="s">
        <v>53</v>
      </c>
      <c r="B8" s="16">
        <v>0</v>
      </c>
      <c r="C8" s="24">
        <f t="shared" si="0"/>
        <v>0</v>
      </c>
      <c r="D8" s="28"/>
      <c r="E8" s="284"/>
      <c r="F8" s="282"/>
      <c r="G8" s="282"/>
      <c r="H8" s="282"/>
      <c r="I8" s="282"/>
      <c r="J8" s="282"/>
      <c r="K8" s="282"/>
      <c r="L8" s="282"/>
      <c r="M8" s="282"/>
      <c r="N8" s="283"/>
    </row>
    <row r="9" spans="1:14" ht="13.5" customHeight="1">
      <c r="A9" s="30" t="s">
        <v>54</v>
      </c>
      <c r="B9" s="31">
        <f>SUM(B2:B8)</f>
        <v>15000</v>
      </c>
      <c r="C9" s="33">
        <f t="shared" si="0"/>
        <v>100</v>
      </c>
      <c r="D9" s="28"/>
      <c r="E9" s="281"/>
      <c r="F9" s="282"/>
      <c r="G9" s="282"/>
      <c r="H9" s="282"/>
      <c r="I9" s="282"/>
      <c r="J9" s="282"/>
      <c r="K9" s="282"/>
      <c r="L9" s="282"/>
      <c r="M9" s="282"/>
      <c r="N9" s="283"/>
    </row>
    <row r="10" spans="1:14" ht="12.75" customHeight="1">
      <c r="A10" s="13"/>
      <c r="B10" s="13"/>
      <c r="G10" s="13"/>
      <c r="H10" s="13"/>
      <c r="I10" s="13"/>
      <c r="J10" s="13"/>
      <c r="K10" s="13"/>
      <c r="L10" s="13"/>
      <c r="M10" s="13"/>
      <c r="N10" s="13"/>
    </row>
    <row r="11" spans="1:14" ht="12.75" customHeight="1">
      <c r="A11" s="13"/>
      <c r="B11" s="13"/>
      <c r="G11" s="13"/>
      <c r="H11" s="13"/>
      <c r="I11" s="13"/>
      <c r="J11" s="13"/>
      <c r="K11" s="13"/>
      <c r="L11" s="13"/>
      <c r="M11" s="13"/>
      <c r="N11" s="13"/>
    </row>
    <row r="12" spans="1:14" ht="15.95">
      <c r="A12" s="13" t="s">
        <v>55</v>
      </c>
      <c r="B12" s="13"/>
      <c r="C12" s="35">
        <f>B3</f>
        <v>12000</v>
      </c>
      <c r="D12" s="13"/>
      <c r="E12" s="13"/>
      <c r="G12" s="13"/>
      <c r="H12" s="13"/>
      <c r="I12" s="13"/>
      <c r="J12" s="13"/>
      <c r="K12" s="13"/>
      <c r="L12" s="13"/>
      <c r="M12" s="13"/>
      <c r="N12" s="13"/>
    </row>
    <row r="13" spans="1:14" ht="15.95">
      <c r="A13" s="13" t="s">
        <v>56</v>
      </c>
      <c r="B13" s="13"/>
      <c r="C13" s="13">
        <v>4</v>
      </c>
      <c r="D13" s="13"/>
      <c r="E13" s="13"/>
      <c r="G13" s="13"/>
      <c r="H13" s="13"/>
      <c r="I13" s="13"/>
      <c r="J13" s="13"/>
      <c r="K13" s="13"/>
      <c r="L13" s="13"/>
      <c r="M13" s="13"/>
      <c r="N13" s="13"/>
    </row>
    <row r="14" spans="1:14" ht="15.95">
      <c r="A14" s="13" t="s">
        <v>57</v>
      </c>
      <c r="B14" s="13"/>
      <c r="C14" s="36">
        <f>C12/C13</f>
        <v>3000</v>
      </c>
      <c r="D14" s="38"/>
      <c r="E14" s="38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2.75" customHeight="1">
      <c r="B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ht="15.95">
      <c r="A16" s="13" t="s">
        <v>58</v>
      </c>
      <c r="B16" s="13"/>
      <c r="C16" s="35">
        <f>B5+B4</f>
        <v>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3" ht="15.95">
      <c r="A17" s="39" t="s">
        <v>59</v>
      </c>
      <c r="B17" s="13"/>
      <c r="C17" s="213">
        <v>7.1800000000000003E-2</v>
      </c>
    </row>
  </sheetData>
  <mergeCells count="9">
    <mergeCell ref="E4:N4"/>
    <mergeCell ref="E3:N3"/>
    <mergeCell ref="E2:N2"/>
    <mergeCell ref="E1:N1"/>
    <mergeCell ref="E9:N9"/>
    <mergeCell ref="E8:N8"/>
    <mergeCell ref="E7:N7"/>
    <mergeCell ref="E6:N6"/>
    <mergeCell ref="E5:N5"/>
  </mergeCells>
  <pageMargins left="0.74791666666666701" right="0.74791666666666701" top="0.98402777777777795" bottom="0.98402777777777795" header="0" footer="0"/>
  <pageSetup paperSize="9" orientation="landscape"/>
  <headerFooter>
    <oddHeader>&amp;LPRÁCTICA 4: Evaluación económica del plan de tecnologías&amp;R&amp;A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zoomScale="130" zoomScaleNormal="130" workbookViewId="0">
      <selection activeCell="D4" sqref="D4:G4"/>
    </sheetView>
  </sheetViews>
  <sheetFormatPr defaultColWidth="14.42578125" defaultRowHeight="15" customHeight="1"/>
  <cols>
    <col min="1" max="1" width="36.42578125" customWidth="1"/>
    <col min="2" max="2" width="42.28515625" customWidth="1"/>
    <col min="3" max="3" width="39" customWidth="1"/>
    <col min="4" max="4" width="28.7109375" customWidth="1"/>
    <col min="5" max="5" width="27.42578125" customWidth="1"/>
    <col min="6" max="6" width="27.7109375" customWidth="1"/>
    <col min="7" max="7" width="14.140625" customWidth="1"/>
    <col min="8" max="8" width="18.42578125" customWidth="1"/>
    <col min="9" max="9" width="21.42578125" customWidth="1"/>
    <col min="10" max="10" width="20.42578125" customWidth="1"/>
    <col min="11" max="11" width="11.42578125" customWidth="1"/>
    <col min="12" max="16" width="11.140625" customWidth="1"/>
    <col min="17" max="26" width="8.7109375" customWidth="1"/>
  </cols>
  <sheetData>
    <row r="1" spans="1:8" ht="14.1">
      <c r="A1" s="52" t="s">
        <v>60</v>
      </c>
      <c r="B1" s="53"/>
      <c r="C1" s="54" t="s">
        <v>4</v>
      </c>
      <c r="D1" s="285" t="s">
        <v>21</v>
      </c>
      <c r="E1" s="282"/>
      <c r="F1" s="282"/>
      <c r="G1" s="283"/>
    </row>
    <row r="2" spans="1:8" ht="14.25" customHeight="1">
      <c r="A2" s="53" t="s">
        <v>61</v>
      </c>
      <c r="B2" s="56">
        <v>20000</v>
      </c>
      <c r="C2" s="225" t="s">
        <v>62</v>
      </c>
      <c r="D2" s="281"/>
      <c r="E2" s="282"/>
      <c r="F2" s="282"/>
      <c r="G2" s="283"/>
    </row>
    <row r="3" spans="1:8" ht="14.25">
      <c r="A3" s="53" t="s">
        <v>63</v>
      </c>
      <c r="B3" s="57">
        <v>0.1</v>
      </c>
      <c r="C3" s="28"/>
      <c r="D3" s="286" t="s">
        <v>64</v>
      </c>
      <c r="E3" s="282"/>
      <c r="F3" s="282"/>
      <c r="G3" s="283"/>
      <c r="H3" s="224"/>
    </row>
    <row r="4" spans="1:8" ht="14.25" customHeight="1">
      <c r="A4" s="53" t="s">
        <v>65</v>
      </c>
      <c r="B4" s="56">
        <f>B2*B3</f>
        <v>2000</v>
      </c>
      <c r="C4" s="53"/>
      <c r="D4" s="281"/>
      <c r="E4" s="282"/>
      <c r="F4" s="282"/>
      <c r="G4" s="283"/>
    </row>
    <row r="5" spans="1:8" ht="14.25" customHeight="1">
      <c r="A5" s="53"/>
      <c r="B5" s="53"/>
      <c r="C5" s="53"/>
      <c r="D5" s="281"/>
      <c r="E5" s="282"/>
      <c r="F5" s="282"/>
      <c r="G5" s="283"/>
    </row>
    <row r="6" spans="1:8" ht="14.25" customHeight="1">
      <c r="A6" s="53" t="s">
        <v>66</v>
      </c>
      <c r="B6" s="57">
        <v>0.06</v>
      </c>
      <c r="C6" s="58"/>
      <c r="D6" s="281"/>
      <c r="E6" s="282"/>
      <c r="F6" s="282"/>
      <c r="G6" s="283"/>
    </row>
    <row r="7" spans="1:8" ht="14.25" customHeight="1">
      <c r="A7" s="53" t="s">
        <v>67</v>
      </c>
      <c r="B7" s="56">
        <v>30</v>
      </c>
      <c r="C7" s="56"/>
      <c r="D7" s="281"/>
      <c r="E7" s="282"/>
      <c r="F7" s="282"/>
      <c r="G7" s="283"/>
    </row>
    <row r="8" spans="1:8" ht="14.25" customHeight="1">
      <c r="A8" s="55"/>
      <c r="B8" s="59"/>
      <c r="C8" s="59"/>
      <c r="D8" s="277"/>
      <c r="E8" s="277"/>
      <c r="F8" s="277"/>
      <c r="G8" s="277"/>
    </row>
    <row r="9" spans="1:8" ht="14.25" customHeight="1">
      <c r="A9" s="55"/>
      <c r="B9" s="60"/>
      <c r="C9" s="55"/>
    </row>
    <row r="10" spans="1:8" ht="14.25" customHeight="1">
      <c r="A10" s="61" t="s">
        <v>68</v>
      </c>
      <c r="B10" s="55"/>
      <c r="C10" s="55"/>
      <c r="D10" s="55"/>
    </row>
    <row r="11" spans="1:8" ht="14.25" customHeight="1">
      <c r="A11" s="65" t="s">
        <v>69</v>
      </c>
      <c r="B11" s="66" t="s">
        <v>14</v>
      </c>
      <c r="C11" s="67" t="s">
        <v>70</v>
      </c>
      <c r="D11" s="68"/>
    </row>
    <row r="12" spans="1:8" ht="14.25" customHeight="1">
      <c r="A12" s="69" t="s">
        <v>71</v>
      </c>
      <c r="B12" s="63">
        <v>0</v>
      </c>
      <c r="C12" s="62">
        <v>0.5</v>
      </c>
      <c r="D12" s="63">
        <f t="shared" ref="D12:D13" si="0">B12*C12</f>
        <v>0</v>
      </c>
    </row>
    <row r="13" spans="1:8" ht="14.25" customHeight="1">
      <c r="A13" s="69" t="s">
        <v>72</v>
      </c>
      <c r="B13" s="63">
        <v>0</v>
      </c>
      <c r="C13" s="62">
        <v>0.5</v>
      </c>
      <c r="D13" s="63">
        <f t="shared" si="0"/>
        <v>0</v>
      </c>
    </row>
    <row r="14" spans="1:8" ht="14.25" customHeight="1">
      <c r="A14" s="55"/>
      <c r="B14" s="210"/>
      <c r="C14" s="59"/>
      <c r="D14" s="210"/>
    </row>
    <row r="15" spans="1:8" ht="14.25" customHeight="1">
      <c r="A15" s="55"/>
      <c r="B15" s="210"/>
      <c r="C15" s="59"/>
      <c r="D15" s="210"/>
    </row>
    <row r="16" spans="1:8" ht="13.5" customHeight="1">
      <c r="A16" s="61" t="s">
        <v>73</v>
      </c>
      <c r="B16" s="55"/>
      <c r="C16" s="55"/>
      <c r="D16" s="55"/>
      <c r="E16" s="55"/>
      <c r="F16" s="55"/>
      <c r="G16" s="55"/>
    </row>
    <row r="17" spans="1:5" ht="14.25" customHeight="1">
      <c r="A17" s="65" t="s">
        <v>69</v>
      </c>
      <c r="B17" s="66" t="s">
        <v>74</v>
      </c>
      <c r="C17" s="67" t="s">
        <v>70</v>
      </c>
      <c r="D17" s="68"/>
      <c r="E17" s="55"/>
    </row>
    <row r="18" spans="1:5" ht="14.25" customHeight="1">
      <c r="A18" s="69" t="s">
        <v>75</v>
      </c>
      <c r="B18" s="63">
        <v>15</v>
      </c>
      <c r="C18" s="62">
        <v>1</v>
      </c>
      <c r="D18" s="63">
        <f t="shared" ref="D18:D19" si="1">B18*C18</f>
        <v>15</v>
      </c>
    </row>
    <row r="19" spans="1:5" ht="14.25" customHeight="1">
      <c r="A19" s="69" t="s">
        <v>76</v>
      </c>
      <c r="B19" s="63">
        <v>8</v>
      </c>
      <c r="C19" s="62">
        <v>1</v>
      </c>
      <c r="D19" s="63">
        <f t="shared" si="1"/>
        <v>8</v>
      </c>
    </row>
    <row r="20" spans="1:5" ht="14.25" customHeight="1">
      <c r="A20" s="69" t="s">
        <v>77</v>
      </c>
      <c r="B20" s="63">
        <v>520</v>
      </c>
      <c r="C20" s="62">
        <v>1</v>
      </c>
      <c r="D20" s="63">
        <f>B20*C20</f>
        <v>520</v>
      </c>
      <c r="E20" s="55"/>
    </row>
    <row r="21" spans="1:5" ht="14.25" customHeight="1">
      <c r="B21" s="55"/>
      <c r="C21" s="55"/>
      <c r="D21" s="55"/>
    </row>
    <row r="22" spans="1:5" ht="14.25" customHeight="1">
      <c r="B22" s="55"/>
      <c r="C22" s="55"/>
      <c r="D22" s="55"/>
      <c r="E22" s="55"/>
    </row>
    <row r="23" spans="1:5" ht="14.25" customHeight="1">
      <c r="A23" s="61" t="s">
        <v>78</v>
      </c>
      <c r="B23" s="55"/>
      <c r="C23" s="55"/>
      <c r="D23" s="55"/>
      <c r="E23" s="70"/>
    </row>
    <row r="24" spans="1:5" ht="13.5" customHeight="1">
      <c r="B24" s="55"/>
      <c r="C24" s="55"/>
      <c r="D24" s="55"/>
      <c r="E24" s="70"/>
    </row>
    <row r="25" spans="1:5" ht="14.25" customHeight="1">
      <c r="A25" s="65" t="s">
        <v>79</v>
      </c>
      <c r="B25" s="67" t="s">
        <v>80</v>
      </c>
      <c r="C25" s="67" t="s">
        <v>14</v>
      </c>
      <c r="D25" s="67" t="s">
        <v>15</v>
      </c>
      <c r="E25" s="67" t="s">
        <v>16</v>
      </c>
    </row>
    <row r="26" spans="1:5" ht="13.5" customHeight="1">
      <c r="A26" s="71" t="s">
        <v>71</v>
      </c>
      <c r="B26" s="64"/>
      <c r="C26" s="72"/>
      <c r="D26" s="72">
        <f>B26*C26</f>
        <v>0</v>
      </c>
      <c r="E26" s="73" t="str">
        <f>IF(D26&gt;0,D26/D$33,"")</f>
        <v/>
      </c>
    </row>
    <row r="27" spans="1:5" ht="13.5" customHeight="1">
      <c r="A27" s="71" t="s">
        <v>72</v>
      </c>
      <c r="B27" s="64"/>
      <c r="C27" s="72"/>
      <c r="D27" s="72">
        <f>B27*C27</f>
        <v>0</v>
      </c>
      <c r="E27" s="73" t="str">
        <f>IF(D27&gt;0,D27/D$33,"")</f>
        <v/>
      </c>
    </row>
    <row r="28" spans="1:5" ht="12" customHeight="1">
      <c r="A28" s="64"/>
      <c r="B28" s="64"/>
      <c r="C28" s="64"/>
      <c r="D28" s="72"/>
      <c r="E28" s="74"/>
    </row>
    <row r="29" spans="1:5" ht="14.1">
      <c r="A29" s="65" t="s">
        <v>81</v>
      </c>
      <c r="B29" s="67" t="s">
        <v>82</v>
      </c>
      <c r="C29" s="75" t="s">
        <v>14</v>
      </c>
      <c r="D29" s="75" t="s">
        <v>15</v>
      </c>
      <c r="E29" s="76" t="s">
        <v>16</v>
      </c>
    </row>
    <row r="30" spans="1:5" ht="13.5" customHeight="1">
      <c r="A30" s="64" t="str">
        <f>A18</f>
        <v>Premium</v>
      </c>
      <c r="B30" s="62">
        <v>0.3</v>
      </c>
      <c r="C30" s="72">
        <f>B18</f>
        <v>15</v>
      </c>
      <c r="D30" s="72">
        <f>C30*B30*$B$7*12</f>
        <v>1620</v>
      </c>
      <c r="E30" s="73">
        <f>IF(D30&gt;0,D30/D$33,"")</f>
        <v>2.5438100621820236E-2</v>
      </c>
    </row>
    <row r="31" spans="1:5" ht="13.5" customHeight="1">
      <c r="A31" s="64" t="str">
        <f t="shared" ref="A31:A32" si="2">A19</f>
        <v>Algorithm prioritisation</v>
      </c>
      <c r="B31" s="62">
        <v>0.1</v>
      </c>
      <c r="C31" s="72">
        <f>B19</f>
        <v>8</v>
      </c>
      <c r="D31" s="72">
        <f>C31*B31*$B$7*12</f>
        <v>288</v>
      </c>
      <c r="E31" s="73">
        <f>IF(D31&gt;0,D31/D$33,"")</f>
        <v>4.5223289994347085E-3</v>
      </c>
    </row>
    <row r="32" spans="1:5" ht="13.5" customHeight="1">
      <c r="A32" s="64" t="str">
        <f t="shared" si="2"/>
        <v>Customer service</v>
      </c>
      <c r="B32" s="62">
        <v>0.33</v>
      </c>
      <c r="C32" s="72">
        <f>B20</f>
        <v>520</v>
      </c>
      <c r="D32" s="72">
        <f>C32*B32*$B$7*12</f>
        <v>61776</v>
      </c>
      <c r="E32" s="73">
        <f>IF(D32&gt;0,D32/D$33,"")</f>
        <v>0.97003957037874511</v>
      </c>
    </row>
    <row r="33" spans="1:5" ht="13.5" customHeight="1">
      <c r="A33" s="64" t="s">
        <v>83</v>
      </c>
      <c r="B33" s="64"/>
      <c r="C33" s="64"/>
      <c r="D33" s="72">
        <f t="shared" ref="D33:E33" si="3">SUM(D26:D32)</f>
        <v>63684</v>
      </c>
      <c r="E33" s="73">
        <f t="shared" si="3"/>
        <v>1</v>
      </c>
    </row>
    <row r="34" spans="1:5" ht="15" customHeight="1">
      <c r="B34" t="s">
        <v>20</v>
      </c>
    </row>
    <row r="36" spans="1:5" ht="15" customHeight="1">
      <c r="E36" s="230"/>
    </row>
  </sheetData>
  <mergeCells count="8">
    <mergeCell ref="D8:G8"/>
    <mergeCell ref="D3:G3"/>
    <mergeCell ref="D2:G2"/>
    <mergeCell ref="D1:G1"/>
    <mergeCell ref="D4:G4"/>
    <mergeCell ref="D5:G5"/>
    <mergeCell ref="D6:G6"/>
    <mergeCell ref="D7:G7"/>
  </mergeCells>
  <hyperlinks>
    <hyperlink ref="C2" r:id="rId1" location=":~:text=El%20estudio%2C%20realizado%20a%20partir,asociaci%C3%B3n%20por%20cada%20327%20personas" xr:uid="{A4201526-350D-4894-9B74-4039FACB9A85}"/>
  </hyperlinks>
  <pageMargins left="0.7" right="0.7" top="0.75" bottom="0.75" header="0" footer="0"/>
  <pageSetup orientation="landscape"/>
  <headerFooter>
    <oddHeader>&amp;LPRÁCTICA 4: Evaluación económica del plan de tecnologías&amp;C&amp;A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zoomScale="142" zoomScaleNormal="142" workbookViewId="0">
      <selection activeCell="C4" sqref="C4"/>
    </sheetView>
  </sheetViews>
  <sheetFormatPr defaultColWidth="14.42578125" defaultRowHeight="15" customHeight="1"/>
  <cols>
    <col min="1" max="1" width="55.7109375" customWidth="1"/>
    <col min="2" max="2" width="28.42578125" customWidth="1"/>
    <col min="3" max="3" width="24.42578125" customWidth="1"/>
    <col min="4" max="4" width="69.28515625" customWidth="1"/>
    <col min="5" max="5" width="16" customWidth="1"/>
    <col min="6" max="15" width="11.140625" customWidth="1"/>
    <col min="16" max="26" width="8.7109375" customWidth="1"/>
  </cols>
  <sheetData>
    <row r="1" spans="1:14" ht="15.75" customHeight="1">
      <c r="A1" s="77" t="s">
        <v>1</v>
      </c>
      <c r="B1" s="77" t="s">
        <v>15</v>
      </c>
      <c r="C1" s="78" t="s">
        <v>84</v>
      </c>
      <c r="D1" s="7" t="s">
        <v>4</v>
      </c>
      <c r="E1" s="248" t="s">
        <v>21</v>
      </c>
      <c r="F1" s="275"/>
      <c r="G1" s="275"/>
      <c r="H1" s="275"/>
      <c r="I1" s="275"/>
      <c r="J1" s="275"/>
      <c r="K1" s="275"/>
      <c r="L1" s="275"/>
      <c r="M1" s="275"/>
      <c r="N1" s="275"/>
    </row>
    <row r="2" spans="1:14" ht="13.5" customHeight="1">
      <c r="A2" s="37" t="s">
        <v>85</v>
      </c>
      <c r="B2" s="79">
        <f>'Forecast Sales  '!D33</f>
        <v>63684</v>
      </c>
      <c r="C2" s="80">
        <f t="shared" ref="C2:C9" si="0">IF($B$4&lt;&gt;0,B2/$B$4,0)</f>
        <v>0.80936403843220983</v>
      </c>
      <c r="D2" s="81"/>
      <c r="E2" s="287"/>
      <c r="F2" s="282"/>
      <c r="G2" s="282"/>
      <c r="H2" s="282"/>
      <c r="I2" s="282"/>
      <c r="J2" s="282"/>
      <c r="K2" s="282"/>
      <c r="L2" s="282"/>
      <c r="M2" s="282"/>
      <c r="N2" s="283"/>
    </row>
    <row r="3" spans="1:14" ht="12" customHeight="1">
      <c r="A3" s="37" t="s">
        <v>86</v>
      </c>
      <c r="B3" s="79">
        <f>'Initial Financing'!B2+'Initial Financing'!B3+'Initial Financing'!B6+'Initial Financing'!B7+'Initial Financing'!B8</f>
        <v>15000</v>
      </c>
      <c r="C3" s="80">
        <f t="shared" si="0"/>
        <v>0.19063596156779014</v>
      </c>
      <c r="D3" s="81"/>
      <c r="E3" s="287"/>
      <c r="F3" s="282"/>
      <c r="G3" s="282"/>
      <c r="H3" s="282"/>
      <c r="I3" s="282"/>
      <c r="J3" s="282"/>
      <c r="K3" s="282"/>
      <c r="L3" s="282"/>
      <c r="M3" s="282"/>
      <c r="N3" s="283"/>
    </row>
    <row r="4" spans="1:14" ht="13.5" customHeight="1">
      <c r="A4" s="82" t="s">
        <v>87</v>
      </c>
      <c r="B4" s="83">
        <f>SUM(B2:B3)</f>
        <v>78684</v>
      </c>
      <c r="C4" s="84">
        <f>IF($B$4&lt;&gt;0,B4/$B$4,0)</f>
        <v>1</v>
      </c>
      <c r="D4" s="81"/>
      <c r="E4" s="287"/>
      <c r="F4" s="282"/>
      <c r="G4" s="282"/>
      <c r="H4" s="282"/>
      <c r="I4" s="282"/>
      <c r="J4" s="282"/>
      <c r="K4" s="282"/>
      <c r="L4" s="282"/>
      <c r="M4" s="282"/>
      <c r="N4" s="283"/>
    </row>
    <row r="5" spans="1:14" ht="13.5" customHeight="1">
      <c r="A5" s="37" t="s">
        <v>88</v>
      </c>
      <c r="B5" s="79">
        <v>0</v>
      </c>
      <c r="C5" s="80">
        <f t="shared" si="0"/>
        <v>0</v>
      </c>
      <c r="D5" s="81"/>
      <c r="E5" s="287"/>
      <c r="F5" s="282"/>
      <c r="G5" s="282"/>
      <c r="H5" s="282"/>
      <c r="I5" s="282"/>
      <c r="J5" s="282"/>
      <c r="K5" s="282"/>
      <c r="L5" s="282"/>
      <c r="M5" s="282"/>
      <c r="N5" s="283"/>
    </row>
    <row r="6" spans="1:14" ht="13.5" customHeight="1">
      <c r="A6" s="37" t="s">
        <v>89</v>
      </c>
      <c r="B6" s="79">
        <f>0</f>
        <v>0</v>
      </c>
      <c r="C6" s="80">
        <f t="shared" si="0"/>
        <v>0</v>
      </c>
      <c r="D6" s="81"/>
      <c r="E6" s="287"/>
      <c r="F6" s="282"/>
      <c r="G6" s="282"/>
      <c r="H6" s="282"/>
      <c r="I6" s="282"/>
      <c r="J6" s="282"/>
      <c r="K6" s="282"/>
      <c r="L6" s="282"/>
      <c r="M6" s="282"/>
      <c r="N6" s="283"/>
    </row>
    <row r="7" spans="1:14" ht="13.5" customHeight="1">
      <c r="A7" s="82" t="s">
        <v>90</v>
      </c>
      <c r="B7" s="83">
        <f>SUM(B5:B6)</f>
        <v>0</v>
      </c>
      <c r="C7" s="84">
        <f t="shared" si="0"/>
        <v>0</v>
      </c>
      <c r="D7" s="81"/>
      <c r="E7" s="287"/>
      <c r="F7" s="282"/>
      <c r="G7" s="282"/>
      <c r="H7" s="282"/>
      <c r="I7" s="282"/>
      <c r="J7" s="282"/>
      <c r="K7" s="282"/>
      <c r="L7" s="282"/>
      <c r="M7" s="282"/>
      <c r="N7" s="283"/>
    </row>
    <row r="8" spans="1:14" ht="13.5" customHeight="1">
      <c r="A8" s="54" t="s">
        <v>91</v>
      </c>
      <c r="B8" s="85">
        <f>B4-B7</f>
        <v>78684</v>
      </c>
      <c r="C8" s="86">
        <f t="shared" si="0"/>
        <v>1</v>
      </c>
      <c r="D8" s="81"/>
      <c r="E8" s="287"/>
      <c r="F8" s="282"/>
      <c r="G8" s="282"/>
      <c r="H8" s="282"/>
      <c r="I8" s="282"/>
      <c r="J8" s="282"/>
      <c r="K8" s="282"/>
      <c r="L8" s="282"/>
      <c r="M8" s="282"/>
      <c r="N8" s="283"/>
    </row>
    <row r="9" spans="1:14" ht="12" customHeight="1">
      <c r="A9" s="37" t="s">
        <v>92</v>
      </c>
      <c r="B9" s="79">
        <v>38400</v>
      </c>
      <c r="C9" s="80">
        <f t="shared" si="0"/>
        <v>0.48802806161354279</v>
      </c>
      <c r="D9" s="81"/>
      <c r="E9" s="287"/>
      <c r="F9" s="282"/>
      <c r="G9" s="282"/>
      <c r="H9" s="282"/>
      <c r="I9" s="282"/>
      <c r="J9" s="282"/>
      <c r="K9" s="282"/>
      <c r="L9" s="282"/>
      <c r="M9" s="282"/>
      <c r="N9" s="283"/>
    </row>
    <row r="10" spans="1:14" ht="12.95">
      <c r="A10" s="37" t="s">
        <v>93</v>
      </c>
      <c r="B10" s="79">
        <f>0</f>
        <v>0</v>
      </c>
      <c r="C10" s="80">
        <f>IF($B$4&lt;&gt;0,B9/$B$4,0)</f>
        <v>0.48802806161354279</v>
      </c>
      <c r="D10" s="27"/>
      <c r="E10" s="287"/>
      <c r="F10" s="282"/>
      <c r="G10" s="282"/>
      <c r="H10" s="282"/>
      <c r="I10" s="282"/>
      <c r="J10" s="282"/>
      <c r="K10" s="282"/>
      <c r="L10" s="282"/>
      <c r="M10" s="282"/>
      <c r="N10" s="283"/>
    </row>
    <row r="11" spans="1:14" ht="12" customHeight="1">
      <c r="A11" s="37" t="s">
        <v>94</v>
      </c>
      <c r="B11" s="79">
        <f>0</f>
        <v>0</v>
      </c>
      <c r="C11" s="80">
        <f t="shared" ref="C11:C25" si="1">IF($B$4&lt;&gt;0,B11/$B$4,0)</f>
        <v>0</v>
      </c>
      <c r="D11" s="81"/>
      <c r="E11" s="287"/>
      <c r="F11" s="282"/>
      <c r="G11" s="282"/>
      <c r="H11" s="282"/>
      <c r="I11" s="282"/>
      <c r="J11" s="282"/>
      <c r="K11" s="282"/>
      <c r="L11" s="282"/>
      <c r="M11" s="282"/>
      <c r="N11" s="283"/>
    </row>
    <row r="12" spans="1:14" ht="12" customHeight="1">
      <c r="A12" s="37" t="s">
        <v>95</v>
      </c>
      <c r="B12" s="79">
        <f>0</f>
        <v>0</v>
      </c>
      <c r="C12" s="80">
        <f t="shared" si="1"/>
        <v>0</v>
      </c>
      <c r="D12" s="214"/>
      <c r="E12" s="287"/>
      <c r="F12" s="282"/>
      <c r="G12" s="282"/>
      <c r="H12" s="282"/>
      <c r="I12" s="282"/>
      <c r="J12" s="282"/>
      <c r="K12" s="282"/>
      <c r="L12" s="282"/>
      <c r="M12" s="282"/>
      <c r="N12" s="283"/>
    </row>
    <row r="13" spans="1:14" ht="13.5" customHeight="1">
      <c r="A13" s="82" t="s">
        <v>96</v>
      </c>
      <c r="B13" s="87">
        <f>SUM(B9:B12)</f>
        <v>38400</v>
      </c>
      <c r="C13" s="84">
        <f t="shared" si="1"/>
        <v>0.48802806161354279</v>
      </c>
      <c r="D13" s="81"/>
      <c r="E13" s="287"/>
      <c r="F13" s="282"/>
      <c r="G13" s="282"/>
      <c r="H13" s="282"/>
      <c r="I13" s="282"/>
      <c r="J13" s="282"/>
      <c r="K13" s="282"/>
      <c r="L13" s="282"/>
      <c r="M13" s="282"/>
      <c r="N13" s="283"/>
    </row>
    <row r="14" spans="1:14" ht="12.75">
      <c r="A14" s="37" t="s">
        <v>97</v>
      </c>
      <c r="B14" s="79">
        <v>0</v>
      </c>
      <c r="C14" s="80">
        <f t="shared" si="1"/>
        <v>0</v>
      </c>
      <c r="D14" s="215"/>
      <c r="E14" s="249" t="s">
        <v>98</v>
      </c>
      <c r="F14" s="250"/>
      <c r="G14" s="250"/>
      <c r="H14" s="250"/>
      <c r="I14" s="250"/>
      <c r="J14" s="250"/>
      <c r="K14" s="250"/>
      <c r="L14" s="250"/>
      <c r="M14" s="250"/>
      <c r="N14" s="251"/>
    </row>
    <row r="15" spans="1:14" ht="12.75">
      <c r="A15" s="37" t="s">
        <v>99</v>
      </c>
      <c r="B15" s="79">
        <v>0</v>
      </c>
      <c r="C15" s="80">
        <f t="shared" si="1"/>
        <v>0</v>
      </c>
      <c r="D15" s="225"/>
      <c r="E15" s="252"/>
      <c r="F15" s="253"/>
      <c r="G15" s="253"/>
      <c r="H15" s="253"/>
      <c r="I15" s="253"/>
      <c r="J15" s="253"/>
      <c r="K15" s="253"/>
      <c r="L15" s="253"/>
      <c r="M15" s="253"/>
      <c r="N15" s="254"/>
    </row>
    <row r="16" spans="1:14" ht="12.75">
      <c r="A16" s="37" t="s">
        <v>100</v>
      </c>
      <c r="B16" s="79">
        <v>1000</v>
      </c>
      <c r="C16" s="80">
        <f t="shared" si="1"/>
        <v>1.2709064104519344E-2</v>
      </c>
      <c r="D16" s="225" t="s">
        <v>101</v>
      </c>
      <c r="E16" s="287" t="s">
        <v>102</v>
      </c>
      <c r="F16" s="282"/>
      <c r="G16" s="282"/>
      <c r="H16" s="282"/>
      <c r="I16" s="282"/>
      <c r="J16" s="282"/>
      <c r="K16" s="282"/>
      <c r="L16" s="282"/>
      <c r="M16" s="282"/>
      <c r="N16" s="283"/>
    </row>
    <row r="17" spans="1:14" ht="12" customHeight="1">
      <c r="A17" s="37" t="s">
        <v>103</v>
      </c>
      <c r="B17" s="79">
        <f>0</f>
        <v>0</v>
      </c>
      <c r="C17" s="80">
        <f t="shared" si="1"/>
        <v>0</v>
      </c>
      <c r="D17" s="81"/>
      <c r="E17" s="287"/>
      <c r="F17" s="282"/>
      <c r="G17" s="282"/>
      <c r="H17" s="282"/>
      <c r="I17" s="282"/>
      <c r="J17" s="282"/>
      <c r="K17" s="282"/>
      <c r="L17" s="282"/>
      <c r="M17" s="282"/>
      <c r="N17" s="283"/>
    </row>
    <row r="18" spans="1:14" ht="12" customHeight="1">
      <c r="A18" s="37" t="s">
        <v>104</v>
      </c>
      <c r="B18" s="79">
        <v>0</v>
      </c>
      <c r="C18" s="80">
        <f t="shared" si="1"/>
        <v>0</v>
      </c>
      <c r="D18" s="81"/>
      <c r="E18" s="287"/>
      <c r="F18" s="282"/>
      <c r="G18" s="282"/>
      <c r="H18" s="282"/>
      <c r="I18" s="282"/>
      <c r="J18" s="282"/>
      <c r="K18" s="282"/>
      <c r="L18" s="282"/>
      <c r="M18" s="282"/>
      <c r="N18" s="283"/>
    </row>
    <row r="19" spans="1:14" ht="12.95">
      <c r="A19" s="37" t="s">
        <v>105</v>
      </c>
      <c r="B19" s="79">
        <f>0</f>
        <v>0</v>
      </c>
      <c r="C19" s="80">
        <f t="shared" si="1"/>
        <v>0</v>
      </c>
      <c r="D19" s="27"/>
      <c r="E19" s="255"/>
      <c r="F19" s="282"/>
      <c r="G19" s="282"/>
      <c r="H19" s="282"/>
      <c r="I19" s="282"/>
      <c r="J19" s="282"/>
      <c r="K19" s="282"/>
      <c r="L19" s="282"/>
      <c r="M19" s="282"/>
      <c r="N19" s="283"/>
    </row>
    <row r="20" spans="1:14" ht="12.95">
      <c r="A20" s="37" t="s">
        <v>106</v>
      </c>
      <c r="B20" s="79">
        <f>0.2*B13</f>
        <v>7680</v>
      </c>
      <c r="C20" s="80">
        <f t="shared" si="1"/>
        <v>9.7605612322708563E-2</v>
      </c>
      <c r="D20" s="27"/>
      <c r="E20" s="287"/>
      <c r="F20" s="282"/>
      <c r="G20" s="282"/>
      <c r="H20" s="282"/>
      <c r="I20" s="282"/>
      <c r="J20" s="282"/>
      <c r="K20" s="282"/>
      <c r="L20" s="282"/>
      <c r="M20" s="282"/>
      <c r="N20" s="283"/>
    </row>
    <row r="21" spans="1:14" ht="12" customHeight="1">
      <c r="A21" s="37" t="s">
        <v>107</v>
      </c>
      <c r="B21" s="79">
        <v>700</v>
      </c>
      <c r="C21" s="80">
        <f t="shared" si="1"/>
        <v>8.8963448731635402E-3</v>
      </c>
      <c r="D21" s="81"/>
      <c r="E21" s="255" t="s">
        <v>108</v>
      </c>
      <c r="F21" s="282"/>
      <c r="G21" s="282"/>
      <c r="H21" s="282"/>
      <c r="I21" s="282"/>
      <c r="J21" s="282"/>
      <c r="K21" s="282"/>
      <c r="L21" s="282"/>
      <c r="M21" s="282"/>
      <c r="N21" s="283"/>
    </row>
    <row r="22" spans="1:14" ht="12" customHeight="1">
      <c r="A22" s="37" t="s">
        <v>109</v>
      </c>
      <c r="B22" s="79">
        <f>0</f>
        <v>0</v>
      </c>
      <c r="C22" s="80">
        <f t="shared" si="1"/>
        <v>0</v>
      </c>
      <c r="D22" s="81"/>
      <c r="E22" s="287"/>
      <c r="F22" s="282"/>
      <c r="G22" s="282"/>
      <c r="H22" s="282"/>
      <c r="I22" s="282"/>
      <c r="J22" s="282"/>
      <c r="K22" s="282"/>
      <c r="L22" s="282"/>
      <c r="M22" s="282"/>
      <c r="N22" s="283"/>
    </row>
    <row r="23" spans="1:14" ht="13.5" customHeight="1">
      <c r="A23" s="37" t="s">
        <v>110</v>
      </c>
      <c r="B23" s="88">
        <f>'Initial investments'!B17/C39</f>
        <v>202.12200000000001</v>
      </c>
      <c r="C23" s="80">
        <f t="shared" si="1"/>
        <v>2.5687814549336589E-3</v>
      </c>
      <c r="D23" s="81"/>
      <c r="E23" s="287"/>
      <c r="F23" s="282"/>
      <c r="G23" s="282"/>
      <c r="H23" s="282"/>
      <c r="I23" s="282"/>
      <c r="J23" s="282"/>
      <c r="K23" s="282"/>
      <c r="L23" s="282"/>
      <c r="M23" s="282"/>
      <c r="N23" s="283"/>
    </row>
    <row r="24" spans="1:14" ht="13.5" customHeight="1">
      <c r="A24" s="37" t="s">
        <v>111</v>
      </c>
      <c r="B24" s="88">
        <f>'Initial investments'!B17/C38</f>
        <v>101.06100000000001</v>
      </c>
      <c r="C24" s="80">
        <f t="shared" si="1"/>
        <v>1.2843907274668295E-3</v>
      </c>
      <c r="D24" s="81"/>
      <c r="E24" s="287"/>
      <c r="F24" s="282"/>
      <c r="G24" s="282"/>
      <c r="H24" s="282"/>
      <c r="I24" s="282"/>
      <c r="J24" s="282"/>
      <c r="K24" s="282"/>
      <c r="L24" s="282"/>
      <c r="M24" s="282"/>
      <c r="N24" s="283"/>
    </row>
    <row r="25" spans="1:14" ht="13.5" customHeight="1">
      <c r="A25" s="82" t="s">
        <v>112</v>
      </c>
      <c r="B25" s="83">
        <f>SUM(B14:B24)</f>
        <v>9683.1829999999991</v>
      </c>
      <c r="C25" s="84">
        <f t="shared" si="1"/>
        <v>0.12306419348279192</v>
      </c>
      <c r="D25" s="81"/>
      <c r="E25" s="287"/>
      <c r="F25" s="282"/>
      <c r="G25" s="282"/>
      <c r="H25" s="282"/>
      <c r="I25" s="282"/>
      <c r="J25" s="282"/>
      <c r="K25" s="282"/>
      <c r="L25" s="282"/>
      <c r="M25" s="282"/>
      <c r="N25" s="283"/>
    </row>
    <row r="26" spans="1:14" ht="13.5" customHeight="1">
      <c r="A26" s="82" t="s">
        <v>113</v>
      </c>
      <c r="B26" s="83">
        <f>B4-B13-SUM(B14:B22)</f>
        <v>30904</v>
      </c>
      <c r="C26" s="84"/>
      <c r="D26" s="81"/>
      <c r="E26" s="287"/>
      <c r="F26" s="282"/>
      <c r="G26" s="282"/>
      <c r="H26" s="282"/>
      <c r="I26" s="282"/>
      <c r="J26" s="282"/>
      <c r="K26" s="282"/>
      <c r="L26" s="282"/>
      <c r="M26" s="282"/>
      <c r="N26" s="283"/>
    </row>
    <row r="27" spans="1:14" ht="13.5" customHeight="1">
      <c r="A27" s="82" t="s">
        <v>114</v>
      </c>
      <c r="B27" s="83">
        <f>B8-B13-B25</f>
        <v>30600.817000000003</v>
      </c>
      <c r="C27" s="84">
        <f t="shared" ref="C27:C33" si="2">IF($B$4&lt;&gt;0,B27/$B$4,0)</f>
        <v>0.38890774490366531</v>
      </c>
      <c r="D27" s="81"/>
      <c r="E27" s="287"/>
      <c r="F27" s="282"/>
      <c r="G27" s="282"/>
      <c r="H27" s="282"/>
      <c r="I27" s="282"/>
      <c r="J27" s="282"/>
      <c r="K27" s="282"/>
      <c r="L27" s="282"/>
      <c r="M27" s="282"/>
      <c r="N27" s="283"/>
    </row>
    <row r="28" spans="1:14" ht="12" customHeight="1">
      <c r="A28" s="37" t="s">
        <v>115</v>
      </c>
      <c r="B28" s="79">
        <f>'Initial Financing'!C16</f>
        <v>0</v>
      </c>
      <c r="C28" s="80">
        <f t="shared" si="2"/>
        <v>0</v>
      </c>
      <c r="D28" s="81"/>
      <c r="E28" s="287"/>
      <c r="F28" s="282"/>
      <c r="G28" s="282"/>
      <c r="H28" s="282"/>
      <c r="I28" s="282"/>
      <c r="J28" s="282"/>
      <c r="K28" s="282"/>
      <c r="L28" s="282"/>
      <c r="M28" s="282"/>
      <c r="N28" s="283"/>
    </row>
    <row r="29" spans="1:14" ht="12" customHeight="1">
      <c r="A29" s="37" t="s">
        <v>116</v>
      </c>
      <c r="B29" s="79">
        <f>'Initial Financing'!C16*'Initial Financing'!C17</f>
        <v>0</v>
      </c>
      <c r="C29" s="80">
        <f t="shared" si="2"/>
        <v>0</v>
      </c>
      <c r="D29" s="81"/>
      <c r="E29" s="287"/>
      <c r="F29" s="282"/>
      <c r="G29" s="282"/>
      <c r="H29" s="282"/>
      <c r="I29" s="282"/>
      <c r="J29" s="282"/>
      <c r="K29" s="282"/>
      <c r="L29" s="282"/>
      <c r="M29" s="282"/>
      <c r="N29" s="283"/>
    </row>
    <row r="30" spans="1:14" ht="13.5" customHeight="1">
      <c r="A30" s="54" t="s">
        <v>117</v>
      </c>
      <c r="B30" s="85">
        <f>-SUM(B28:B29)</f>
        <v>0</v>
      </c>
      <c r="C30" s="86">
        <f t="shared" si="2"/>
        <v>0</v>
      </c>
      <c r="D30" s="81"/>
      <c r="E30" s="287"/>
      <c r="F30" s="282"/>
      <c r="G30" s="282"/>
      <c r="H30" s="282"/>
      <c r="I30" s="282"/>
      <c r="J30" s="282"/>
      <c r="K30" s="282"/>
      <c r="L30" s="282"/>
      <c r="M30" s="282"/>
      <c r="N30" s="283"/>
    </row>
    <row r="31" spans="1:14" ht="13.5" customHeight="1">
      <c r="A31" s="82" t="s">
        <v>118</v>
      </c>
      <c r="B31" s="83">
        <f>B27+B30</f>
        <v>30600.817000000003</v>
      </c>
      <c r="C31" s="84">
        <f t="shared" si="2"/>
        <v>0.38890774490366531</v>
      </c>
      <c r="D31" s="81"/>
      <c r="E31" s="287"/>
      <c r="F31" s="282"/>
      <c r="G31" s="282"/>
      <c r="H31" s="282"/>
      <c r="I31" s="282"/>
      <c r="J31" s="282"/>
      <c r="K31" s="282"/>
      <c r="L31" s="282"/>
      <c r="M31" s="282"/>
      <c r="N31" s="283"/>
    </row>
    <row r="32" spans="1:14" ht="13.5" customHeight="1">
      <c r="A32" s="54" t="s">
        <v>119</v>
      </c>
      <c r="B32" s="85">
        <f>B31*0.15</f>
        <v>4590.12255</v>
      </c>
      <c r="C32" s="86">
        <f t="shared" si="2"/>
        <v>5.8336161735549792E-2</v>
      </c>
      <c r="D32" s="225" t="s">
        <v>120</v>
      </c>
      <c r="E32" s="287"/>
      <c r="F32" s="282"/>
      <c r="G32" s="282"/>
      <c r="H32" s="282"/>
      <c r="I32" s="282"/>
      <c r="J32" s="282"/>
      <c r="K32" s="282"/>
      <c r="L32" s="282"/>
      <c r="M32" s="282"/>
      <c r="N32" s="283"/>
    </row>
    <row r="33" spans="1:14" ht="12" customHeight="1">
      <c r="A33" s="82" t="s">
        <v>121</v>
      </c>
      <c r="B33" s="83">
        <f>B31-B32</f>
        <v>26010.694450000003</v>
      </c>
      <c r="C33" s="84">
        <f t="shared" si="2"/>
        <v>0.33057158316811552</v>
      </c>
      <c r="D33" s="81"/>
      <c r="E33" s="287"/>
      <c r="F33" s="282"/>
      <c r="G33" s="282"/>
      <c r="H33" s="282"/>
      <c r="I33" s="282"/>
      <c r="J33" s="282"/>
      <c r="K33" s="282"/>
      <c r="L33" s="282"/>
      <c r="M33" s="282"/>
      <c r="N33" s="283"/>
    </row>
    <row r="34" spans="1:14" ht="15" customHeight="1">
      <c r="D34" s="1"/>
      <c r="E34" s="278"/>
      <c r="F34" s="277"/>
      <c r="G34" s="277"/>
      <c r="H34" s="277"/>
      <c r="I34" s="277"/>
      <c r="J34" s="277"/>
      <c r="K34" s="277"/>
      <c r="L34" s="277"/>
      <c r="M34" s="277"/>
      <c r="N34" s="277"/>
    </row>
    <row r="35" spans="1:14" ht="15" customHeight="1">
      <c r="A35" s="231" t="s">
        <v>122</v>
      </c>
      <c r="D35" s="1"/>
      <c r="E35" s="278"/>
      <c r="F35" s="277"/>
      <c r="G35" s="277"/>
      <c r="H35" s="277"/>
      <c r="I35" s="277"/>
      <c r="J35" s="277"/>
      <c r="K35" s="277"/>
      <c r="L35" s="277"/>
      <c r="M35" s="277"/>
      <c r="N35" s="277"/>
    </row>
    <row r="36" spans="1:14" ht="15" customHeight="1">
      <c r="A36" s="3" t="s">
        <v>123</v>
      </c>
      <c r="D36" s="1"/>
      <c r="E36" s="278"/>
      <c r="F36" s="277"/>
      <c r="G36" s="277"/>
      <c r="H36" s="277"/>
      <c r="I36" s="277"/>
      <c r="J36" s="277"/>
      <c r="K36" s="277"/>
      <c r="L36" s="277"/>
      <c r="M36" s="277"/>
      <c r="N36" s="277"/>
    </row>
    <row r="37" spans="1:14" ht="15" customHeight="1">
      <c r="A37" s="108" t="s">
        <v>124</v>
      </c>
      <c r="B37" s="109" t="s">
        <v>125</v>
      </c>
      <c r="C37" s="109" t="s">
        <v>126</v>
      </c>
      <c r="D37" s="1"/>
      <c r="E37" s="278"/>
      <c r="F37" s="277"/>
      <c r="G37" s="277"/>
      <c r="H37" s="277"/>
      <c r="I37" s="277"/>
      <c r="J37" s="277"/>
      <c r="K37" s="277"/>
      <c r="L37" s="277"/>
      <c r="M37" s="277"/>
      <c r="N37" s="277"/>
    </row>
    <row r="38" spans="1:14" ht="15" customHeight="1">
      <c r="A38" s="37" t="s">
        <v>127</v>
      </c>
      <c r="B38" s="111">
        <v>0.1</v>
      </c>
      <c r="C38" s="113">
        <v>10</v>
      </c>
      <c r="D38" s="1"/>
      <c r="E38" s="278"/>
      <c r="F38" s="277"/>
      <c r="G38" s="277"/>
      <c r="H38" s="277"/>
      <c r="I38" s="277"/>
      <c r="J38" s="277"/>
      <c r="K38" s="277"/>
      <c r="L38" s="277"/>
      <c r="M38" s="277"/>
      <c r="N38" s="277"/>
    </row>
    <row r="39" spans="1:14" ht="15" customHeight="1">
      <c r="A39" s="37" t="s">
        <v>128</v>
      </c>
      <c r="B39" s="111">
        <v>0.25</v>
      </c>
      <c r="C39" s="113">
        <v>5</v>
      </c>
      <c r="D39" s="1"/>
      <c r="E39" s="278"/>
      <c r="F39" s="277"/>
      <c r="G39" s="277"/>
      <c r="H39" s="277"/>
      <c r="I39" s="277"/>
      <c r="J39" s="277"/>
      <c r="K39" s="277"/>
      <c r="L39" s="277"/>
      <c r="M39" s="277"/>
      <c r="N39" s="277"/>
    </row>
  </sheetData>
  <mergeCells count="38">
    <mergeCell ref="E2:N2"/>
    <mergeCell ref="E3:N3"/>
    <mergeCell ref="E4:N4"/>
    <mergeCell ref="E5:N5"/>
    <mergeCell ref="E6:N6"/>
    <mergeCell ref="E7:N7"/>
    <mergeCell ref="E1:N1"/>
    <mergeCell ref="E33:N33"/>
    <mergeCell ref="E34:N34"/>
    <mergeCell ref="E35:N35"/>
    <mergeCell ref="E22:N22"/>
    <mergeCell ref="E23:N23"/>
    <mergeCell ref="E24:N24"/>
    <mergeCell ref="E16:N16"/>
    <mergeCell ref="E17:N17"/>
    <mergeCell ref="E18:N18"/>
    <mergeCell ref="E20:N20"/>
    <mergeCell ref="E21:N21"/>
    <mergeCell ref="E19:N19"/>
    <mergeCell ref="E8:N8"/>
    <mergeCell ref="E9:N9"/>
    <mergeCell ref="E36:N36"/>
    <mergeCell ref="E37:N37"/>
    <mergeCell ref="E38:N38"/>
    <mergeCell ref="E39:N39"/>
    <mergeCell ref="E25:N25"/>
    <mergeCell ref="E26:N26"/>
    <mergeCell ref="E27:N27"/>
    <mergeCell ref="E28:N28"/>
    <mergeCell ref="E32:N32"/>
    <mergeCell ref="E29:N29"/>
    <mergeCell ref="E30:N30"/>
    <mergeCell ref="E31:N31"/>
    <mergeCell ref="E10:N10"/>
    <mergeCell ref="E11:N11"/>
    <mergeCell ref="E12:N12"/>
    <mergeCell ref="E13:N13"/>
    <mergeCell ref="E14:N15"/>
  </mergeCells>
  <hyperlinks>
    <hyperlink ref="D16" r:id="rId1" xr:uid="{D6889D8E-0343-4D82-B58D-08D345EA8189}"/>
    <hyperlink ref="D32" r:id="rId2" xr:uid="{74B5B8F8-7A92-4992-BBD5-6DE30F3D7ACF}"/>
  </hyperlinks>
  <pageMargins left="0.25" right="0.25" top="0.75" bottom="0.22916666666666699" header="0" footer="0"/>
  <pageSetup paperSize="9" orientation="landscape"/>
  <headerFooter>
    <oddHeader>&amp;LPRÁCTICA 4-5: Evaluación económica del plan de tecnologías&amp;R&amp;A</oddHeader>
  </headerFooter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3"/>
  <sheetViews>
    <sheetView topLeftCell="A3" zoomScale="120" zoomScaleNormal="120" workbookViewId="0">
      <selection activeCell="M15" sqref="M15"/>
    </sheetView>
  </sheetViews>
  <sheetFormatPr defaultColWidth="14.42578125" defaultRowHeight="15" customHeight="1"/>
  <cols>
    <col min="1" max="1" width="36.42578125" customWidth="1"/>
    <col min="2" max="2" width="12.28515625" customWidth="1"/>
    <col min="3" max="3" width="13.140625" customWidth="1"/>
    <col min="4" max="4" width="12.85546875" customWidth="1"/>
    <col min="5" max="9" width="12.28515625" customWidth="1"/>
    <col min="10" max="10" width="10.42578125" customWidth="1"/>
    <col min="11" max="17" width="12.28515625" customWidth="1"/>
    <col min="18" max="18" width="13.85546875" customWidth="1"/>
    <col min="19" max="26" width="8.7109375" customWidth="1"/>
  </cols>
  <sheetData>
    <row r="1" spans="1:18" ht="13.5" customHeight="1">
      <c r="A1" s="269" t="s">
        <v>129</v>
      </c>
      <c r="B1" s="266" t="s">
        <v>130</v>
      </c>
      <c r="C1" s="288"/>
      <c r="D1" s="288"/>
      <c r="E1" s="288"/>
      <c r="F1" s="289"/>
      <c r="G1" s="259" t="s">
        <v>131</v>
      </c>
      <c r="H1" s="288"/>
      <c r="I1" s="288"/>
      <c r="J1" s="288"/>
      <c r="K1" s="288"/>
      <c r="L1" s="289"/>
      <c r="M1" s="258" t="s">
        <v>132</v>
      </c>
      <c r="N1" s="288"/>
      <c r="O1" s="288"/>
      <c r="P1" s="288"/>
      <c r="Q1" s="288"/>
      <c r="R1" s="289"/>
    </row>
    <row r="2" spans="1:18" ht="51.75" customHeight="1">
      <c r="A2" s="290"/>
      <c r="B2" s="268" t="s">
        <v>133</v>
      </c>
      <c r="C2" s="291"/>
      <c r="D2" s="270" t="s">
        <v>134</v>
      </c>
      <c r="E2" s="271" t="s">
        <v>135</v>
      </c>
      <c r="F2" s="292"/>
      <c r="G2" s="267" t="s">
        <v>133</v>
      </c>
      <c r="H2" s="291"/>
      <c r="I2" s="263" t="s">
        <v>134</v>
      </c>
      <c r="J2" s="264" t="s">
        <v>136</v>
      </c>
      <c r="K2" s="260" t="s">
        <v>135</v>
      </c>
      <c r="L2" s="292"/>
      <c r="M2" s="262" t="s">
        <v>133</v>
      </c>
      <c r="N2" s="291"/>
      <c r="O2" s="261" t="s">
        <v>134</v>
      </c>
      <c r="P2" s="257" t="s">
        <v>137</v>
      </c>
      <c r="Q2" s="256" t="s">
        <v>135</v>
      </c>
      <c r="R2" s="292"/>
    </row>
    <row r="3" spans="1:18" ht="12.75" customHeight="1">
      <c r="A3" s="293"/>
      <c r="B3" s="89" t="s">
        <v>138</v>
      </c>
      <c r="C3" s="90" t="s">
        <v>139</v>
      </c>
      <c r="D3" s="293"/>
      <c r="E3" s="91" t="s">
        <v>140</v>
      </c>
      <c r="F3" s="92" t="s">
        <v>141</v>
      </c>
      <c r="G3" s="93" t="s">
        <v>138</v>
      </c>
      <c r="H3" s="94" t="s">
        <v>139</v>
      </c>
      <c r="I3" s="293"/>
      <c r="J3" s="293"/>
      <c r="K3" s="95" t="s">
        <v>140</v>
      </c>
      <c r="L3" s="96" t="s">
        <v>141</v>
      </c>
      <c r="M3" s="97" t="s">
        <v>138</v>
      </c>
      <c r="N3" s="98" t="s">
        <v>139</v>
      </c>
      <c r="O3" s="293"/>
      <c r="P3" s="293"/>
      <c r="Q3" s="99" t="s">
        <v>140</v>
      </c>
      <c r="R3" s="100" t="s">
        <v>141</v>
      </c>
    </row>
    <row r="4" spans="1:18" ht="12.75" customHeight="1">
      <c r="A4" s="101" t="s">
        <v>85</v>
      </c>
      <c r="B4" s="102">
        <f t="shared" ref="B4:B5" si="0">D4*(1+C4)</f>
        <v>38210.400000000001</v>
      </c>
      <c r="C4" s="103">
        <v>-0.4</v>
      </c>
      <c r="D4" s="104">
        <f>'Preliminary results'!B2</f>
        <v>63684</v>
      </c>
      <c r="E4" s="105">
        <v>0.5</v>
      </c>
      <c r="F4" s="106">
        <f t="shared" ref="F4:F5" si="1">D4*(1+E4)</f>
        <v>95526</v>
      </c>
      <c r="G4" s="102">
        <f t="shared" ref="G4:G5" si="2">I4*(1+H4)</f>
        <v>45852.480000000003</v>
      </c>
      <c r="H4" s="103">
        <v>-0.4</v>
      </c>
      <c r="I4" s="104">
        <f>IF(D4&lt;&gt;0,D4*(1+J4),0)</f>
        <v>76420.800000000003</v>
      </c>
      <c r="J4" s="107">
        <v>0.2</v>
      </c>
      <c r="K4" s="105">
        <v>0.5</v>
      </c>
      <c r="L4" s="106">
        <f t="shared" ref="L4:L5" si="3">I4*(1+K4)</f>
        <v>114631.20000000001</v>
      </c>
      <c r="M4" s="102">
        <f t="shared" ref="M4:M5" si="4">O4*(1+N4)</f>
        <v>85973.4</v>
      </c>
      <c r="N4" s="103">
        <v>-0.4</v>
      </c>
      <c r="O4" s="104">
        <f t="shared" ref="O4:O5" si="5">IF(F4&lt;&gt;0,F4*(1+P4),0)</f>
        <v>143289</v>
      </c>
      <c r="P4" s="107">
        <v>0.5</v>
      </c>
      <c r="Q4" s="105">
        <v>0.5</v>
      </c>
      <c r="R4" s="106">
        <f t="shared" ref="R4:R5" si="6">O4*(1+Q4)</f>
        <v>214933.5</v>
      </c>
    </row>
    <row r="5" spans="1:18" ht="12.75" customHeight="1">
      <c r="A5" s="110" t="s">
        <v>86</v>
      </c>
      <c r="B5" s="112">
        <f t="shared" si="0"/>
        <v>13500</v>
      </c>
      <c r="C5" s="216">
        <v>-0.1</v>
      </c>
      <c r="D5" s="114">
        <f>'Preliminary results'!B3</f>
        <v>15000</v>
      </c>
      <c r="E5" s="217">
        <v>0.1</v>
      </c>
      <c r="F5" s="115">
        <f t="shared" si="1"/>
        <v>16500</v>
      </c>
      <c r="G5" s="112">
        <f t="shared" si="2"/>
        <v>13500</v>
      </c>
      <c r="H5" s="216">
        <v>-0.1</v>
      </c>
      <c r="I5" s="114">
        <f t="shared" ref="I4:I5" si="7">IF(D5&lt;&gt;0,D5*(1+J5),0)</f>
        <v>15000</v>
      </c>
      <c r="J5" s="116">
        <v>0</v>
      </c>
      <c r="K5" s="217">
        <v>0.1</v>
      </c>
      <c r="L5" s="115">
        <f t="shared" si="3"/>
        <v>16500</v>
      </c>
      <c r="M5" s="112">
        <f t="shared" si="4"/>
        <v>14850</v>
      </c>
      <c r="N5" s="216">
        <v>-0.1</v>
      </c>
      <c r="O5" s="114">
        <f t="shared" si="5"/>
        <v>16500</v>
      </c>
      <c r="P5" s="116">
        <v>0</v>
      </c>
      <c r="Q5" s="217">
        <v>0.1</v>
      </c>
      <c r="R5" s="115">
        <f t="shared" si="6"/>
        <v>18150</v>
      </c>
    </row>
    <row r="6" spans="1:18" ht="12.75" customHeight="1">
      <c r="A6" s="117" t="s">
        <v>142</v>
      </c>
      <c r="B6" s="118">
        <f>SUM(B4:B5)</f>
        <v>51710.400000000001</v>
      </c>
      <c r="C6" s="119"/>
      <c r="D6" s="120">
        <f>SUM(D4:D5)</f>
        <v>78684</v>
      </c>
      <c r="E6" s="121"/>
      <c r="F6" s="122">
        <f>SUM(F4:F5)</f>
        <v>112026</v>
      </c>
      <c r="G6" s="118">
        <f>SUM(G4:G5)</f>
        <v>59352.480000000003</v>
      </c>
      <c r="H6" s="119"/>
      <c r="I6" s="120">
        <f>SUM(I4:I5)</f>
        <v>91420.800000000003</v>
      </c>
      <c r="J6" s="123"/>
      <c r="K6" s="121"/>
      <c r="L6" s="122">
        <f>SUM(L4:L5)</f>
        <v>131131.20000000001</v>
      </c>
      <c r="M6" s="118">
        <f>SUM(M4:M5)</f>
        <v>100823.4</v>
      </c>
      <c r="N6" s="119"/>
      <c r="O6" s="120">
        <f>SUM(O4:O5)</f>
        <v>159789</v>
      </c>
      <c r="P6" s="123"/>
      <c r="Q6" s="121"/>
      <c r="R6" s="122">
        <f>SUM(R4:R5)</f>
        <v>233083.5</v>
      </c>
    </row>
    <row r="7" spans="1:18" ht="12.75" customHeight="1">
      <c r="A7" s="124" t="s">
        <v>143</v>
      </c>
      <c r="B7" s="112">
        <f>D7*(1+C7)</f>
        <v>0</v>
      </c>
      <c r="C7" s="216">
        <v>0.5</v>
      </c>
      <c r="D7" s="114">
        <f>'Preliminary results'!B7</f>
        <v>0</v>
      </c>
      <c r="E7" s="217">
        <v>-0.5</v>
      </c>
      <c r="F7" s="115">
        <f>D7*(1+E7)</f>
        <v>0</v>
      </c>
      <c r="G7" s="112">
        <f>I7*(1+H7)</f>
        <v>0</v>
      </c>
      <c r="H7" s="216">
        <v>0.5</v>
      </c>
      <c r="I7" s="114">
        <f>IF(D7&lt;&gt;0,D7*(1+J7),0)</f>
        <v>0</v>
      </c>
      <c r="J7" s="116">
        <v>0.1</v>
      </c>
      <c r="K7" s="217">
        <v>-0.5</v>
      </c>
      <c r="L7" s="115">
        <f>I7*(1+K7)</f>
        <v>0</v>
      </c>
      <c r="M7" s="112">
        <f>O7*(1+N7)</f>
        <v>0</v>
      </c>
      <c r="N7" s="216">
        <v>0.5</v>
      </c>
      <c r="O7" s="114">
        <f>IF(F7&lt;&gt;0,F7*(1+P7),0)</f>
        <v>0</v>
      </c>
      <c r="P7" s="116">
        <v>0.1</v>
      </c>
      <c r="Q7" s="217">
        <v>-0.5</v>
      </c>
      <c r="R7" s="115">
        <f>O7*(1+Q7)</f>
        <v>0</v>
      </c>
    </row>
    <row r="8" spans="1:18" ht="12.75" customHeight="1">
      <c r="A8" s="117" t="s">
        <v>144</v>
      </c>
      <c r="B8" s="118">
        <f>B6-B7</f>
        <v>51710.400000000001</v>
      </c>
      <c r="C8" s="119"/>
      <c r="D8" s="120">
        <f>D6-D7</f>
        <v>78684</v>
      </c>
      <c r="E8" s="121"/>
      <c r="F8" s="122">
        <f t="shared" ref="F8:G8" si="8">F6-F7</f>
        <v>112026</v>
      </c>
      <c r="G8" s="118">
        <f t="shared" si="8"/>
        <v>59352.480000000003</v>
      </c>
      <c r="H8" s="119"/>
      <c r="I8" s="120">
        <f>I6-I7</f>
        <v>91420.800000000003</v>
      </c>
      <c r="J8" s="123"/>
      <c r="K8" s="121"/>
      <c r="L8" s="122">
        <f t="shared" ref="L8:M8" si="9">L6-L7</f>
        <v>131131.20000000001</v>
      </c>
      <c r="M8" s="118">
        <f t="shared" si="9"/>
        <v>100823.4</v>
      </c>
      <c r="N8" s="119"/>
      <c r="O8" s="120">
        <f>O6-O7</f>
        <v>159789</v>
      </c>
      <c r="P8" s="123"/>
      <c r="Q8" s="121"/>
      <c r="R8" s="122">
        <f>R6-R7</f>
        <v>233083.5</v>
      </c>
    </row>
    <row r="9" spans="1:18" ht="12.75" customHeight="1">
      <c r="A9" s="117" t="s">
        <v>145</v>
      </c>
      <c r="B9" s="125">
        <f>IF(B6&lt;&gt;0,(B8/B6)*100,0)</f>
        <v>100</v>
      </c>
      <c r="C9" s="126"/>
      <c r="D9" s="127">
        <f>IF(D6&lt;&gt;0,(D8/D6)*100,0)</f>
        <v>100</v>
      </c>
      <c r="E9" s="128"/>
      <c r="F9" s="129">
        <f t="shared" ref="F9:G9" si="10">IF(F6&lt;&gt;0,(F8/F6)*100,0)</f>
        <v>100</v>
      </c>
      <c r="G9" s="125">
        <f t="shared" si="10"/>
        <v>100</v>
      </c>
      <c r="H9" s="126"/>
      <c r="I9" s="127">
        <f t="shared" ref="I9:I12" si="11">IF(D9&lt;&gt;0,D9*(1+J9),0)</f>
        <v>110.00000000000001</v>
      </c>
      <c r="J9" s="130">
        <v>0.1</v>
      </c>
      <c r="K9" s="128"/>
      <c r="L9" s="129">
        <f t="shared" ref="L9:M9" si="12">IF(L6&lt;&gt;0,(L8/L6)*100,0)</f>
        <v>100</v>
      </c>
      <c r="M9" s="125">
        <f t="shared" si="12"/>
        <v>100</v>
      </c>
      <c r="N9" s="126"/>
      <c r="O9" s="127">
        <f t="shared" ref="O9:O12" si="13">IF(F9&lt;&gt;0,F9*(1+P9),0)</f>
        <v>110.00000000000001</v>
      </c>
      <c r="P9" s="130">
        <v>0.1</v>
      </c>
      <c r="Q9" s="128"/>
      <c r="R9" s="129">
        <f>IF(R6&lt;&gt;0,(R8/R6)*100,0)</f>
        <v>100</v>
      </c>
    </row>
    <row r="10" spans="1:18" ht="12.75" customHeight="1">
      <c r="A10" s="124" t="s">
        <v>146</v>
      </c>
      <c r="B10" s="112">
        <f t="shared" ref="B10:B11" si="14">D10*(1+C10)</f>
        <v>42240</v>
      </c>
      <c r="C10" s="216">
        <v>0.1</v>
      </c>
      <c r="D10" s="114">
        <f>'Preliminary results'!B13</f>
        <v>38400</v>
      </c>
      <c r="E10" s="217">
        <v>0</v>
      </c>
      <c r="F10" s="115">
        <f t="shared" ref="F10:F12" si="15">D10*(1+E10)</f>
        <v>38400</v>
      </c>
      <c r="G10" s="112">
        <f t="shared" ref="G10:G12" si="16">I10*(1+H10)</f>
        <v>46464.000000000007</v>
      </c>
      <c r="H10" s="216">
        <v>0.1</v>
      </c>
      <c r="I10" s="114">
        <f t="shared" si="11"/>
        <v>42240</v>
      </c>
      <c r="J10" s="116">
        <v>0.1</v>
      </c>
      <c r="K10" s="217">
        <v>0</v>
      </c>
      <c r="L10" s="115">
        <f t="shared" ref="L10:L12" si="17">I10*(1+K10)</f>
        <v>42240</v>
      </c>
      <c r="M10" s="112">
        <f t="shared" ref="M10:M12" si="18">O10*(1+N10)</f>
        <v>46464.000000000007</v>
      </c>
      <c r="N10" s="216">
        <v>0.1</v>
      </c>
      <c r="O10" s="114">
        <f t="shared" si="13"/>
        <v>42240</v>
      </c>
      <c r="P10" s="116">
        <v>0.1</v>
      </c>
      <c r="Q10" s="217">
        <v>0</v>
      </c>
      <c r="R10" s="115">
        <f t="shared" ref="R10:R12" si="19">O10*(1+Q10)</f>
        <v>42240</v>
      </c>
    </row>
    <row r="11" spans="1:18" ht="12.75" customHeight="1">
      <c r="A11" s="124" t="s">
        <v>147</v>
      </c>
      <c r="B11" s="112">
        <f t="shared" si="14"/>
        <v>11135.660449999998</v>
      </c>
      <c r="C11" s="216">
        <v>0.15</v>
      </c>
      <c r="D11" s="114">
        <f>'Preliminary results'!B25</f>
        <v>9683.1829999999991</v>
      </c>
      <c r="E11" s="217">
        <v>-0.05</v>
      </c>
      <c r="F11" s="115">
        <f t="shared" si="15"/>
        <v>9199.0238499999996</v>
      </c>
      <c r="G11" s="112">
        <f t="shared" si="16"/>
        <v>12249.226494999999</v>
      </c>
      <c r="H11" s="216">
        <v>0.15</v>
      </c>
      <c r="I11" s="114">
        <f t="shared" si="11"/>
        <v>10651.5013</v>
      </c>
      <c r="J11" s="116">
        <v>0.1</v>
      </c>
      <c r="K11" s="217">
        <v>-0.05</v>
      </c>
      <c r="L11" s="115">
        <f t="shared" si="17"/>
        <v>10118.926234999999</v>
      </c>
      <c r="M11" s="112">
        <f t="shared" si="18"/>
        <v>11636.765170250001</v>
      </c>
      <c r="N11" s="216">
        <v>0.15</v>
      </c>
      <c r="O11" s="114">
        <f t="shared" si="13"/>
        <v>10118.926235000001</v>
      </c>
      <c r="P11" s="116">
        <v>0.1</v>
      </c>
      <c r="Q11" s="217">
        <v>-0.05</v>
      </c>
      <c r="R11" s="115">
        <f t="shared" si="19"/>
        <v>9612.9799232500009</v>
      </c>
    </row>
    <row r="12" spans="1:18" ht="12.75" customHeight="1">
      <c r="A12" s="124" t="s">
        <v>148</v>
      </c>
      <c r="B12" s="112">
        <f>D12*(1+C12)</f>
        <v>0</v>
      </c>
      <c r="C12" s="216">
        <v>0.15</v>
      </c>
      <c r="D12" s="114">
        <f>-'Preliminary results'!B30</f>
        <v>0</v>
      </c>
      <c r="E12" s="217"/>
      <c r="F12" s="115">
        <f t="shared" si="15"/>
        <v>0</v>
      </c>
      <c r="G12" s="112">
        <f t="shared" si="16"/>
        <v>0</v>
      </c>
      <c r="H12" s="216">
        <v>0.15</v>
      </c>
      <c r="I12" s="114">
        <f t="shared" si="11"/>
        <v>0</v>
      </c>
      <c r="J12" s="116">
        <v>0.1</v>
      </c>
      <c r="K12" s="217">
        <v>-0.15</v>
      </c>
      <c r="L12" s="115">
        <f t="shared" si="17"/>
        <v>0</v>
      </c>
      <c r="M12" s="112">
        <f t="shared" si="18"/>
        <v>0</v>
      </c>
      <c r="N12" s="216">
        <v>0.15</v>
      </c>
      <c r="O12" s="114">
        <f t="shared" si="13"/>
        <v>0</v>
      </c>
      <c r="P12" s="116">
        <v>0.1</v>
      </c>
      <c r="Q12" s="217">
        <v>-0.15</v>
      </c>
      <c r="R12" s="115">
        <f t="shared" si="19"/>
        <v>0</v>
      </c>
    </row>
    <row r="13" spans="1:18" ht="12.75" customHeight="1">
      <c r="A13" s="117" t="s">
        <v>149</v>
      </c>
      <c r="B13" s="131">
        <f>B8-SUM(B10:B12)</f>
        <v>-1665.2604499999943</v>
      </c>
      <c r="C13" s="126"/>
      <c r="D13" s="127">
        <f>D8-SUM(D10:D12)</f>
        <v>30600.817000000003</v>
      </c>
      <c r="E13" s="128"/>
      <c r="F13" s="129">
        <f t="shared" ref="F13:G13" si="20">F8-SUM(F10:F12)</f>
        <v>64426.976150000002</v>
      </c>
      <c r="G13" s="131">
        <f t="shared" si="20"/>
        <v>639.25350499999331</v>
      </c>
      <c r="H13" s="126"/>
      <c r="I13" s="132">
        <f>I8-SUM(I10:I12)</f>
        <v>38529.298699999999</v>
      </c>
      <c r="J13" s="133"/>
      <c r="K13" s="128"/>
      <c r="L13" s="129">
        <f t="shared" ref="L13:M13" si="21">L8-SUM(L10:L12)</f>
        <v>78772.27376500002</v>
      </c>
      <c r="M13" s="131">
        <f t="shared" si="21"/>
        <v>42722.634829749986</v>
      </c>
      <c r="N13" s="126"/>
      <c r="O13" s="132">
        <f>O8-SUM(O10:O12)</f>
        <v>107430.07376500001</v>
      </c>
      <c r="P13" s="133"/>
      <c r="Q13" s="128"/>
      <c r="R13" s="129">
        <f>R8-SUM(R10:R12)</f>
        <v>181230.52007674999</v>
      </c>
    </row>
    <row r="14" spans="1:18" ht="12.75" customHeight="1">
      <c r="A14" s="110" t="s">
        <v>150</v>
      </c>
      <c r="B14" s="112">
        <f>IF(B13*0.15&lt;0, 0, B13*0.15)</f>
        <v>0</v>
      </c>
      <c r="C14" s="216"/>
      <c r="D14" s="114">
        <f>'Preliminary results'!B32</f>
        <v>4590.12255</v>
      </c>
      <c r="E14" s="217"/>
      <c r="F14" s="115">
        <f>F13*0.15</f>
        <v>9664.0464224999996</v>
      </c>
      <c r="G14" s="115">
        <f>G13*0.15</f>
        <v>95.888025749998988</v>
      </c>
      <c r="H14" s="216"/>
      <c r="I14" s="114">
        <f>IF(D14&lt;&gt;0,D14*(1+J14),0)</f>
        <v>5049.1348050000006</v>
      </c>
      <c r="J14" s="116">
        <v>0.1</v>
      </c>
      <c r="K14" s="217"/>
      <c r="L14" s="115">
        <f>L13*0.15</f>
        <v>11815.841064750002</v>
      </c>
      <c r="M14" s="115">
        <f>M13*0.15</f>
        <v>6408.3952244624979</v>
      </c>
      <c r="N14" s="216"/>
      <c r="O14" s="114">
        <f>IF(F14&lt;&gt;0,F14*(1+P14),0)</f>
        <v>10630.451064750001</v>
      </c>
      <c r="P14" s="116">
        <v>0.1</v>
      </c>
      <c r="Q14" s="217"/>
      <c r="R14" s="115">
        <f>R13*0.15</f>
        <v>27184.578011512498</v>
      </c>
    </row>
    <row r="15" spans="1:18" ht="12.75" customHeight="1">
      <c r="A15" s="134" t="s">
        <v>151</v>
      </c>
      <c r="B15" s="135">
        <f>B13-B14</f>
        <v>-1665.2604499999943</v>
      </c>
      <c r="C15" s="136"/>
      <c r="D15" s="137">
        <f>D13-D14</f>
        <v>26010.694450000003</v>
      </c>
      <c r="E15" s="138"/>
      <c r="F15" s="139">
        <f t="shared" ref="F15:G15" si="22">F13-F14</f>
        <v>54762.929727499999</v>
      </c>
      <c r="G15" s="135">
        <f t="shared" si="22"/>
        <v>543.36547924999434</v>
      </c>
      <c r="H15" s="136"/>
      <c r="I15" s="137">
        <f>I13-I14</f>
        <v>33480.163894999998</v>
      </c>
      <c r="J15" s="140"/>
      <c r="K15" s="138"/>
      <c r="L15" s="139">
        <f t="shared" ref="L15:M15" si="23">L13-L14</f>
        <v>66956.432700250021</v>
      </c>
      <c r="M15" s="135">
        <f t="shared" si="23"/>
        <v>36314.23960528749</v>
      </c>
      <c r="N15" s="136"/>
      <c r="O15" s="137">
        <f>O13-O14</f>
        <v>96799.622700250009</v>
      </c>
      <c r="P15" s="140"/>
      <c r="Q15" s="138"/>
      <c r="R15" s="139">
        <f>R13-R14</f>
        <v>154045.9420652375</v>
      </c>
    </row>
    <row r="18" spans="1:10" ht="12.75" customHeight="1">
      <c r="E18" s="141"/>
      <c r="F18" s="141"/>
      <c r="G18" s="141"/>
      <c r="H18" s="265"/>
      <c r="I18" s="277"/>
      <c r="J18" s="277"/>
    </row>
    <row r="19" spans="1:10" ht="12.75" customHeight="1">
      <c r="A19" s="142" t="s">
        <v>152</v>
      </c>
      <c r="B19" s="143" t="s">
        <v>138</v>
      </c>
      <c r="C19" s="144" t="s">
        <v>134</v>
      </c>
      <c r="D19" s="145" t="s">
        <v>141</v>
      </c>
      <c r="E19" s="1"/>
      <c r="F19" s="141"/>
      <c r="G19" s="1"/>
      <c r="H19" s="1"/>
      <c r="I19" s="141"/>
      <c r="J19" s="1"/>
    </row>
    <row r="20" spans="1:10" ht="12.75" customHeight="1">
      <c r="A20" s="146" t="s">
        <v>153</v>
      </c>
      <c r="B20" s="147">
        <f>B15</f>
        <v>-1665.2604499999943</v>
      </c>
      <c r="C20" s="148">
        <f>D15</f>
        <v>26010.694450000003</v>
      </c>
      <c r="D20" s="149">
        <f>F15</f>
        <v>54762.929727499999</v>
      </c>
      <c r="E20" s="1"/>
      <c r="F20" s="1"/>
      <c r="G20" s="1"/>
      <c r="H20" s="1"/>
      <c r="I20" s="1"/>
      <c r="J20" s="1"/>
    </row>
    <row r="21" spans="1:10" ht="12.75" customHeight="1">
      <c r="A21" s="150" t="s">
        <v>154</v>
      </c>
      <c r="B21" s="151">
        <f>G15</f>
        <v>543.36547924999434</v>
      </c>
      <c r="C21" s="152">
        <f>I15</f>
        <v>33480.163894999998</v>
      </c>
      <c r="D21" s="153">
        <f>L15</f>
        <v>66956.432700250021</v>
      </c>
      <c r="E21" s="1"/>
      <c r="F21" s="1"/>
      <c r="G21" s="1"/>
      <c r="H21" s="1"/>
      <c r="I21" s="1"/>
      <c r="J21" s="1"/>
    </row>
    <row r="22" spans="1:10" ht="12.75" customHeight="1">
      <c r="A22" s="154" t="s">
        <v>155</v>
      </c>
      <c r="B22" s="155">
        <f>M15</f>
        <v>36314.23960528749</v>
      </c>
      <c r="C22" s="156">
        <f>O15</f>
        <v>96799.622700250009</v>
      </c>
      <c r="D22" s="157">
        <f>R15</f>
        <v>154045.9420652375</v>
      </c>
      <c r="E22" s="1"/>
      <c r="F22" s="1"/>
      <c r="G22" s="1"/>
      <c r="H22" s="1"/>
      <c r="I22" s="1"/>
      <c r="J22" s="1"/>
    </row>
    <row r="23" spans="1:10" ht="15" customHeight="1">
      <c r="D23" s="226"/>
    </row>
  </sheetData>
  <mergeCells count="16">
    <mergeCell ref="H18:J18"/>
    <mergeCell ref="B1:F1"/>
    <mergeCell ref="G2:H2"/>
    <mergeCell ref="B2:C2"/>
    <mergeCell ref="A1:A3"/>
    <mergeCell ref="D2:D3"/>
    <mergeCell ref="E2:F2"/>
    <mergeCell ref="Q2:R2"/>
    <mergeCell ref="P2:P3"/>
    <mergeCell ref="M1:R1"/>
    <mergeCell ref="G1:L1"/>
    <mergeCell ref="K2:L2"/>
    <mergeCell ref="O2:O3"/>
    <mergeCell ref="M2:N2"/>
    <mergeCell ref="I2:I3"/>
    <mergeCell ref="J2:J3"/>
  </mergeCells>
  <pageMargins left="0.25" right="0.25" top="0.75" bottom="0.75" header="0" footer="0"/>
  <pageSetup paperSize="9" orientation="landscape"/>
  <headerFooter>
    <oddHeader>&amp;LPráctica 5: Análisis de viabilidad del plan de tecnologías&amp;C&amp;A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K82"/>
  <sheetViews>
    <sheetView topLeftCell="A16" zoomScale="110" zoomScaleNormal="110" workbookViewId="0">
      <selection activeCell="L60" sqref="L60"/>
    </sheetView>
  </sheetViews>
  <sheetFormatPr defaultColWidth="14.42578125" defaultRowHeight="15" customHeight="1"/>
  <cols>
    <col min="1" max="1" width="9.85546875" customWidth="1"/>
    <col min="2" max="2" width="49.28515625" customWidth="1"/>
    <col min="3" max="3" width="14.140625" customWidth="1"/>
    <col min="4" max="4" width="11.140625" customWidth="1"/>
    <col min="5" max="5" width="13.42578125" customWidth="1"/>
    <col min="6" max="7" width="14.140625" customWidth="1"/>
    <col min="8" max="9" width="14" customWidth="1"/>
    <col min="10" max="10" width="12.140625" customWidth="1"/>
    <col min="11" max="11" width="12.28515625" customWidth="1"/>
    <col min="12" max="12" width="11.42578125" customWidth="1"/>
    <col min="13" max="26" width="8.7109375" customWidth="1"/>
  </cols>
  <sheetData>
    <row r="2" spans="2:5" ht="12.75" customHeight="1">
      <c r="B2" s="161" t="s">
        <v>156</v>
      </c>
      <c r="C2" s="159"/>
      <c r="D2" s="160"/>
      <c r="E2" s="160"/>
    </row>
    <row r="3" spans="2:5" ht="12.75" customHeight="1">
      <c r="B3" s="158"/>
      <c r="C3" s="159"/>
      <c r="D3" s="160"/>
      <c r="E3" s="160"/>
    </row>
    <row r="4" spans="2:5" ht="12.75" customHeight="1">
      <c r="B4" s="162" t="s">
        <v>157</v>
      </c>
      <c r="C4" s="272" t="s">
        <v>158</v>
      </c>
      <c r="D4" s="294"/>
      <c r="E4" s="295"/>
    </row>
    <row r="5" spans="2:5" ht="12.75" customHeight="1">
      <c r="B5" s="163"/>
      <c r="C5" s="164" t="s">
        <v>138</v>
      </c>
      <c r="D5" s="165" t="s">
        <v>134</v>
      </c>
      <c r="E5" s="166" t="s">
        <v>141</v>
      </c>
    </row>
    <row r="6" spans="2:5" ht="12.75" customHeight="1">
      <c r="B6" s="167" t="s">
        <v>159</v>
      </c>
      <c r="C6" s="168">
        <f>SUM(C7:C10)</f>
        <v>-49493.792999999998</v>
      </c>
      <c r="D6" s="168">
        <f t="shared" ref="D6:E6" si="0">SUM(D7:D10)</f>
        <v>-49493.792999999998</v>
      </c>
      <c r="E6" s="168">
        <f t="shared" si="0"/>
        <v>-49493.792999999998</v>
      </c>
    </row>
    <row r="7" spans="2:5" ht="12.75" customHeight="1">
      <c r="B7" s="169" t="s">
        <v>22</v>
      </c>
      <c r="C7" s="170">
        <f>D7</f>
        <v>-400</v>
      </c>
      <c r="D7" s="170">
        <f>'Initial investments'!B2*-1</f>
        <v>-400</v>
      </c>
      <c r="E7" s="170">
        <f t="shared" ref="E7:E10" si="1">D7</f>
        <v>-400</v>
      </c>
    </row>
    <row r="8" spans="2:5" ht="12.75" customHeight="1">
      <c r="B8" s="169" t="s">
        <v>27</v>
      </c>
      <c r="C8" s="170">
        <f>D8</f>
        <v>0</v>
      </c>
      <c r="D8" s="170">
        <f>'Initial investments'!B6*-1</f>
        <v>0</v>
      </c>
      <c r="E8" s="170">
        <f t="shared" si="1"/>
        <v>0</v>
      </c>
    </row>
    <row r="9" spans="2:5" ht="12.75" customHeight="1">
      <c r="B9" s="169" t="s">
        <v>31</v>
      </c>
      <c r="C9" s="170">
        <f t="shared" ref="C8:C10" si="2">D9</f>
        <v>-1010.61</v>
      </c>
      <c r="D9" s="170">
        <f>'Initial investments'!B10*-1</f>
        <v>-1010.61</v>
      </c>
      <c r="E9" s="170">
        <f t="shared" si="1"/>
        <v>-1010.61</v>
      </c>
    </row>
    <row r="10" spans="2:5" ht="13.5" customHeight="1">
      <c r="B10" s="169" t="s">
        <v>42</v>
      </c>
      <c r="C10" s="170">
        <f t="shared" si="2"/>
        <v>-48083.182999999997</v>
      </c>
      <c r="D10" s="170">
        <f>'Initial investments'!B23*-1</f>
        <v>-48083.182999999997</v>
      </c>
      <c r="E10" s="170">
        <f t="shared" si="1"/>
        <v>-48083.182999999997</v>
      </c>
    </row>
    <row r="11" spans="2:5" ht="12.75" customHeight="1">
      <c r="B11" s="171" t="s">
        <v>160</v>
      </c>
      <c r="C11" s="172">
        <f t="shared" ref="C11:E11" si="3">C12</f>
        <v>51710.400000000001</v>
      </c>
      <c r="D11" s="172">
        <f t="shared" si="3"/>
        <v>78684</v>
      </c>
      <c r="E11" s="172">
        <f t="shared" si="3"/>
        <v>112026</v>
      </c>
    </row>
    <row r="12" spans="2:5" ht="12.75" customHeight="1">
      <c r="B12" s="169" t="s">
        <v>161</v>
      </c>
      <c r="C12" s="170">
        <f>'Evolution Results'!B6</f>
        <v>51710.400000000001</v>
      </c>
      <c r="D12" s="170">
        <f>'Evolution Results'!D6</f>
        <v>78684</v>
      </c>
      <c r="E12" s="170">
        <f>'Evolution Results'!F6</f>
        <v>112026</v>
      </c>
    </row>
    <row r="13" spans="2:5" ht="12.75" customHeight="1">
      <c r="B13" s="171" t="s">
        <v>162</v>
      </c>
      <c r="C13" s="172">
        <f>'Evolution Results'!B7+'Evolution Results'!B10+'Evolution Results'!B11+'Evolution Results'!B12+'Evolution Results'!B14</f>
        <v>53375.660449999996</v>
      </c>
      <c r="D13" s="172">
        <f>'Evolution Results'!D7+'Evolution Results'!D10+'Evolution Results'!D11+'Evolution Results'!D12+'Evolution Results'!D14</f>
        <v>52673.305549999997</v>
      </c>
      <c r="E13" s="172">
        <f>'Evolution Results'!F7+'Evolution Results'!F12+'Evolution Results'!F11+'Evolution Results'!F10+'Evolution Results'!F14</f>
        <v>57263.070272500001</v>
      </c>
    </row>
    <row r="14" spans="2:5" ht="12.75" customHeight="1">
      <c r="B14" s="169" t="s">
        <v>163</v>
      </c>
      <c r="C14" s="170">
        <f>'Evolution Results'!B10</f>
        <v>42240</v>
      </c>
      <c r="D14" s="170">
        <f>'Evolution Results'!D10</f>
        <v>38400</v>
      </c>
      <c r="E14" s="170">
        <f>'Evolution Results'!F10</f>
        <v>38400</v>
      </c>
    </row>
    <row r="15" spans="2:5" ht="12.75" customHeight="1">
      <c r="B15" s="169" t="s">
        <v>164</v>
      </c>
      <c r="C15" s="170">
        <f>'Evolution Results'!B11</f>
        <v>11135.660449999998</v>
      </c>
      <c r="D15" s="170">
        <f>'Evolution Results'!D11</f>
        <v>9683.1829999999991</v>
      </c>
      <c r="E15" s="170">
        <f>'Evolution Results'!F11</f>
        <v>9199.0238499999996</v>
      </c>
    </row>
    <row r="16" spans="2:5" ht="12.75" customHeight="1">
      <c r="B16" s="169" t="s">
        <v>116</v>
      </c>
      <c r="C16" s="170">
        <f>'Evolution Results'!B12</f>
        <v>0</v>
      </c>
      <c r="D16" s="170">
        <f>'Evolution Results'!D12</f>
        <v>0</v>
      </c>
      <c r="E16" s="170">
        <f>'Evolution Results'!F12</f>
        <v>0</v>
      </c>
    </row>
    <row r="17" spans="2:10" ht="12.75" customHeight="1">
      <c r="B17" s="173" t="s">
        <v>165</v>
      </c>
      <c r="C17" s="172">
        <f t="shared" ref="C17:E17" si="4">C18</f>
        <v>45852.480000000003</v>
      </c>
      <c r="D17" s="172">
        <f t="shared" si="4"/>
        <v>76420.800000000003</v>
      </c>
      <c r="E17" s="172">
        <f t="shared" si="4"/>
        <v>114631.20000000001</v>
      </c>
      <c r="F17" s="158"/>
    </row>
    <row r="18" spans="2:10" ht="12.75" customHeight="1">
      <c r="B18" s="169" t="s">
        <v>166</v>
      </c>
      <c r="C18" s="170">
        <f>'Evolution Results'!G4</f>
        <v>45852.480000000003</v>
      </c>
      <c r="D18" s="170">
        <f>'Evolution Results'!I4</f>
        <v>76420.800000000003</v>
      </c>
      <c r="E18" s="170">
        <f>'Evolution Results'!L4</f>
        <v>114631.20000000001</v>
      </c>
      <c r="F18" s="158"/>
    </row>
    <row r="19" spans="2:10" ht="12.75" customHeight="1">
      <c r="B19" s="173" t="s">
        <v>167</v>
      </c>
      <c r="C19" s="174">
        <f>'Evolution Results'!G7+'Evolution Results'!G10+'Evolution Results'!G11+'Evolution Results'!G12+'Evolution Results'!G14</f>
        <v>58809.114520750009</v>
      </c>
      <c r="D19" s="174">
        <f>'Evolution Results'!I7+'Evolution Results'!I10+'Evolution Results'!I11+'Evolution Results'!I12+'Evolution Results'!I14</f>
        <v>57940.636105000005</v>
      </c>
      <c r="E19" s="174">
        <f>'Evolution Results'!L7+'Evolution Results'!L10+'Evolution Results'!L11+'Evolution Results'!L12+'Evolution Results'!L14</f>
        <v>64174.767299750005</v>
      </c>
      <c r="F19" s="158"/>
    </row>
    <row r="20" spans="2:10" ht="12.75" customHeight="1">
      <c r="B20" s="169" t="s">
        <v>163</v>
      </c>
      <c r="C20" s="170">
        <f>'Evolution Results'!G10</f>
        <v>46464.000000000007</v>
      </c>
      <c r="D20" s="170">
        <f>'Evolution Results'!I10</f>
        <v>42240</v>
      </c>
      <c r="E20" s="170">
        <f>'Evolution Results'!L10</f>
        <v>42240</v>
      </c>
      <c r="F20" s="158"/>
    </row>
    <row r="21" spans="2:10" ht="12.75" customHeight="1">
      <c r="B21" s="169" t="s">
        <v>164</v>
      </c>
      <c r="C21" s="170">
        <f>'Evolution Results'!G11</f>
        <v>12249.226494999999</v>
      </c>
      <c r="D21" s="170">
        <f>'Evolution Results'!I11</f>
        <v>10651.5013</v>
      </c>
      <c r="E21" s="170">
        <f>'Evolution Results'!L11</f>
        <v>10118.926234999999</v>
      </c>
      <c r="F21" s="158"/>
    </row>
    <row r="22" spans="2:10" ht="12.75" customHeight="1">
      <c r="B22" s="169" t="s">
        <v>116</v>
      </c>
      <c r="C22" s="170">
        <f>'Evolution Results'!G12</f>
        <v>0</v>
      </c>
      <c r="D22" s="170">
        <f>'Evolution Results'!I12</f>
        <v>0</v>
      </c>
      <c r="E22" s="170">
        <f>'Evolution Results'!L12</f>
        <v>0</v>
      </c>
      <c r="F22" s="158"/>
    </row>
    <row r="23" spans="2:10" ht="12.75" customHeight="1">
      <c r="B23" s="175" t="s">
        <v>168</v>
      </c>
      <c r="C23" s="172">
        <f t="shared" ref="C23:E23" si="5">C24</f>
        <v>85973.4</v>
      </c>
      <c r="D23" s="172">
        <f t="shared" si="5"/>
        <v>143289</v>
      </c>
      <c r="E23" s="172">
        <f t="shared" si="5"/>
        <v>214933.5</v>
      </c>
      <c r="F23" s="158"/>
    </row>
    <row r="24" spans="2:10" ht="12.75" customHeight="1">
      <c r="B24" s="169" t="s">
        <v>166</v>
      </c>
      <c r="C24" s="170">
        <f>'Evolution Results'!M4</f>
        <v>85973.4</v>
      </c>
      <c r="D24" s="170">
        <f>'Evolution Results'!O4</f>
        <v>143289</v>
      </c>
      <c r="E24" s="170">
        <f>'Evolution Results'!R4</f>
        <v>214933.5</v>
      </c>
      <c r="F24" s="158"/>
    </row>
    <row r="25" spans="2:10" ht="12.75" customHeight="1">
      <c r="B25" s="175" t="s">
        <v>169</v>
      </c>
      <c r="C25" s="174">
        <f>'Evolution Results'!M7+'Evolution Results'!M10+'Evolution Results'!M11+'Evolution Results'!M12+'Evolution Results'!M14</f>
        <v>64509.160394712504</v>
      </c>
      <c r="D25" s="172">
        <f>'Evolution Results'!O7+'Evolution Results'!O10+'Evolution Results'!O11+'Evolution Results'!O12+'Evolution Results'!O14</f>
        <v>62989.377299749998</v>
      </c>
      <c r="E25" s="174">
        <f>'Evolution Results'!R7+'Evolution Results'!R10+'Evolution Results'!R11+'Evolution Results'!R12+'Evolution Results'!R14</f>
        <v>79037.557934762503</v>
      </c>
      <c r="F25" s="158"/>
    </row>
    <row r="26" spans="2:10" ht="12.75" customHeight="1">
      <c r="B26" s="169" t="s">
        <v>163</v>
      </c>
      <c r="C26" s="170">
        <f>'Evolution Results'!M10</f>
        <v>46464.000000000007</v>
      </c>
      <c r="D26" s="170">
        <f>'Evolution Results'!O10</f>
        <v>42240</v>
      </c>
      <c r="E26" s="170">
        <f>'Evolution Results'!R10</f>
        <v>42240</v>
      </c>
      <c r="F26" s="158"/>
    </row>
    <row r="27" spans="2:10" ht="12.75" customHeight="1">
      <c r="B27" s="169" t="s">
        <v>164</v>
      </c>
      <c r="C27" s="170">
        <f>'Evolution Results'!M11</f>
        <v>11636.765170250001</v>
      </c>
      <c r="D27" s="170">
        <f>'Evolution Results'!O11</f>
        <v>10118.926235000001</v>
      </c>
      <c r="E27" s="170">
        <f>'Evolution Results'!R11</f>
        <v>9612.9799232500009</v>
      </c>
      <c r="F27" s="158"/>
    </row>
    <row r="28" spans="2:10" ht="12.75" customHeight="1">
      <c r="B28" s="176" t="s">
        <v>116</v>
      </c>
      <c r="C28" s="177">
        <f>'Evolution Results'!M12</f>
        <v>0</v>
      </c>
      <c r="D28" s="177">
        <f>'Evolution Results'!O12</f>
        <v>0</v>
      </c>
      <c r="E28" s="177">
        <f>'Evolution Results'!R12</f>
        <v>0</v>
      </c>
      <c r="F28" s="158"/>
    </row>
    <row r="29" spans="2:10" ht="12.75" customHeight="1">
      <c r="B29" s="158"/>
      <c r="C29" s="160"/>
      <c r="D29" s="160"/>
      <c r="E29" s="160"/>
      <c r="F29" s="158"/>
    </row>
    <row r="30" spans="2:10" ht="12.75" customHeight="1">
      <c r="B30" s="178" t="s">
        <v>170</v>
      </c>
      <c r="C30" s="159"/>
      <c r="D30" s="179" t="s">
        <v>170</v>
      </c>
      <c r="E30" s="180" t="s">
        <v>171</v>
      </c>
      <c r="F30" s="180"/>
      <c r="G30" s="180"/>
      <c r="H30" s="180"/>
      <c r="I30" s="180"/>
      <c r="J30" s="180"/>
    </row>
    <row r="31" spans="2:10" ht="12.75" customHeight="1">
      <c r="B31" s="181">
        <f>'Initial Financing'!C17</f>
        <v>7.1800000000000003E-2</v>
      </c>
      <c r="D31" s="179"/>
      <c r="E31" s="273"/>
      <c r="F31" s="277"/>
      <c r="G31" s="277"/>
      <c r="H31" s="277"/>
      <c r="I31" s="277"/>
      <c r="J31" s="277"/>
    </row>
    <row r="32" spans="2:10" ht="12.75" customHeight="1">
      <c r="B32" s="183" t="s">
        <v>172</v>
      </c>
    </row>
    <row r="33" spans="2:11" ht="12.75" customHeight="1">
      <c r="B33" s="181">
        <v>0.4</v>
      </c>
      <c r="E33" s="182"/>
      <c r="F33" s="182"/>
      <c r="G33" s="182"/>
      <c r="H33" s="182"/>
    </row>
    <row r="34" spans="2:11" ht="12.75" customHeight="1">
      <c r="B34" s="184" t="s">
        <v>173</v>
      </c>
      <c r="E34" s="182"/>
      <c r="F34" s="229"/>
      <c r="G34" s="182"/>
      <c r="H34" s="182"/>
    </row>
    <row r="35" spans="2:11" ht="12.75" customHeight="1">
      <c r="B35" s="181">
        <f>B31+B33</f>
        <v>0.4718</v>
      </c>
      <c r="E35" s="182"/>
      <c r="F35" s="182"/>
      <c r="G35" s="182"/>
      <c r="H35" s="182"/>
    </row>
    <row r="36" spans="2:11" ht="12.75" customHeight="1">
      <c r="E36" s="182"/>
      <c r="F36" s="182"/>
      <c r="G36" s="182"/>
      <c r="H36" s="182"/>
    </row>
    <row r="37" spans="2:11" ht="12.75" customHeight="1">
      <c r="B37" s="158"/>
      <c r="C37" s="159"/>
      <c r="D37" s="160"/>
      <c r="E37" s="160"/>
      <c r="F37" s="158"/>
    </row>
    <row r="38" spans="2:11" ht="15.75" customHeight="1">
      <c r="C38" s="159"/>
      <c r="D38" s="160"/>
      <c r="E38" s="160"/>
      <c r="F38" s="158"/>
    </row>
    <row r="39" spans="2:11" ht="12.75" customHeight="1">
      <c r="B39" s="158"/>
      <c r="C39" s="159"/>
      <c r="D39" s="160"/>
      <c r="E39" s="160"/>
      <c r="F39" s="158"/>
    </row>
    <row r="40" spans="2:11" ht="26.25" customHeight="1">
      <c r="B40" s="161"/>
      <c r="C40" s="274" t="s">
        <v>174</v>
      </c>
      <c r="D40" s="296"/>
      <c r="E40" s="297"/>
      <c r="G40" s="228" t="s">
        <v>175</v>
      </c>
      <c r="H40" s="185">
        <v>0</v>
      </c>
      <c r="I40" s="185">
        <v>1</v>
      </c>
      <c r="J40" s="185">
        <v>2</v>
      </c>
      <c r="K40" s="185">
        <v>3</v>
      </c>
    </row>
    <row r="41" spans="2:11" ht="12.75" customHeight="1">
      <c r="B41" s="186"/>
      <c r="C41" s="187" t="s">
        <v>138</v>
      </c>
      <c r="D41" s="188" t="s">
        <v>134</v>
      </c>
      <c r="E41" s="189" t="s">
        <v>141</v>
      </c>
      <c r="G41" s="183" t="s">
        <v>174</v>
      </c>
      <c r="H41" s="190">
        <f>D42</f>
        <v>-49493.792999999998</v>
      </c>
      <c r="I41" s="190">
        <f>D43</f>
        <v>26010.694450000003</v>
      </c>
      <c r="J41" s="190">
        <f>D44</f>
        <v>18480.163894999998</v>
      </c>
      <c r="K41" s="190">
        <f>D45</f>
        <v>80299.622700250009</v>
      </c>
    </row>
    <row r="42" spans="2:11" ht="12.75" customHeight="1">
      <c r="B42" s="191" t="s">
        <v>176</v>
      </c>
      <c r="C42" s="192">
        <f>C6</f>
        <v>-49493.792999999998</v>
      </c>
      <c r="D42" s="192">
        <f>D6</f>
        <v>-49493.792999999998</v>
      </c>
      <c r="E42" s="193">
        <f>E6</f>
        <v>-49493.792999999998</v>
      </c>
      <c r="F42" s="158"/>
      <c r="G42" s="227" t="s">
        <v>177</v>
      </c>
      <c r="H42" s="190">
        <f>H41</f>
        <v>-49493.792999999998</v>
      </c>
      <c r="I42" s="190">
        <f>H42+I41</f>
        <v>-23483.098549999995</v>
      </c>
      <c r="J42" s="190">
        <f>I42+J41</f>
        <v>-5002.9346549999973</v>
      </c>
      <c r="K42" s="190">
        <f>J42+K41</f>
        <v>75296.688045250019</v>
      </c>
    </row>
    <row r="43" spans="2:11" ht="12.75" customHeight="1">
      <c r="B43" s="194" t="s">
        <v>153</v>
      </c>
      <c r="C43" s="195">
        <f t="shared" ref="C43:E43" si="6">C11-C13</f>
        <v>-1665.2604499999943</v>
      </c>
      <c r="D43" s="195">
        <f t="shared" si="6"/>
        <v>26010.694450000003</v>
      </c>
      <c r="E43" s="196">
        <f t="shared" si="6"/>
        <v>54762.929727499999</v>
      </c>
      <c r="F43" s="158"/>
      <c r="G43" s="183" t="s">
        <v>178</v>
      </c>
      <c r="H43" s="197" t="s">
        <v>179</v>
      </c>
      <c r="I43" s="198" t="str">
        <f>IF(I42&lt;0,"n/m",ABS(H42)/I41)</f>
        <v>n/m</v>
      </c>
      <c r="J43" s="198" t="str">
        <f>IF(J42&lt;0,"n/m",ABS(I42)/J41)</f>
        <v>n/m</v>
      </c>
      <c r="K43" s="198">
        <f>IF(K42&lt;0,"n/m",ABS(J42)/K41)</f>
        <v>6.2303339502296579E-2</v>
      </c>
    </row>
    <row r="44" spans="2:11" ht="12.75" customHeight="1">
      <c r="B44" s="194" t="s">
        <v>180</v>
      </c>
      <c r="C44" s="195">
        <f t="shared" ref="C44:E44" si="7">C17-C19</f>
        <v>-12956.634520750005</v>
      </c>
      <c r="D44" s="195">
        <f t="shared" si="7"/>
        <v>18480.163894999998</v>
      </c>
      <c r="E44" s="195">
        <f t="shared" si="7"/>
        <v>50456.432700250007</v>
      </c>
      <c r="F44" s="199"/>
      <c r="G44" s="158"/>
      <c r="H44" s="158"/>
      <c r="I44" s="158"/>
      <c r="J44" s="158"/>
      <c r="K44" s="158"/>
    </row>
    <row r="45" spans="2:11" ht="12.75" customHeight="1">
      <c r="B45" s="200" t="s">
        <v>181</v>
      </c>
      <c r="C45" s="201">
        <f>C23-C25</f>
        <v>21464.23960528749</v>
      </c>
      <c r="D45" s="201">
        <f>D23-D25</f>
        <v>80299.622700250009</v>
      </c>
      <c r="E45" s="201">
        <f>E23-E25</f>
        <v>135895.9420652375</v>
      </c>
      <c r="G45" s="158"/>
      <c r="H45" s="158"/>
      <c r="I45" s="158"/>
      <c r="J45" s="158"/>
      <c r="K45" s="158"/>
    </row>
    <row r="46" spans="2:11" ht="12.75" customHeight="1">
      <c r="B46" s="202" t="s">
        <v>182</v>
      </c>
      <c r="C46" s="203"/>
      <c r="D46" s="203"/>
      <c r="E46" s="203"/>
      <c r="G46" s="158"/>
      <c r="H46" s="158"/>
      <c r="I46" s="158"/>
      <c r="J46" s="158"/>
      <c r="K46" s="158"/>
    </row>
    <row r="47" spans="2:11" ht="12.75" customHeight="1">
      <c r="B47" s="191" t="s">
        <v>183</v>
      </c>
      <c r="C47" s="211">
        <f>SUM(C42:C45)/C42*-1</f>
        <v>-0.86175348018816234</v>
      </c>
      <c r="D47" s="211">
        <f>SUM(D42:D45)/D42*-1</f>
        <v>1.5213359793469461</v>
      </c>
      <c r="E47" s="211">
        <f>SUM(E42:E45)/E42*-1</f>
        <v>3.8716271249000358</v>
      </c>
      <c r="G47" s="158"/>
      <c r="H47" s="158"/>
      <c r="I47" s="158"/>
      <c r="J47" s="158"/>
      <c r="K47" s="158"/>
    </row>
    <row r="48" spans="2:11" ht="12.75" customHeight="1">
      <c r="B48" s="204" t="s">
        <v>184</v>
      </c>
      <c r="C48" s="205">
        <f>C6+NPV($B35,C43,C44,C45)</f>
        <v>-49874.136768201119</v>
      </c>
      <c r="D48" s="205">
        <f>D6+NPV($B35,D43,D44,D45)</f>
        <v>1896.5382714303487</v>
      </c>
      <c r="E48" s="205">
        <f>E6+NPV($B35,E43,E44,E45)</f>
        <v>53631.570139144555</v>
      </c>
      <c r="G48" s="158"/>
      <c r="H48" s="158"/>
      <c r="I48" s="158"/>
      <c r="J48" s="158"/>
      <c r="K48" s="158"/>
    </row>
    <row r="49" spans="2:5" ht="12.75" customHeight="1">
      <c r="B49" s="204" t="s">
        <v>185</v>
      </c>
      <c r="C49" s="206">
        <f>-C42/C43</f>
        <v>-29.72135259682662</v>
      </c>
      <c r="D49" s="206">
        <f>-D42/D43</f>
        <v>1.9028247436892247</v>
      </c>
      <c r="E49" s="206">
        <f>-E42/E43</f>
        <v>0.90378278237268905</v>
      </c>
    </row>
    <row r="50" spans="2:5" ht="12.75" customHeight="1">
      <c r="B50" s="204" t="s">
        <v>186</v>
      </c>
      <c r="C50" s="207">
        <f>IRR(C42:C45)</f>
        <v>-0.36643677898586713</v>
      </c>
      <c r="D50" s="207">
        <f>IRR(D42:D45)</f>
        <v>0.49790173789028458</v>
      </c>
      <c r="E50" s="207">
        <f>IRR(E42:E45)</f>
        <v>1.1639343206991852</v>
      </c>
    </row>
    <row r="51" spans="2:5" ht="12.75" customHeight="1">
      <c r="B51" s="158"/>
      <c r="C51" s="159"/>
      <c r="D51" s="160"/>
      <c r="E51" s="160"/>
    </row>
    <row r="52" spans="2:5" ht="12.75" customHeight="1">
      <c r="B52" s="158"/>
      <c r="C52" s="159"/>
      <c r="D52" s="160"/>
      <c r="E52" s="160"/>
    </row>
    <row r="53" spans="2:5" ht="15.75" customHeight="1">
      <c r="B53" s="158"/>
      <c r="C53" s="159"/>
      <c r="D53" s="160"/>
      <c r="E53" s="160"/>
    </row>
    <row r="54" spans="2:5" ht="12.75" customHeight="1">
      <c r="B54" s="161" t="s">
        <v>187</v>
      </c>
      <c r="C54" s="159"/>
      <c r="D54" s="160"/>
      <c r="E54" s="160"/>
    </row>
    <row r="55" spans="2:5" ht="12.75" customHeight="1">
      <c r="B55" s="158"/>
      <c r="C55" s="159"/>
      <c r="D55" s="233"/>
      <c r="E55" s="160"/>
    </row>
    <row r="56" spans="2:5" ht="12.75" customHeight="1">
      <c r="B56" s="188" t="s">
        <v>161</v>
      </c>
      <c r="C56" s="208" t="s">
        <v>188</v>
      </c>
      <c r="D56" s="160"/>
      <c r="E56" s="160"/>
    </row>
    <row r="57" spans="2:5" ht="12.75" customHeight="1">
      <c r="B57" s="209">
        <v>12000</v>
      </c>
      <c r="C57" s="205">
        <f>D$6+NPV(B$35,B57-D$13,B57*1.1-D$19,B57*1.2-D$25)</f>
        <v>-113023.23764639087</v>
      </c>
      <c r="D57" s="160"/>
      <c r="E57" s="160"/>
    </row>
    <row r="58" spans="2:5" ht="12.75" customHeight="1">
      <c r="B58" s="209">
        <f>B57+5000</f>
        <v>17000</v>
      </c>
      <c r="C58" s="205">
        <f>D$6+NPV(B$35,B58-D$13,B58*1.1-D$19,B58*1.2-D$25)</f>
        <v>-105205.0869390053</v>
      </c>
      <c r="D58" s="160"/>
      <c r="E58" s="160"/>
    </row>
    <row r="59" spans="2:5" ht="12.75" customHeight="1">
      <c r="B59" s="209">
        <f t="shared" ref="B59:B82" si="8">B58+5000</f>
        <v>22000</v>
      </c>
      <c r="C59" s="205">
        <f>D$6+NPV(B$35,B59-D$13,B59*1.1-D$19,B59*1.2-D$25)</f>
        <v>-97386.936231619693</v>
      </c>
      <c r="D59" s="160"/>
      <c r="E59" s="160"/>
    </row>
    <row r="60" spans="2:5" ht="12.75" customHeight="1">
      <c r="B60" s="209">
        <f t="shared" si="8"/>
        <v>27000</v>
      </c>
      <c r="C60" s="205">
        <f>D$6+NPV(B$35,B60-D$13,B60*1.1-D$19,B60*1.2-D$25)</f>
        <v>-89568.785524234103</v>
      </c>
      <c r="D60" s="160"/>
      <c r="E60" s="160"/>
    </row>
    <row r="61" spans="2:5" ht="12.75" customHeight="1">
      <c r="B61" s="209">
        <f t="shared" si="8"/>
        <v>32000</v>
      </c>
      <c r="C61" s="205">
        <f>D$6+NPV(B$35,B61-D$13,B61*1.1-D$19,B61*1.2-D$25)</f>
        <v>-81750.634816848527</v>
      </c>
      <c r="D61" s="160"/>
      <c r="E61" s="160"/>
    </row>
    <row r="62" spans="2:5" ht="12.75" customHeight="1">
      <c r="B62" s="209">
        <f t="shared" si="8"/>
        <v>37000</v>
      </c>
      <c r="C62" s="205">
        <f>D$6+NPV(B$35,B62-D$13,B62*1.1-D$19,B62*1.2-D$25)</f>
        <v>-73932.484109462923</v>
      </c>
      <c r="D62" s="160"/>
      <c r="E62" s="160"/>
    </row>
    <row r="63" spans="2:5" ht="12.75" customHeight="1">
      <c r="B63" s="209">
        <f t="shared" si="8"/>
        <v>42000</v>
      </c>
      <c r="C63" s="205">
        <f>D$6+NPV(B$35,B63-D$13,B63*1.1-D$19,B63*1.2-D$25)</f>
        <v>-66114.333402077333</v>
      </c>
      <c r="D63" s="160"/>
      <c r="E63" s="160"/>
    </row>
    <row r="64" spans="2:5" ht="12.75" customHeight="1">
      <c r="B64" s="209">
        <f t="shared" si="8"/>
        <v>47000</v>
      </c>
      <c r="C64" s="205">
        <f>D$6+NPV(B$35,B64-D$13,B64*1.1-D$19,B64*1.2-D$25)</f>
        <v>-58296.182694691743</v>
      </c>
      <c r="D64" s="160"/>
      <c r="E64" s="160"/>
    </row>
    <row r="65" spans="2:3" ht="12.75" customHeight="1">
      <c r="B65" s="209">
        <f t="shared" si="8"/>
        <v>52000</v>
      </c>
      <c r="C65" s="205">
        <f>D$6+NPV(B$35,B65-D$13,B65*1.1-D$19,B65*1.2-D$25)</f>
        <v>-50478.03198730616</v>
      </c>
    </row>
    <row r="66" spans="2:3" ht="12.75" customHeight="1">
      <c r="B66" s="209">
        <f t="shared" si="8"/>
        <v>57000</v>
      </c>
      <c r="C66" s="205">
        <f>D$6+NPV(B$35,B66-D$13,B66*1.1-D$19,B66*1.2-D$25)</f>
        <v>-42659.88127992057</v>
      </c>
    </row>
    <row r="67" spans="2:3" ht="12.75" customHeight="1">
      <c r="B67" s="209">
        <f t="shared" si="8"/>
        <v>62000</v>
      </c>
      <c r="C67" s="205">
        <f>D$6+NPV(B$35,B67-D$13,B67*1.1-D$19,B67*1.2-D$25)</f>
        <v>-34841.73057253498</v>
      </c>
    </row>
    <row r="68" spans="2:3" ht="12.75" customHeight="1">
      <c r="B68" s="209">
        <f t="shared" si="8"/>
        <v>67000</v>
      </c>
      <c r="C68" s="205">
        <f>D$6+NPV(B$35,B68-D$13,B68*1.1-D$19,B68*1.2-D$25)</f>
        <v>-27023.57986514939</v>
      </c>
    </row>
    <row r="69" spans="2:3" ht="12.75" customHeight="1">
      <c r="B69" s="209">
        <f t="shared" si="8"/>
        <v>72000</v>
      </c>
      <c r="C69" s="205">
        <f>D$6+NPV(B$35,B69-D$13,B69*1.1-D$19,B69*1.2-D$25)</f>
        <v>-19205.429157763803</v>
      </c>
    </row>
    <row r="70" spans="2:3" ht="12.75" customHeight="1">
      <c r="B70" s="209">
        <f t="shared" si="8"/>
        <v>77000</v>
      </c>
      <c r="C70" s="205">
        <f>D$6+NPV(B$35,B70-D$13,B70*1.1-D$19,B70*1.2-D$25)</f>
        <v>-11387.278450378217</v>
      </c>
    </row>
    <row r="71" spans="2:3" ht="12.75" customHeight="1">
      <c r="B71" s="209">
        <f t="shared" si="8"/>
        <v>82000</v>
      </c>
      <c r="C71" s="205">
        <f>D$6+NPV(B$35,B71-D$13,B71*1.1-D$19,B71*1.2-D$25)</f>
        <v>-3569.1277429926122</v>
      </c>
    </row>
    <row r="72" spans="2:3" ht="12.75" customHeight="1">
      <c r="B72" s="209">
        <f t="shared" si="8"/>
        <v>87000</v>
      </c>
      <c r="C72" s="205">
        <f>D$6+NPV(B$35,B72-D$13,B72*1.1-D$19,B72*1.2-D$25)</f>
        <v>4249.0229643929706</v>
      </c>
    </row>
    <row r="73" spans="2:3" ht="12.75" customHeight="1">
      <c r="B73" s="209">
        <f t="shared" si="8"/>
        <v>92000</v>
      </c>
      <c r="C73" s="205">
        <f>D$6+NPV(B$35,B73-D$13,B73*1.1-D$19,B73*1.2-D$25)</f>
        <v>12067.173671778553</v>
      </c>
    </row>
    <row r="74" spans="2:3" ht="12.75" customHeight="1">
      <c r="B74" s="209">
        <f t="shared" si="8"/>
        <v>97000</v>
      </c>
      <c r="C74" s="205">
        <f>D$6+NPV(B$35,B74-D$13,B74*1.1-D$19,B74*1.2-D$25)</f>
        <v>19885.324379164151</v>
      </c>
    </row>
    <row r="75" spans="2:3" ht="12.75" customHeight="1">
      <c r="B75" s="209">
        <f t="shared" si="8"/>
        <v>102000</v>
      </c>
      <c r="C75" s="205">
        <f>D$6+NPV(B$35,B75-D$13,B75*1.1-D$19,B75*1.2-D$25)</f>
        <v>27703.475086549741</v>
      </c>
    </row>
    <row r="76" spans="2:3" ht="12.75" customHeight="1">
      <c r="B76" s="209">
        <f t="shared" si="8"/>
        <v>107000</v>
      </c>
      <c r="C76" s="205">
        <f>D$6+NPV(B$35,B76-D$13,B76*1.1-D$19,B76*1.2-D$25)</f>
        <v>35521.625793935331</v>
      </c>
    </row>
    <row r="77" spans="2:3" ht="12.75" customHeight="1">
      <c r="B77" s="209">
        <f t="shared" si="8"/>
        <v>112000</v>
      </c>
      <c r="C77" s="205">
        <f>D$6+NPV(B$35,B77-D$13,B77*1.1-D$19,B77*1.2-D$25)</f>
        <v>43339.776501320921</v>
      </c>
    </row>
    <row r="78" spans="2:3" ht="12.75" customHeight="1">
      <c r="B78" s="209">
        <f t="shared" si="8"/>
        <v>117000</v>
      </c>
      <c r="C78" s="205">
        <f>D$6+NPV(B$35,B78-D$13,B78*1.1-D$19,B78*1.2-D$25)</f>
        <v>51157.927208706511</v>
      </c>
    </row>
    <row r="79" spans="2:3" ht="12.75" customHeight="1">
      <c r="B79" s="209">
        <f t="shared" si="8"/>
        <v>122000</v>
      </c>
      <c r="C79" s="232">
        <f>D$6+NPV(B$35,B79-D$13,B79*1.1-D$19,B79*1.2-D$25)</f>
        <v>58976.077916092087</v>
      </c>
    </row>
    <row r="80" spans="2:3" ht="12.75" customHeight="1">
      <c r="B80" s="209">
        <f t="shared" si="8"/>
        <v>127000</v>
      </c>
      <c r="C80" s="205">
        <f>D$6+NPV(B$35,B80-D$13,B80*1.1-D$19,B80*1.2-D$25)</f>
        <v>66794.228623477684</v>
      </c>
    </row>
    <row r="81" spans="2:3" ht="12.75" customHeight="1">
      <c r="B81" s="209">
        <f t="shared" si="8"/>
        <v>132000</v>
      </c>
      <c r="C81" s="205">
        <f>D$6+NPV(B$35,B81-D$13,B81*1.1-D$19,B81*1.2-D$25)</f>
        <v>74612.379330863245</v>
      </c>
    </row>
    <row r="82" spans="2:3" ht="15" customHeight="1">
      <c r="B82" s="209">
        <f t="shared" si="8"/>
        <v>137000</v>
      </c>
      <c r="C82" s="205">
        <f>D$6+NPV(B$35,B82-D$13,B82*1.1-D$19,B82*1.2-D$25)</f>
        <v>82430.530038248864</v>
      </c>
    </row>
  </sheetData>
  <mergeCells count="3">
    <mergeCell ref="C4:E4"/>
    <mergeCell ref="E31:J31"/>
    <mergeCell ref="C40:E40"/>
  </mergeCells>
  <hyperlinks>
    <hyperlink ref="E30" r:id="rId1" xr:uid="{00000000-0004-0000-0600-000000000000}"/>
  </hyperlinks>
  <pageMargins left="0.25" right="0.25" top="0.75" bottom="0.75" header="0" footer="0"/>
  <pageSetup paperSize="9" orientation="landscape"/>
  <headerFooter>
    <oddHeader>&amp;LPráctica 4-5: Análisis de viabilidad del plan de tecnologías&amp;R&amp;A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María Margarita Moltó Aribau</dc:creator>
  <cp:keywords/>
  <dc:description/>
  <cp:lastModifiedBy>Carlos Isaac Parra</cp:lastModifiedBy>
  <cp:revision/>
  <dcterms:created xsi:type="dcterms:W3CDTF">2015-07-01T12:19:32Z</dcterms:created>
  <dcterms:modified xsi:type="dcterms:W3CDTF">2023-05-23T14:20:47Z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