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hartsheets/sheet1.xml" ContentType="application/vnd.openxmlformats-officedocument.spreadsheetml.chart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defaultThemeVersion="124226"/>
  <mc:AlternateContent xmlns:mc="http://schemas.openxmlformats.org/markup-compatibility/2006">
    <mc:Choice Requires="x15">
      <x15ac:absPath xmlns:x15ac="http://schemas.microsoft.com/office/spreadsheetml/2010/11/ac" url="C:\Users\jordy.lauret\Downloads\"/>
    </mc:Choice>
  </mc:AlternateContent>
  <xr:revisionPtr revIDLastSave="0" documentId="8_{3F9029CB-ED5F-40B5-A3F6-72BDC5C27730}" xr6:coauthVersionLast="47" xr6:coauthVersionMax="47" xr10:uidLastSave="{00000000-0000-0000-0000-000000000000}"/>
  <bookViews>
    <workbookView xWindow="-105" yWindow="0" windowWidth="25980" windowHeight="20985" firstSheet="2" activeTab="7" xr2:uid="{895BF0A8-7434-4231-AB5B-E4F864EB6634}"/>
  </bookViews>
  <sheets>
    <sheet name="te herwerken" sheetId="4" state="hidden" r:id="rId1"/>
    <sheet name="Financiële analyse" sheetId="16" state="hidden" r:id="rId2"/>
    <sheet name="waarderingsrapport" sheetId="9" r:id="rId3"/>
    <sheet name="inhoudstafel" sheetId="11" r:id="rId4"/>
    <sheet name="algemene bedrijfsinformatie" sheetId="12" r:id="rId5"/>
    <sheet name="Blad1" sheetId="30" state="hidden" r:id="rId6"/>
    <sheet name="Balans &amp; Res.rek" sheetId="15" r:id="rId7"/>
    <sheet name="Prognose" sheetId="24" r:id="rId8"/>
    <sheet name="variabelen" sheetId="13" r:id="rId9"/>
    <sheet name="WACC" sheetId="17" state="hidden" r:id="rId10"/>
    <sheet name="Eigen vermogenswaarde" sheetId="8" r:id="rId11"/>
    <sheet name="EBITDA" sheetId="22" r:id="rId12"/>
    <sheet name="rendement" sheetId="3" r:id="rId13"/>
    <sheet name="DCF" sheetId="23" state="hidden" r:id="rId14"/>
    <sheet name="Sensiviteitsanalyse" sheetId="18" state="hidden" r:id="rId15"/>
    <sheet name="Grafiek1" sheetId="29" state="hidden" r:id="rId16"/>
    <sheet name="EVA" sheetId="25" state="hidden" r:id="rId17"/>
    <sheet name="Standaardmethode" sheetId="26" r:id="rId18"/>
    <sheet name="Overwinstmethode" sheetId="27" state="hidden" r:id="rId19"/>
    <sheet name="Alternatieve methodes" sheetId="28" r:id="rId20"/>
    <sheet name="overzicht waardering" sheetId="19" r:id="rId21"/>
    <sheet name="Projectie vastgoed" sheetId="31" r:id="rId22"/>
    <sheet name="Blad3" sheetId="32" state="hidden"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9" i="13" l="1"/>
  <c r="E24" i="17"/>
  <c r="E23" i="17"/>
  <c r="F155" i="13"/>
  <c r="C65" i="12"/>
  <c r="C64" i="12"/>
  <c r="C62" i="12"/>
  <c r="C61" i="12"/>
  <c r="C59" i="12"/>
  <c r="H50" i="12"/>
  <c r="F41" i="12" s="1"/>
  <c r="I36" i="22"/>
  <c r="I37" i="15"/>
  <c r="G85" i="3"/>
  <c r="F31" i="12" l="1"/>
  <c r="F50" i="12" s="1"/>
  <c r="F21" i="12"/>
  <c r="F36" i="12"/>
  <c r="E3" i="31"/>
  <c r="E10" i="31" l="1"/>
  <c r="G10" i="31"/>
  <c r="H10" i="31"/>
  <c r="J10" i="31"/>
  <c r="D10" i="31"/>
  <c r="F10" i="31"/>
  <c r="I10" i="31"/>
  <c r="B10" i="31"/>
  <c r="C10" i="31"/>
  <c r="A10" i="31"/>
  <c r="B8" i="30"/>
  <c r="G6" i="30"/>
  <c r="G5" i="30"/>
  <c r="E6" i="30"/>
  <c r="E5" i="30"/>
  <c r="G59" i="8"/>
  <c r="G57" i="8"/>
  <c r="G51" i="8"/>
  <c r="G55" i="8"/>
  <c r="G49" i="8"/>
  <c r="G24" i="8"/>
  <c r="G42" i="8"/>
  <c r="G40" i="8"/>
  <c r="G38" i="8"/>
  <c r="G36" i="8"/>
  <c r="G22" i="8"/>
  <c r="H22" i="8" s="1"/>
  <c r="I22" i="8" s="1"/>
  <c r="J22" i="8" s="1"/>
  <c r="G20" i="8"/>
  <c r="G18" i="8"/>
  <c r="I98" i="15"/>
  <c r="I24" i="23" s="1"/>
  <c r="I96" i="15"/>
  <c r="I96" i="24" s="1"/>
  <c r="J96" i="24" s="1"/>
  <c r="K96" i="24" s="1"/>
  <c r="L96" i="24" s="1"/>
  <c r="H96" i="24"/>
  <c r="I52" i="15"/>
  <c r="L51" i="23"/>
  <c r="H53" i="23"/>
  <c r="G53" i="23"/>
  <c r="H51" i="23"/>
  <c r="I51" i="23"/>
  <c r="G51" i="23"/>
  <c r="I44" i="23"/>
  <c r="I43" i="23"/>
  <c r="H43" i="23"/>
  <c r="G43" i="23"/>
  <c r="H42" i="23"/>
  <c r="I42" i="23"/>
  <c r="G42" i="23"/>
  <c r="H40" i="23"/>
  <c r="I40" i="23"/>
  <c r="G40" i="23"/>
  <c r="K38" i="23"/>
  <c r="L38" i="23"/>
  <c r="J38" i="23"/>
  <c r="H38" i="23"/>
  <c r="I38" i="23"/>
  <c r="G38" i="23"/>
  <c r="K37" i="23"/>
  <c r="L37" i="23"/>
  <c r="J37" i="23"/>
  <c r="H37" i="23"/>
  <c r="I37" i="23"/>
  <c r="G37" i="23"/>
  <c r="H30" i="23"/>
  <c r="I30" i="23"/>
  <c r="G30" i="23"/>
  <c r="H24" i="23"/>
  <c r="G24" i="23"/>
  <c r="H48" i="25"/>
  <c r="J48" i="25"/>
  <c r="K48" i="25"/>
  <c r="L48" i="25"/>
  <c r="G48" i="25"/>
  <c r="H35" i="25"/>
  <c r="J35" i="25"/>
  <c r="K35" i="25"/>
  <c r="L35" i="25"/>
  <c r="G35" i="25"/>
  <c r="H12" i="25"/>
  <c r="J12" i="25"/>
  <c r="K12" i="25"/>
  <c r="L12" i="25"/>
  <c r="G12" i="25"/>
  <c r="H62" i="23"/>
  <c r="J62" i="23"/>
  <c r="K62" i="23"/>
  <c r="L62" i="23"/>
  <c r="G62" i="23"/>
  <c r="H47" i="23"/>
  <c r="J47" i="23"/>
  <c r="K47" i="23"/>
  <c r="L47" i="23"/>
  <c r="G47" i="23"/>
  <c r="K15" i="23"/>
  <c r="L15" i="23"/>
  <c r="E50" i="22"/>
  <c r="I81" i="24"/>
  <c r="I79" i="24"/>
  <c r="I78" i="24"/>
  <c r="I76" i="24"/>
  <c r="I77" i="24"/>
  <c r="I75" i="24"/>
  <c r="I36" i="24"/>
  <c r="I32" i="24"/>
  <c r="I14" i="24"/>
  <c r="I15" i="24"/>
  <c r="E67" i="13"/>
  <c r="G96" i="24"/>
  <c r="G97" i="24"/>
  <c r="H97" i="24"/>
  <c r="I97" i="24"/>
  <c r="J97" i="24" s="1"/>
  <c r="K97" i="24" s="1"/>
  <c r="L97" i="24" s="1"/>
  <c r="G98" i="24"/>
  <c r="H98" i="24"/>
  <c r="G99" i="24"/>
  <c r="H99" i="24"/>
  <c r="I99" i="24"/>
  <c r="G100" i="24"/>
  <c r="H100" i="24"/>
  <c r="I100" i="24"/>
  <c r="G101" i="24"/>
  <c r="H101" i="24"/>
  <c r="I101" i="24"/>
  <c r="G102" i="24"/>
  <c r="H102" i="24"/>
  <c r="I102" i="24"/>
  <c r="G90" i="24"/>
  <c r="H90" i="24"/>
  <c r="I90" i="24"/>
  <c r="G91" i="24"/>
  <c r="H91" i="24"/>
  <c r="I91" i="24"/>
  <c r="G92" i="24"/>
  <c r="H92" i="24"/>
  <c r="I92" i="24"/>
  <c r="H66" i="15"/>
  <c r="H28" i="8"/>
  <c r="H26" i="8"/>
  <c r="D46" i="28" l="1"/>
  <c r="G89" i="3"/>
  <c r="D16" i="26"/>
  <c r="E51" i="22"/>
  <c r="I53" i="23"/>
  <c r="I98" i="24"/>
  <c r="J98" i="24" s="1"/>
  <c r="K98" i="24"/>
  <c r="J24" i="23"/>
  <c r="J53" i="23"/>
  <c r="H88" i="15"/>
  <c r="K24" i="23" l="1"/>
  <c r="K53" i="23"/>
  <c r="L98" i="24"/>
  <c r="G53" i="8"/>
  <c r="H53" i="8" s="1"/>
  <c r="K53" i="8" s="1"/>
  <c r="E88" i="13"/>
  <c r="E89" i="13"/>
  <c r="J34" i="23"/>
  <c r="K34" i="23"/>
  <c r="L34" i="23"/>
  <c r="J54" i="23"/>
  <c r="K54" i="23"/>
  <c r="L54" i="23"/>
  <c r="H44" i="23"/>
  <c r="J138" i="15"/>
  <c r="H44" i="15"/>
  <c r="L53" i="23" l="1"/>
  <c r="L24" i="23"/>
  <c r="C48" i="19"/>
  <c r="C47" i="19"/>
  <c r="C46" i="19"/>
  <c r="D185" i="13"/>
  <c r="H63" i="24"/>
  <c r="I63" i="24"/>
  <c r="G63" i="24"/>
  <c r="G50" i="12"/>
  <c r="E26" i="12" l="1"/>
  <c r="E20" i="12"/>
  <c r="J41" i="22"/>
  <c r="E50" i="12" l="1"/>
  <c r="G79" i="23"/>
  <c r="G78" i="23" s="1"/>
  <c r="F24" i="23"/>
  <c r="I108" i="24"/>
  <c r="I107" i="24"/>
  <c r="I109" i="24"/>
  <c r="G16" i="15"/>
  <c r="I106" i="24" l="1"/>
  <c r="A3" i="13" l="1"/>
  <c r="G47" i="8"/>
  <c r="H131" i="24"/>
  <c r="G131" i="24"/>
  <c r="H7" i="24"/>
  <c r="I7" i="24"/>
  <c r="J7" i="24" s="1"/>
  <c r="G7" i="24"/>
  <c r="I112" i="15"/>
  <c r="I119" i="15"/>
  <c r="K7" i="24" l="1"/>
  <c r="K51" i="23" s="1"/>
  <c r="J51" i="23"/>
  <c r="I16" i="15"/>
  <c r="G10" i="24"/>
  <c r="H10" i="24"/>
  <c r="G11" i="24"/>
  <c r="H11" i="24"/>
  <c r="G12" i="24"/>
  <c r="H12" i="24"/>
  <c r="G14" i="24"/>
  <c r="H14" i="24"/>
  <c r="G20" i="24"/>
  <c r="H20" i="24"/>
  <c r="I20" i="24"/>
  <c r="G27" i="24"/>
  <c r="H27" i="24"/>
  <c r="I27" i="24"/>
  <c r="J27" i="24" s="1"/>
  <c r="K27" i="24" s="1"/>
  <c r="L27" i="24" s="1"/>
  <c r="G31" i="24"/>
  <c r="H31" i="24"/>
  <c r="I31" i="24"/>
  <c r="G32" i="24"/>
  <c r="H32" i="24"/>
  <c r="J31" i="24" l="1"/>
  <c r="K31" i="24" s="1"/>
  <c r="L31" i="24" s="1"/>
  <c r="C13" i="18"/>
  <c r="I68" i="24" l="1"/>
  <c r="J20" i="24"/>
  <c r="J17" i="24" s="1"/>
  <c r="H22" i="22"/>
  <c r="I22" i="22"/>
  <c r="G22" i="22"/>
  <c r="I28" i="8"/>
  <c r="I77" i="23"/>
  <c r="H77" i="23"/>
  <c r="I41" i="23"/>
  <c r="H41" i="23"/>
  <c r="H72" i="15"/>
  <c r="H52" i="15"/>
  <c r="I72" i="15"/>
  <c r="E49" i="22" s="1"/>
  <c r="I66" i="15"/>
  <c r="E48" i="22" s="1"/>
  <c r="I44" i="15"/>
  <c r="H29" i="15"/>
  <c r="H35" i="23" s="1"/>
  <c r="H25" i="15"/>
  <c r="H21" i="15"/>
  <c r="H16" i="15"/>
  <c r="I54" i="23" s="1"/>
  <c r="H8" i="15"/>
  <c r="I29" i="15"/>
  <c r="I35" i="23" s="1"/>
  <c r="I25" i="15"/>
  <c r="I21" i="15"/>
  <c r="I8" i="15"/>
  <c r="I52" i="23" s="1"/>
  <c r="H42" i="15"/>
  <c r="I42" i="15"/>
  <c r="G42" i="15"/>
  <c r="H39" i="15" l="1"/>
  <c r="H52" i="23"/>
  <c r="I39" i="15"/>
  <c r="I36" i="23"/>
  <c r="H82" i="15"/>
  <c r="I86" i="15"/>
  <c r="I3" i="24" s="1"/>
  <c r="I15" i="23"/>
  <c r="H86" i="15"/>
  <c r="H3" i="24" s="1"/>
  <c r="H43" i="24" s="1"/>
  <c r="H15" i="23"/>
  <c r="G86" i="15"/>
  <c r="G3" i="24" s="1"/>
  <c r="G43" i="24" s="1"/>
  <c r="G86" i="24" s="1"/>
  <c r="F12" i="3" s="1"/>
  <c r="G15" i="23"/>
  <c r="K20" i="24"/>
  <c r="L20" i="24" s="1"/>
  <c r="I12" i="25" l="1"/>
  <c r="I35" i="25" s="1"/>
  <c r="I48" i="25" s="1"/>
  <c r="I47" i="23"/>
  <c r="I62" i="23" s="1"/>
  <c r="K3" i="24"/>
  <c r="L3" i="24" s="1"/>
  <c r="I43" i="24"/>
  <c r="E72" i="13"/>
  <c r="K43" i="24" l="1"/>
  <c r="L43" i="24"/>
  <c r="L86" i="24" s="1"/>
  <c r="J43" i="24"/>
  <c r="J58" i="24"/>
  <c r="H87" i="23" l="1"/>
  <c r="I87" i="23"/>
  <c r="L87" i="23"/>
  <c r="G87" i="23"/>
  <c r="K21" i="8"/>
  <c r="K23" i="8"/>
  <c r="H124" i="24"/>
  <c r="I124" i="24"/>
  <c r="H125" i="24"/>
  <c r="G125" i="24"/>
  <c r="G124" i="24"/>
  <c r="H119" i="24"/>
  <c r="I119" i="24"/>
  <c r="H120" i="24"/>
  <c r="I120" i="24"/>
  <c r="G120" i="24"/>
  <c r="K120" i="24" s="1"/>
  <c r="L120" i="24" s="1"/>
  <c r="G119" i="24"/>
  <c r="H112" i="24"/>
  <c r="I112" i="24" s="1"/>
  <c r="H113" i="24"/>
  <c r="I113" i="24"/>
  <c r="H114" i="24"/>
  <c r="I114" i="24"/>
  <c r="G114" i="24"/>
  <c r="G113" i="24"/>
  <c r="G112" i="24"/>
  <c r="H107" i="24"/>
  <c r="H108" i="24"/>
  <c r="H109" i="24"/>
  <c r="G109" i="24"/>
  <c r="G108" i="24"/>
  <c r="G107" i="24"/>
  <c r="H95" i="24"/>
  <c r="I95" i="24"/>
  <c r="J95" i="24" s="1"/>
  <c r="K95" i="24" s="1"/>
  <c r="L95" i="24" s="1"/>
  <c r="G95" i="24"/>
  <c r="H89" i="24"/>
  <c r="I89" i="24"/>
  <c r="J89" i="24" s="1"/>
  <c r="K89" i="24" s="1"/>
  <c r="L89" i="24" s="1"/>
  <c r="G89" i="24"/>
  <c r="H81" i="24"/>
  <c r="G81" i="24"/>
  <c r="H74" i="24"/>
  <c r="I74" i="24"/>
  <c r="H75" i="24"/>
  <c r="H76" i="24"/>
  <c r="H77" i="24"/>
  <c r="H78" i="24"/>
  <c r="H79" i="24"/>
  <c r="G75" i="24"/>
  <c r="G76" i="24"/>
  <c r="G77" i="24"/>
  <c r="J77" i="24" s="1"/>
  <c r="J41" i="23" s="1"/>
  <c r="G78" i="24"/>
  <c r="G79" i="24"/>
  <c r="J79" i="24" s="1"/>
  <c r="J43" i="23" s="1"/>
  <c r="G74" i="24"/>
  <c r="H68" i="24"/>
  <c r="H69" i="24"/>
  <c r="I69" i="24"/>
  <c r="H70" i="24"/>
  <c r="I70" i="24"/>
  <c r="H71" i="24"/>
  <c r="I71" i="24"/>
  <c r="G69" i="24"/>
  <c r="G70" i="24"/>
  <c r="G71" i="24"/>
  <c r="G68" i="24"/>
  <c r="H59" i="24"/>
  <c r="G59" i="24"/>
  <c r="H54" i="24"/>
  <c r="I54" i="24"/>
  <c r="J54" i="24" s="1"/>
  <c r="K54" i="24" s="1"/>
  <c r="L54" i="24" s="1"/>
  <c r="H55" i="24"/>
  <c r="I55" i="24"/>
  <c r="H56" i="24"/>
  <c r="I56" i="24"/>
  <c r="J56" i="24" s="1"/>
  <c r="K56" i="24" s="1"/>
  <c r="L56" i="24" s="1"/>
  <c r="H57" i="24"/>
  <c r="I57" i="24"/>
  <c r="J57" i="24" s="1"/>
  <c r="K57" i="24" s="1"/>
  <c r="L57" i="24" s="1"/>
  <c r="G55" i="24"/>
  <c r="G56" i="24"/>
  <c r="G57" i="24"/>
  <c r="G54" i="24"/>
  <c r="H49" i="24"/>
  <c r="I49" i="24"/>
  <c r="H51" i="24"/>
  <c r="I51" i="24"/>
  <c r="G51" i="24"/>
  <c r="G49" i="24"/>
  <c r="H46" i="24"/>
  <c r="I46" i="24"/>
  <c r="J46" i="24" s="1"/>
  <c r="H47" i="24"/>
  <c r="I47" i="24"/>
  <c r="J47" i="24" s="1"/>
  <c r="K47" i="24" s="1"/>
  <c r="L47" i="24" s="1"/>
  <c r="G47" i="24"/>
  <c r="G46" i="24"/>
  <c r="H34" i="24"/>
  <c r="I34" i="24"/>
  <c r="H36" i="24"/>
  <c r="H38" i="24"/>
  <c r="I38" i="24"/>
  <c r="G38" i="24"/>
  <c r="G36" i="24"/>
  <c r="G34" i="24"/>
  <c r="H28" i="24"/>
  <c r="I28" i="24"/>
  <c r="G28" i="24"/>
  <c r="H23" i="24"/>
  <c r="I23" i="24"/>
  <c r="H24" i="24"/>
  <c r="I24" i="24"/>
  <c r="G24" i="24"/>
  <c r="J24" i="24" s="1"/>
  <c r="G23" i="24"/>
  <c r="H18" i="24"/>
  <c r="I18" i="24"/>
  <c r="H19" i="24"/>
  <c r="I19" i="24"/>
  <c r="G19" i="24"/>
  <c r="G18" i="24"/>
  <c r="H15" i="24"/>
  <c r="I13" i="24"/>
  <c r="H13" i="24"/>
  <c r="I12" i="24"/>
  <c r="J12" i="24" s="1"/>
  <c r="K12" i="24" s="1"/>
  <c r="L12" i="24" s="1"/>
  <c r="I11" i="24"/>
  <c r="J11" i="24" s="1"/>
  <c r="K11" i="24" s="1"/>
  <c r="L11" i="24" s="1"/>
  <c r="I10" i="24"/>
  <c r="J10" i="24" s="1"/>
  <c r="G13" i="24"/>
  <c r="G15" i="24"/>
  <c r="I88" i="15"/>
  <c r="G66" i="15"/>
  <c r="G72" i="15"/>
  <c r="F44" i="15"/>
  <c r="J112" i="24" l="1"/>
  <c r="K79" i="24"/>
  <c r="K10" i="24"/>
  <c r="L10" i="24" s="1"/>
  <c r="L9" i="24" s="1"/>
  <c r="L52" i="23" s="1"/>
  <c r="J9" i="24"/>
  <c r="J52" i="23" s="1"/>
  <c r="J76" i="24"/>
  <c r="J75" i="24"/>
  <c r="K75" i="24" s="1"/>
  <c r="J109" i="24"/>
  <c r="K109" i="24" s="1"/>
  <c r="L109" i="24" s="1"/>
  <c r="K24" i="24"/>
  <c r="L24" i="24" s="1"/>
  <c r="K77" i="24"/>
  <c r="J32" i="24"/>
  <c r="K32" i="24" s="1"/>
  <c r="L32" i="24" s="1"/>
  <c r="J78" i="24"/>
  <c r="J42" i="23" s="1"/>
  <c r="J68" i="24"/>
  <c r="J67" i="24" s="1"/>
  <c r="J92" i="24"/>
  <c r="K92" i="24" s="1"/>
  <c r="I67" i="24"/>
  <c r="J101" i="24"/>
  <c r="H67" i="24"/>
  <c r="J45" i="24"/>
  <c r="K46" i="24"/>
  <c r="L46" i="24" s="1"/>
  <c r="I111" i="24"/>
  <c r="J108" i="24"/>
  <c r="L119" i="24"/>
  <c r="J107" i="24"/>
  <c r="K107" i="24" s="1"/>
  <c r="L107" i="24" s="1"/>
  <c r="J81" i="24"/>
  <c r="J44" i="23" s="1"/>
  <c r="J74" i="24"/>
  <c r="I88" i="24"/>
  <c r="J28" i="24"/>
  <c r="G9" i="24"/>
  <c r="E25" i="17" l="1"/>
  <c r="J30" i="23"/>
  <c r="K112" i="24"/>
  <c r="L79" i="24"/>
  <c r="L43" i="23" s="1"/>
  <c r="K43" i="23"/>
  <c r="K76" i="24"/>
  <c r="J40" i="23"/>
  <c r="J114" i="24"/>
  <c r="J111" i="24" s="1"/>
  <c r="L75" i="24"/>
  <c r="C49" i="19"/>
  <c r="L77" i="24"/>
  <c r="L41" i="23" s="1"/>
  <c r="K41" i="23"/>
  <c r="K78" i="24"/>
  <c r="K42" i="23" s="1"/>
  <c r="K74" i="24"/>
  <c r="F156" i="13"/>
  <c r="F36" i="17"/>
  <c r="F168" i="13" s="1"/>
  <c r="F157" i="13"/>
  <c r="K68" i="24"/>
  <c r="L92" i="24"/>
  <c r="J73" i="24"/>
  <c r="J30" i="24"/>
  <c r="J35" i="23" s="1"/>
  <c r="K81" i="24"/>
  <c r="K44" i="23" s="1"/>
  <c r="K28" i="24"/>
  <c r="K90" i="24" s="1"/>
  <c r="J90" i="24"/>
  <c r="J26" i="24"/>
  <c r="H32" i="19"/>
  <c r="C13" i="28"/>
  <c r="A11" i="28"/>
  <c r="A10" i="28"/>
  <c r="A9" i="28"/>
  <c r="A8" i="28"/>
  <c r="A7" i="28"/>
  <c r="A6" i="28"/>
  <c r="A5" i="28"/>
  <c r="D66" i="28"/>
  <c r="A3" i="27"/>
  <c r="J20" i="25"/>
  <c r="K20" i="25"/>
  <c r="L20" i="25"/>
  <c r="G21" i="25"/>
  <c r="H21" i="25"/>
  <c r="I21" i="25"/>
  <c r="G22" i="25"/>
  <c r="H22" i="25"/>
  <c r="I22" i="25"/>
  <c r="G23" i="25"/>
  <c r="H23" i="25"/>
  <c r="I23" i="25"/>
  <c r="J23" i="25"/>
  <c r="K23" i="25"/>
  <c r="J24" i="25"/>
  <c r="K24" i="25"/>
  <c r="L24" i="25"/>
  <c r="G25" i="25"/>
  <c r="H25" i="25"/>
  <c r="I25" i="25"/>
  <c r="G27" i="25"/>
  <c r="H27" i="25"/>
  <c r="I27" i="25"/>
  <c r="G29" i="25"/>
  <c r="H29" i="25"/>
  <c r="I29" i="25"/>
  <c r="J29" i="25"/>
  <c r="K29" i="25"/>
  <c r="L29" i="25"/>
  <c r="G37" i="25"/>
  <c r="G40" i="25" s="1"/>
  <c r="H37" i="25"/>
  <c r="H40" i="25" s="1"/>
  <c r="G55" i="25"/>
  <c r="H55" i="25"/>
  <c r="I55" i="25"/>
  <c r="J55" i="25"/>
  <c r="G56" i="25"/>
  <c r="H56" i="25"/>
  <c r="I56" i="25"/>
  <c r="G69" i="25"/>
  <c r="G70" i="25"/>
  <c r="B3" i="25"/>
  <c r="G72" i="25"/>
  <c r="K30" i="23" l="1"/>
  <c r="L112" i="24"/>
  <c r="L76" i="24"/>
  <c r="L40" i="23" s="1"/>
  <c r="K40" i="23"/>
  <c r="K114" i="24"/>
  <c r="L74" i="24"/>
  <c r="L78" i="24"/>
  <c r="L42" i="23" s="1"/>
  <c r="K55" i="25"/>
  <c r="L68" i="24"/>
  <c r="L67" i="24" s="1"/>
  <c r="C50" i="19"/>
  <c r="K67" i="24"/>
  <c r="L28" i="24"/>
  <c r="L90" i="24" s="1"/>
  <c r="K26" i="24"/>
  <c r="L81" i="24"/>
  <c r="L44" i="23" s="1"/>
  <c r="L50" i="23"/>
  <c r="L55" i="23"/>
  <c r="L65" i="23"/>
  <c r="J50" i="23"/>
  <c r="K50" i="23"/>
  <c r="J55" i="23"/>
  <c r="K55" i="23"/>
  <c r="K65" i="23"/>
  <c r="K101" i="24"/>
  <c r="J118" i="24"/>
  <c r="K118" i="24"/>
  <c r="L118" i="24"/>
  <c r="J129" i="24"/>
  <c r="K129" i="24"/>
  <c r="L129" i="24"/>
  <c r="J86" i="24"/>
  <c r="J15" i="23" s="1"/>
  <c r="K86" i="24"/>
  <c r="K45" i="24"/>
  <c r="L45" i="24"/>
  <c r="J22" i="24"/>
  <c r="K22" i="24"/>
  <c r="L22" i="24"/>
  <c r="K17" i="24"/>
  <c r="L17" i="24"/>
  <c r="I129" i="24"/>
  <c r="H129" i="24"/>
  <c r="G129" i="24"/>
  <c r="F129" i="24"/>
  <c r="I118" i="24"/>
  <c r="H118" i="24"/>
  <c r="G118" i="24"/>
  <c r="F118" i="24"/>
  <c r="H111" i="24"/>
  <c r="G111" i="24"/>
  <c r="F111" i="24"/>
  <c r="H106" i="24"/>
  <c r="G106" i="24"/>
  <c r="F106" i="24"/>
  <c r="I94" i="24"/>
  <c r="H94" i="24"/>
  <c r="G94" i="24"/>
  <c r="F94" i="24"/>
  <c r="H88" i="24"/>
  <c r="G88" i="24"/>
  <c r="F88" i="24"/>
  <c r="B77" i="24"/>
  <c r="I73" i="24"/>
  <c r="H73" i="24"/>
  <c r="G73" i="24"/>
  <c r="F73" i="24"/>
  <c r="G67" i="24"/>
  <c r="F67" i="24"/>
  <c r="I53" i="24"/>
  <c r="H53" i="24"/>
  <c r="G53" i="24"/>
  <c r="F53" i="24"/>
  <c r="I45" i="24"/>
  <c r="H45" i="24"/>
  <c r="G45" i="24"/>
  <c r="F45" i="24"/>
  <c r="I86" i="24"/>
  <c r="H12" i="3" s="1"/>
  <c r="H86" i="24"/>
  <c r="G12" i="3" s="1"/>
  <c r="F43" i="24"/>
  <c r="F86" i="24" s="1"/>
  <c r="I30" i="24"/>
  <c r="H30" i="24"/>
  <c r="G30" i="24"/>
  <c r="F30" i="24"/>
  <c r="I26" i="24"/>
  <c r="H26" i="24"/>
  <c r="G26" i="24"/>
  <c r="F26" i="24"/>
  <c r="I22" i="24"/>
  <c r="H22" i="24"/>
  <c r="G22" i="24"/>
  <c r="F22" i="24"/>
  <c r="I17" i="24"/>
  <c r="H17" i="24"/>
  <c r="G17" i="24"/>
  <c r="F17" i="24"/>
  <c r="I9" i="24"/>
  <c r="H9" i="24"/>
  <c r="F9" i="24"/>
  <c r="L30" i="23" l="1"/>
  <c r="L23" i="25"/>
  <c r="L26" i="24"/>
  <c r="I30" i="8"/>
  <c r="J36" i="23"/>
  <c r="G32" i="8"/>
  <c r="H32" i="8" s="1"/>
  <c r="K32" i="8" s="1"/>
  <c r="F32" i="8"/>
  <c r="L36" i="23"/>
  <c r="K36" i="23"/>
  <c r="L114" i="24"/>
  <c r="C51" i="19"/>
  <c r="I53" i="19" s="1"/>
  <c r="I56" i="19" s="1"/>
  <c r="H83" i="24"/>
  <c r="H84" i="24" s="1"/>
  <c r="G83" i="24"/>
  <c r="J87" i="23"/>
  <c r="K87" i="23"/>
  <c r="D88" i="28"/>
  <c r="L55" i="25"/>
  <c r="L88" i="24"/>
  <c r="J88" i="24"/>
  <c r="H104" i="24"/>
  <c r="H116" i="24" s="1"/>
  <c r="H122" i="24" s="1"/>
  <c r="H54" i="25"/>
  <c r="H57" i="25" s="1"/>
  <c r="G54" i="25"/>
  <c r="G57" i="25" s="1"/>
  <c r="K25" i="25"/>
  <c r="J25" i="25"/>
  <c r="J22" i="25"/>
  <c r="J106" i="24"/>
  <c r="K108" i="24"/>
  <c r="K106" i="24" s="1"/>
  <c r="J21" i="25"/>
  <c r="I104" i="24"/>
  <c r="I116" i="24" s="1"/>
  <c r="I122" i="24" s="1"/>
  <c r="K88" i="24"/>
  <c r="D78" i="28"/>
  <c r="D93" i="28" s="1"/>
  <c r="G40" i="24"/>
  <c r="L101" i="24"/>
  <c r="L30" i="24"/>
  <c r="L35" i="23" s="1"/>
  <c r="K30" i="24"/>
  <c r="K35" i="23" s="1"/>
  <c r="F40" i="24"/>
  <c r="F83" i="24"/>
  <c r="H40" i="24"/>
  <c r="I40" i="24"/>
  <c r="F104" i="24"/>
  <c r="F116" i="24" s="1"/>
  <c r="F122" i="24" s="1"/>
  <c r="F127" i="24" s="1"/>
  <c r="F133" i="24" s="1"/>
  <c r="G104" i="24"/>
  <c r="G116" i="24" s="1"/>
  <c r="G122" i="24" s="1"/>
  <c r="F34" i="23"/>
  <c r="F69" i="23"/>
  <c r="F53" i="23"/>
  <c r="G50" i="23"/>
  <c r="I50" i="23"/>
  <c r="G55" i="23"/>
  <c r="H55" i="23"/>
  <c r="I55" i="23"/>
  <c r="F55" i="23"/>
  <c r="F51" i="23"/>
  <c r="F50" i="23"/>
  <c r="F30" i="23"/>
  <c r="B3" i="23"/>
  <c r="B85" i="23" s="1"/>
  <c r="G98" i="23"/>
  <c r="G97" i="23"/>
  <c r="G96" i="23"/>
  <c r="G95" i="23"/>
  <c r="G38" i="22"/>
  <c r="H38" i="22"/>
  <c r="I38" i="22"/>
  <c r="F38" i="22"/>
  <c r="G36" i="22"/>
  <c r="H36" i="22"/>
  <c r="F36" i="22"/>
  <c r="G32" i="22"/>
  <c r="H32" i="22"/>
  <c r="I32" i="22"/>
  <c r="F32" i="22"/>
  <c r="G28" i="22"/>
  <c r="H28" i="22"/>
  <c r="I28" i="22" s="1"/>
  <c r="F28" i="22"/>
  <c r="G24" i="22"/>
  <c r="H24" i="22"/>
  <c r="I24" i="22"/>
  <c r="F24" i="22"/>
  <c r="G26" i="22"/>
  <c r="H26" i="22"/>
  <c r="I26" i="22"/>
  <c r="F26" i="22"/>
  <c r="K111" i="24" l="1"/>
  <c r="G127" i="24"/>
  <c r="G133" i="24" s="1"/>
  <c r="G38" i="25"/>
  <c r="H38" i="25" s="1"/>
  <c r="I38" i="25" s="1"/>
  <c r="J71" i="23"/>
  <c r="L111" i="24"/>
  <c r="H127" i="24"/>
  <c r="H133" i="24" s="1"/>
  <c r="L25" i="25"/>
  <c r="L108" i="24"/>
  <c r="L21" i="25" s="1"/>
  <c r="L22" i="25"/>
  <c r="K22" i="25"/>
  <c r="K21" i="25"/>
  <c r="L106" i="24" l="1"/>
  <c r="G61" i="8"/>
  <c r="J28" i="8"/>
  <c r="H18" i="8"/>
  <c r="I20" i="8" l="1"/>
  <c r="J20" i="8" s="1"/>
  <c r="H24" i="8"/>
  <c r="I24" i="8" s="1"/>
  <c r="J24" i="8" s="1"/>
  <c r="K24" i="8" s="1"/>
  <c r="K22" i="8"/>
  <c r="K28" i="8"/>
  <c r="H40" i="8"/>
  <c r="H38" i="8"/>
  <c r="H36" i="8"/>
  <c r="H42" i="8"/>
  <c r="F174" i="13"/>
  <c r="G17" i="18"/>
  <c r="A3" i="18"/>
  <c r="A3" i="17"/>
  <c r="G88" i="15"/>
  <c r="G94" i="15"/>
  <c r="H94" i="15"/>
  <c r="I94" i="15"/>
  <c r="G107" i="15"/>
  <c r="H107" i="15"/>
  <c r="I107" i="15"/>
  <c r="G112" i="15"/>
  <c r="H112" i="15"/>
  <c r="G119" i="15"/>
  <c r="F15" i="3" s="1"/>
  <c r="H119" i="15"/>
  <c r="G15" i="3" s="1"/>
  <c r="H15" i="3"/>
  <c r="G130" i="15"/>
  <c r="H130" i="15"/>
  <c r="I130" i="15"/>
  <c r="F130" i="15"/>
  <c r="F119" i="15"/>
  <c r="F112" i="15"/>
  <c r="F107" i="15"/>
  <c r="F88" i="15"/>
  <c r="F94" i="15"/>
  <c r="G52" i="15"/>
  <c r="F66" i="15"/>
  <c r="F52" i="15"/>
  <c r="B76" i="15"/>
  <c r="G44" i="15"/>
  <c r="F71" i="23"/>
  <c r="F86" i="15"/>
  <c r="H54" i="23"/>
  <c r="G29" i="15"/>
  <c r="G35" i="23" s="1"/>
  <c r="G21" i="15"/>
  <c r="H36" i="23" s="1"/>
  <c r="F21" i="15"/>
  <c r="G25" i="15"/>
  <c r="F25" i="15"/>
  <c r="F16" i="15"/>
  <c r="F54" i="23" s="1"/>
  <c r="G8" i="15"/>
  <c r="F8" i="15"/>
  <c r="G39" i="15" l="1"/>
  <c r="G52" i="23"/>
  <c r="K20" i="8"/>
  <c r="H71" i="23"/>
  <c r="G82" i="15"/>
  <c r="F104" i="15"/>
  <c r="F117" i="15" s="1"/>
  <c r="F123" i="15" s="1"/>
  <c r="F128" i="15" s="1"/>
  <c r="I65" i="23"/>
  <c r="I71" i="23" s="1"/>
  <c r="G71" i="23"/>
  <c r="F58" i="23"/>
  <c r="G104" i="15"/>
  <c r="G117" i="15" s="1"/>
  <c r="G123" i="15" s="1"/>
  <c r="F14" i="3" s="1"/>
  <c r="H17" i="18"/>
  <c r="F17" i="18"/>
  <c r="I104" i="15"/>
  <c r="H104" i="15"/>
  <c r="H117" i="15" s="1"/>
  <c r="H123" i="15" s="1"/>
  <c r="F82" i="15"/>
  <c r="G84" i="15" l="1"/>
  <c r="G84" i="24"/>
  <c r="F16" i="22"/>
  <c r="F20" i="22" s="1"/>
  <c r="F34" i="22" s="1"/>
  <c r="F40" i="22" s="1"/>
  <c r="F42" i="22" s="1"/>
  <c r="I117" i="15"/>
  <c r="I123" i="15" s="1"/>
  <c r="I125" i="24" s="1"/>
  <c r="H128" i="15"/>
  <c r="H17" i="23" s="1"/>
  <c r="H14" i="25"/>
  <c r="H36" i="25"/>
  <c r="H16" i="22"/>
  <c r="H20" i="22" s="1"/>
  <c r="H34" i="22" s="1"/>
  <c r="G128" i="15"/>
  <c r="G17" i="23" s="1"/>
  <c r="G36" i="25"/>
  <c r="G14" i="25"/>
  <c r="G16" i="22"/>
  <c r="G20" i="22" s="1"/>
  <c r="G34" i="22" s="1"/>
  <c r="F134" i="15"/>
  <c r="F21" i="23"/>
  <c r="F31" i="23" s="1"/>
  <c r="E17" i="18"/>
  <c r="I17" i="18"/>
  <c r="E84" i="13"/>
  <c r="A3" i="12"/>
  <c r="A3" i="11"/>
  <c r="J65" i="8"/>
  <c r="I65" i="8"/>
  <c r="K61" i="8"/>
  <c r="H59" i="8"/>
  <c r="K59" i="8" s="1"/>
  <c r="H57" i="8"/>
  <c r="K57" i="8" s="1"/>
  <c r="H55" i="8"/>
  <c r="K55" i="8" s="1"/>
  <c r="H51" i="8"/>
  <c r="K51" i="8" s="1"/>
  <c r="H44" i="8"/>
  <c r="F44" i="8"/>
  <c r="K42" i="8"/>
  <c r="K40" i="8"/>
  <c r="K38" i="8"/>
  <c r="K36" i="8"/>
  <c r="K34" i="8"/>
  <c r="G44" i="8"/>
  <c r="K30" i="8"/>
  <c r="K26" i="8"/>
  <c r="K18" i="8"/>
  <c r="I37" i="25" l="1"/>
  <c r="I40" i="25" s="1"/>
  <c r="I127" i="24"/>
  <c r="I133" i="24" s="1"/>
  <c r="I36" i="25"/>
  <c r="I14" i="25"/>
  <c r="I18" i="25" s="1"/>
  <c r="I26" i="25" s="1"/>
  <c r="I49" i="25" s="1"/>
  <c r="I16" i="22"/>
  <c r="I20" i="22" s="1"/>
  <c r="I34" i="22" s="1"/>
  <c r="I40" i="22" s="1"/>
  <c r="I42" i="22" s="1"/>
  <c r="I128" i="15"/>
  <c r="I17" i="23" s="1"/>
  <c r="D15" i="27"/>
  <c r="G18" i="25"/>
  <c r="G26" i="25" s="1"/>
  <c r="G49" i="25" s="1"/>
  <c r="H18" i="25"/>
  <c r="H26" i="25" s="1"/>
  <c r="H31" i="25" s="1"/>
  <c r="H33" i="25" s="1"/>
  <c r="G40" i="22"/>
  <c r="H40" i="22"/>
  <c r="H42" i="22" s="1"/>
  <c r="K44" i="8"/>
  <c r="E26" i="17"/>
  <c r="E28" i="17" s="1"/>
  <c r="G42" i="25"/>
  <c r="G43" i="25"/>
  <c r="G41" i="25"/>
  <c r="G44" i="25"/>
  <c r="G134" i="15"/>
  <c r="H43" i="25"/>
  <c r="H41" i="25"/>
  <c r="H42" i="25"/>
  <c r="H44" i="25"/>
  <c r="F56" i="3"/>
  <c r="F58" i="3" s="1"/>
  <c r="G83" i="3" s="1"/>
  <c r="G87" i="3" s="1"/>
  <c r="I42" i="25"/>
  <c r="I43" i="25"/>
  <c r="I41" i="25"/>
  <c r="I44" i="25"/>
  <c r="H134" i="15"/>
  <c r="J17" i="18"/>
  <c r="D17" i="18"/>
  <c r="C14" i="18"/>
  <c r="C21" i="18" s="1"/>
  <c r="E90" i="13"/>
  <c r="I134" i="15" l="1"/>
  <c r="G21" i="23"/>
  <c r="G31" i="23" s="1"/>
  <c r="I46" i="25"/>
  <c r="I50" i="25" s="1"/>
  <c r="I51" i="25" s="1"/>
  <c r="H46" i="25"/>
  <c r="H50" i="25" s="1"/>
  <c r="G46" i="25"/>
  <c r="G50" i="25" s="1"/>
  <c r="G51" i="25" s="1"/>
  <c r="F158" i="13"/>
  <c r="F160" i="13" s="1"/>
  <c r="I31" i="25"/>
  <c r="I33" i="25" s="1"/>
  <c r="D73" i="28"/>
  <c r="D89" i="28" s="1"/>
  <c r="G31" i="25"/>
  <c r="G33" i="25" s="1"/>
  <c r="H49" i="25"/>
  <c r="I21" i="23"/>
  <c r="H21" i="23"/>
  <c r="G42" i="22"/>
  <c r="J42" i="22" s="1"/>
  <c r="E44" i="22" s="1"/>
  <c r="E47" i="22" s="1"/>
  <c r="J40" i="22"/>
  <c r="E85" i="13"/>
  <c r="E92" i="13" s="1"/>
  <c r="I59" i="24" l="1"/>
  <c r="I58" i="15"/>
  <c r="I82" i="15" s="1"/>
  <c r="I84" i="15" s="1"/>
  <c r="G60" i="23"/>
  <c r="G73" i="23" s="1"/>
  <c r="G45" i="23"/>
  <c r="H51" i="25"/>
  <c r="H60" i="25" s="1"/>
  <c r="H31" i="23"/>
  <c r="I31" i="23"/>
  <c r="E53" i="22"/>
  <c r="K73" i="24"/>
  <c r="D15" i="26"/>
  <c r="D92" i="28"/>
  <c r="G60" i="25"/>
  <c r="C24" i="18"/>
  <c r="C20" i="18"/>
  <c r="C22" i="18"/>
  <c r="D152" i="13"/>
  <c r="D20" i="17"/>
  <c r="G17" i="19" l="1"/>
  <c r="I17" i="19" s="1"/>
  <c r="H3" i="30"/>
  <c r="H60" i="23"/>
  <c r="H73" i="23" s="1"/>
  <c r="H45" i="23"/>
  <c r="I60" i="23"/>
  <c r="I73" i="23" s="1"/>
  <c r="I45" i="23"/>
  <c r="I83" i="24"/>
  <c r="I54" i="25"/>
  <c r="I57" i="25" s="1"/>
  <c r="I52" i="25"/>
  <c r="H52" i="25"/>
  <c r="I78" i="23"/>
  <c r="I79" i="23" s="1"/>
  <c r="I89" i="23"/>
  <c r="H88" i="23"/>
  <c r="H89" i="23"/>
  <c r="L73" i="24"/>
  <c r="J53" i="24"/>
  <c r="C19" i="18"/>
  <c r="C23" i="18"/>
  <c r="H6" i="30" l="1"/>
  <c r="I6" i="30" s="1"/>
  <c r="H5" i="30"/>
  <c r="I5" i="30" s="1"/>
  <c r="G68" i="25"/>
  <c r="I60" i="25"/>
  <c r="I88" i="23"/>
  <c r="H78" i="23"/>
  <c r="H79" i="23" s="1"/>
  <c r="J77" i="23"/>
  <c r="L53" i="24"/>
  <c r="K53" i="24"/>
  <c r="C18" i="18"/>
  <c r="F19" i="3"/>
  <c r="F21" i="3" s="1"/>
  <c r="H40" i="3" l="1"/>
  <c r="G40" i="3"/>
  <c r="F40" i="3"/>
  <c r="H19" i="3"/>
  <c r="H21" i="3" s="1"/>
  <c r="G19" i="3"/>
  <c r="G21" i="3" s="1"/>
  <c r="F23" i="3"/>
  <c r="G23" i="3" l="1"/>
  <c r="G42" i="3" s="1"/>
  <c r="G46" i="3" s="1"/>
  <c r="H23" i="3"/>
  <c r="H42" i="3" s="1"/>
  <c r="F42" i="3"/>
  <c r="H46" i="3" l="1"/>
  <c r="D45" i="28"/>
  <c r="D13" i="26"/>
  <c r="D13" i="27"/>
  <c r="F46" i="3"/>
  <c r="E48" i="3" l="1"/>
  <c r="G73" i="3" s="1"/>
  <c r="F73" i="3" l="1"/>
  <c r="F29" i="15"/>
  <c r="F39" i="15" l="1"/>
  <c r="G89" i="23" l="1"/>
  <c r="G88" i="23"/>
  <c r="F45" i="23"/>
  <c r="F73" i="23" l="1"/>
  <c r="F78" i="23" s="1"/>
  <c r="F79" i="23" s="1"/>
  <c r="E88" i="23"/>
  <c r="E89" i="23"/>
  <c r="L71" i="23" l="1"/>
  <c r="J27" i="25" l="1"/>
  <c r="J94" i="24"/>
  <c r="J104" i="24" l="1"/>
  <c r="J116" i="24" s="1"/>
  <c r="J122" i="24" s="1"/>
  <c r="K94" i="24"/>
  <c r="K104" i="24" s="1"/>
  <c r="K116" i="24" s="1"/>
  <c r="K122" i="24" s="1"/>
  <c r="L27" i="25"/>
  <c r="L94" i="24"/>
  <c r="L104" i="24" s="1"/>
  <c r="L116" i="24" s="1"/>
  <c r="L122" i="24" s="1"/>
  <c r="L125" i="24" s="1"/>
  <c r="K27" i="25"/>
  <c r="K125" i="24" l="1"/>
  <c r="K37" i="25" s="1"/>
  <c r="K40" i="25" s="1"/>
  <c r="J36" i="25"/>
  <c r="J125" i="24"/>
  <c r="J37" i="25" s="1"/>
  <c r="J14" i="25"/>
  <c r="J18" i="25" s="1"/>
  <c r="J26" i="25" s="1"/>
  <c r="J49" i="25" s="1"/>
  <c r="K14" i="25"/>
  <c r="K18" i="25" s="1"/>
  <c r="K26" i="25" s="1"/>
  <c r="K31" i="25" s="1"/>
  <c r="K33" i="25" s="1"/>
  <c r="K36" i="25"/>
  <c r="K127" i="24"/>
  <c r="L37" i="25"/>
  <c r="L14" i="25"/>
  <c r="L18" i="25" s="1"/>
  <c r="L26" i="25" s="1"/>
  <c r="L36" i="25"/>
  <c r="K9" i="24"/>
  <c r="K52" i="23" s="1"/>
  <c r="J38" i="25" l="1"/>
  <c r="J44" i="25" s="1"/>
  <c r="K17" i="23"/>
  <c r="K21" i="23" s="1"/>
  <c r="K31" i="23" s="1"/>
  <c r="K38" i="25"/>
  <c r="J31" i="25"/>
  <c r="J33" i="25" s="1"/>
  <c r="J127" i="24"/>
  <c r="J40" i="25"/>
  <c r="K133" i="24"/>
  <c r="K49" i="25"/>
  <c r="L49" i="25"/>
  <c r="L31" i="25"/>
  <c r="L33" i="25" s="1"/>
  <c r="L38" i="25"/>
  <c r="L40" i="25"/>
  <c r="L127" i="24"/>
  <c r="L17" i="23" s="1"/>
  <c r="K43" i="25"/>
  <c r="K42" i="25"/>
  <c r="K41" i="25"/>
  <c r="K44" i="25"/>
  <c r="J42" i="25" l="1"/>
  <c r="J41" i="25"/>
  <c r="J43" i="25"/>
  <c r="K60" i="23"/>
  <c r="K73" i="23" s="1"/>
  <c r="K45" i="23"/>
  <c r="J133" i="24"/>
  <c r="J59" i="24" s="1"/>
  <c r="J83" i="24" s="1"/>
  <c r="J17" i="23"/>
  <c r="J21" i="23" s="1"/>
  <c r="J31" i="23" s="1"/>
  <c r="K88" i="23"/>
  <c r="J46" i="25"/>
  <c r="J50" i="25" s="1"/>
  <c r="J51" i="25" s="1"/>
  <c r="J52" i="25" s="1"/>
  <c r="K46" i="25"/>
  <c r="K50" i="25" s="1"/>
  <c r="K51" i="25" s="1"/>
  <c r="L41" i="25"/>
  <c r="L43" i="25"/>
  <c r="L44" i="25"/>
  <c r="L42" i="25"/>
  <c r="L21" i="23"/>
  <c r="L133" i="24"/>
  <c r="D87" i="28" s="1"/>
  <c r="D90" i="28" s="1"/>
  <c r="J60" i="23" l="1"/>
  <c r="J73" i="23" s="1"/>
  <c r="J78" i="23" s="1"/>
  <c r="J79" i="23" s="1"/>
  <c r="J45" i="23"/>
  <c r="K52" i="25"/>
  <c r="K78" i="23"/>
  <c r="L31" i="23"/>
  <c r="L46" i="25"/>
  <c r="L50" i="25" s="1"/>
  <c r="L51" i="25" s="1"/>
  <c r="L52" i="25" s="1"/>
  <c r="K59" i="24"/>
  <c r="K83" i="24" s="1"/>
  <c r="J54" i="25"/>
  <c r="D103" i="28"/>
  <c r="L60" i="23" l="1"/>
  <c r="L73" i="23" s="1"/>
  <c r="L45" i="23"/>
  <c r="J88" i="23"/>
  <c r="K77" i="23"/>
  <c r="K79" i="23" s="1"/>
  <c r="L77" i="23" s="1"/>
  <c r="J36" i="24"/>
  <c r="J40" i="24" s="1"/>
  <c r="L78" i="23"/>
  <c r="L59" i="24"/>
  <c r="L83" i="24" s="1"/>
  <c r="K54" i="25"/>
  <c r="L88" i="23" l="1"/>
  <c r="M88" i="23" s="1"/>
  <c r="M89" i="23" s="1"/>
  <c r="G93" i="23" s="1"/>
  <c r="J56" i="25"/>
  <c r="J57" i="25" s="1"/>
  <c r="J60" i="25" s="1"/>
  <c r="L79" i="23"/>
  <c r="K36" i="24"/>
  <c r="L54" i="25"/>
  <c r="L36" i="24" l="1"/>
  <c r="L40" i="24" s="1"/>
  <c r="K56" i="25"/>
  <c r="K57" i="25" s="1"/>
  <c r="K60" i="25" s="1"/>
  <c r="K40" i="24"/>
  <c r="L56" i="25" l="1"/>
  <c r="L57" i="25" s="1"/>
  <c r="L60" i="25" s="1"/>
  <c r="K49" i="8"/>
  <c r="K63" i="8" s="1"/>
  <c r="K65" i="8" s="1"/>
  <c r="G63" i="8"/>
  <c r="F65" i="8" s="1"/>
  <c r="H49" i="8"/>
  <c r="H63" i="8" s="1"/>
  <c r="H65" i="8" s="1"/>
  <c r="G79" i="8" l="1"/>
  <c r="G9" i="19" s="1"/>
  <c r="I9" i="19" s="1"/>
  <c r="D12" i="27"/>
  <c r="F35" i="17"/>
  <c r="F59" i="3"/>
  <c r="F60" i="3" s="1"/>
  <c r="G81" i="3" s="1"/>
  <c r="F81" i="3" s="1"/>
  <c r="D12" i="26"/>
  <c r="D24" i="28"/>
  <c r="G65" i="8"/>
  <c r="G8" i="19" s="1"/>
  <c r="D18" i="26" l="1"/>
  <c r="G25" i="19" s="1"/>
  <c r="I25" i="19" s="1"/>
  <c r="D34" i="28"/>
  <c r="D54" i="28"/>
  <c r="I8" i="19"/>
  <c r="F37" i="17"/>
  <c r="F41" i="17" s="1"/>
  <c r="F167" i="13"/>
  <c r="F32" i="17"/>
  <c r="D14" i="27"/>
  <c r="D17" i="27" s="1"/>
  <c r="G26" i="19" s="1"/>
  <c r="I26" i="19" s="1"/>
  <c r="F40" i="17" l="1"/>
  <c r="E28" i="18" s="1"/>
  <c r="E29" i="18"/>
  <c r="F173" i="13"/>
  <c r="G32" i="18" s="1"/>
  <c r="D65" i="28"/>
  <c r="D74" i="28"/>
  <c r="D44" i="28"/>
  <c r="D36" i="28"/>
  <c r="D48" i="28" l="1"/>
  <c r="B6" i="28" s="1"/>
  <c r="D6" i="28" s="1"/>
  <c r="G44" i="17"/>
  <c r="F172" i="13"/>
  <c r="F21" i="18" s="1"/>
  <c r="D75" i="28"/>
  <c r="D102" i="28"/>
  <c r="D104" i="28" s="1"/>
  <c r="D11" i="28" s="1"/>
  <c r="F32" i="18"/>
  <c r="E32" i="18" s="1"/>
  <c r="D32" i="18" s="1"/>
  <c r="H32" i="18"/>
  <c r="I32" i="18" s="1"/>
  <c r="J32" i="18" s="1"/>
  <c r="J91" i="23" l="1"/>
  <c r="F52" i="3"/>
  <c r="G75" i="3" s="1"/>
  <c r="H75" i="3" s="1"/>
  <c r="K65" i="25"/>
  <c r="G59" i="25"/>
  <c r="H59" i="25" s="1"/>
  <c r="J19" i="18"/>
  <c r="D21" i="18"/>
  <c r="I22" i="18"/>
  <c r="E19" i="18"/>
  <c r="D19" i="18"/>
  <c r="G18" i="18"/>
  <c r="D20" i="18"/>
  <c r="J23" i="18"/>
  <c r="I23" i="18"/>
  <c r="E22" i="18"/>
  <c r="G23" i="18"/>
  <c r="I20" i="18"/>
  <c r="E20" i="18"/>
  <c r="D23" i="18"/>
  <c r="I21" i="18"/>
  <c r="H23" i="18"/>
  <c r="H18" i="18"/>
  <c r="J24" i="18"/>
  <c r="G20" i="18"/>
  <c r="E24" i="18"/>
  <c r="F20" i="18"/>
  <c r="F24" i="18"/>
  <c r="F19" i="18"/>
  <c r="H22" i="18"/>
  <c r="G24" i="18"/>
  <c r="E18" i="18"/>
  <c r="H24" i="18"/>
  <c r="G176" i="13"/>
  <c r="H21" i="18"/>
  <c r="G22" i="18"/>
  <c r="D24" i="18"/>
  <c r="G21" i="18"/>
  <c r="E23" i="18"/>
  <c r="I18" i="18"/>
  <c r="D18" i="18"/>
  <c r="J18" i="18"/>
  <c r="J20" i="18"/>
  <c r="C36" i="18"/>
  <c r="J36" i="18" s="1"/>
  <c r="I19" i="18"/>
  <c r="H19" i="18"/>
  <c r="J21" i="18"/>
  <c r="H20" i="18"/>
  <c r="F23" i="18"/>
  <c r="E21" i="18"/>
  <c r="I24" i="18"/>
  <c r="G19" i="18"/>
  <c r="D22" i="18"/>
  <c r="J22" i="18"/>
  <c r="F18" i="18"/>
  <c r="F22" i="18"/>
  <c r="K89" i="23"/>
  <c r="J89" i="23"/>
  <c r="L89" i="23"/>
  <c r="D86" i="28"/>
  <c r="D94" i="28" s="1"/>
  <c r="B10" i="28" s="1"/>
  <c r="D10" i="28" s="1"/>
  <c r="G61" i="25" l="1"/>
  <c r="G92" i="23"/>
  <c r="F75" i="3"/>
  <c r="F77" i="3" s="1"/>
  <c r="F79" i="3" s="1"/>
  <c r="F91" i="3" s="1"/>
  <c r="G15" i="19" s="1"/>
  <c r="I15" i="19" s="1"/>
  <c r="E36" i="18"/>
  <c r="G36" i="18"/>
  <c r="F36" i="18"/>
  <c r="H36" i="18"/>
  <c r="D36" i="18"/>
  <c r="C35" i="18"/>
  <c r="D35" i="18" s="1"/>
  <c r="C37" i="18"/>
  <c r="H37" i="18" s="1"/>
  <c r="I36" i="18"/>
  <c r="I75" i="3"/>
  <c r="H76" i="3"/>
  <c r="I59" i="25"/>
  <c r="H61" i="25"/>
  <c r="G94" i="23"/>
  <c r="H62" i="25" l="1"/>
  <c r="H35" i="18"/>
  <c r="G35" i="18"/>
  <c r="E37" i="18"/>
  <c r="F35" i="18"/>
  <c r="C38" i="18"/>
  <c r="H38" i="18" s="1"/>
  <c r="I35" i="18"/>
  <c r="F37" i="18"/>
  <c r="J37" i="18"/>
  <c r="J35" i="18"/>
  <c r="C34" i="18"/>
  <c r="G34" i="18" s="1"/>
  <c r="D37" i="18"/>
  <c r="E35" i="18"/>
  <c r="I37" i="18"/>
  <c r="G37" i="18"/>
  <c r="J59" i="25"/>
  <c r="I61" i="25"/>
  <c r="I76" i="3"/>
  <c r="G77" i="3" s="1"/>
  <c r="G99" i="23"/>
  <c r="I19" i="19"/>
  <c r="G79" i="3" l="1"/>
  <c r="G91" i="3" s="1"/>
  <c r="G38" i="18"/>
  <c r="H34" i="18"/>
  <c r="C33" i="18"/>
  <c r="F33" i="18" s="1"/>
  <c r="I34" i="18"/>
  <c r="J34" i="18"/>
  <c r="J38" i="18"/>
  <c r="D34" i="18"/>
  <c r="D38" i="18"/>
  <c r="E34" i="18"/>
  <c r="E38" i="18"/>
  <c r="I38" i="18"/>
  <c r="F38" i="18"/>
  <c r="C39" i="18"/>
  <c r="E39" i="18" s="1"/>
  <c r="F34" i="18"/>
  <c r="I63" i="25"/>
  <c r="I62" i="25"/>
  <c r="D33" i="18"/>
  <c r="K59" i="25"/>
  <c r="J61" i="25"/>
  <c r="D25" i="28" l="1"/>
  <c r="D37" i="28" s="1"/>
  <c r="D38" i="28" s="1"/>
  <c r="B5" i="28" s="1"/>
  <c r="D5" i="28" s="1"/>
  <c r="G14" i="19"/>
  <c r="I14" i="19" s="1"/>
  <c r="H33" i="18"/>
  <c r="I33" i="18"/>
  <c r="J33" i="18"/>
  <c r="G33" i="18"/>
  <c r="E33" i="18"/>
  <c r="I39" i="18"/>
  <c r="J39" i="18"/>
  <c r="F39" i="18"/>
  <c r="D39" i="18"/>
  <c r="H39" i="18"/>
  <c r="G39" i="18"/>
  <c r="K61" i="25"/>
  <c r="L59" i="25"/>
  <c r="L61" i="25" s="1"/>
  <c r="J63" i="25"/>
  <c r="J62" i="25"/>
  <c r="D26" i="28"/>
  <c r="B4" i="28" s="1"/>
  <c r="D55" i="28" l="1"/>
  <c r="D76" i="28" s="1"/>
  <c r="D77" i="28" s="1"/>
  <c r="D79" i="28" s="1"/>
  <c r="B9" i="28" s="1"/>
  <c r="D9" i="28" s="1"/>
  <c r="D4" i="28"/>
  <c r="M61" i="25"/>
  <c r="M63" i="25" s="1"/>
  <c r="G67" i="25" s="1"/>
  <c r="L63" i="25"/>
  <c r="L62" i="25"/>
  <c r="K62" i="25"/>
  <c r="K63" i="25"/>
  <c r="D67" i="28" l="1"/>
  <c r="D68" i="28" s="1"/>
  <c r="B8" i="28" s="1"/>
  <c r="D8" i="28" s="1"/>
  <c r="D56" i="28"/>
  <c r="B7" i="28" s="1"/>
  <c r="D7" i="28" s="1"/>
  <c r="G66" i="25"/>
  <c r="G71" i="25" s="1"/>
  <c r="G74" i="25" s="1"/>
  <c r="D13" i="28"/>
  <c r="D15" i="28" s="1"/>
  <c r="G30" i="19" s="1"/>
  <c r="I30" i="19" s="1"/>
  <c r="B13" i="28"/>
  <c r="I21" i="19" l="1"/>
  <c r="G32" i="19" l="1"/>
  <c r="J41" i="19"/>
  <c r="I32" i="19"/>
  <c r="I39" i="19" s="1"/>
  <c r="A1" i="32" s="1"/>
  <c r="B2" i="32" l="1"/>
  <c r="C2" i="32" s="1"/>
  <c r="E2" i="32" s="1"/>
  <c r="B1" i="32"/>
  <c r="C1" i="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tc={BB8A4B84-05C1-496B-98D9-83FE5A3E08B2}</author>
    <author>tc={BBEBE1D0-DF61-4B54-AC9A-4E0568A9DBA2}</author>
  </authors>
  <commentList>
    <comment ref="I40" authorId="0" shapeId="0" xr:uid="{BB8A4B84-05C1-496B-98D9-83FE5A3E08B2}">
      <text>
        <t>[Opmerkingenthread]
U kunt deze opmerkingenthread lezen in uw versie van Excel. Eventuele wijzigingen aan de thread gaan echter verloren als het bestand wordt geopend in een nieuwere versie van Excel. Meer informatie: https://go.microsoft.com/fwlink/?linkid=870924
Opmerking:
    Logisch want minder verkoop hardware, meer dienstverlening tegen hogere marge. Niet meer afhankelijk van aankoopprijs product</t>
      </text>
    </comment>
    <comment ref="G48" authorId="1" shapeId="0" xr:uid="{BBEBE1D0-DF61-4B54-AC9A-4E0568A9DBA2}">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Balans nog in te geven en vervolgens formule te plakken
</t>
      </text>
    </comment>
  </commentList>
</comments>
</file>

<file path=xl/sharedStrings.xml><?xml version="1.0" encoding="utf-8"?>
<sst xmlns="http://schemas.openxmlformats.org/spreadsheetml/2006/main" count="1033" uniqueCount="594">
  <si>
    <t>Lanckriet Lieven</t>
  </si>
  <si>
    <t>Voorafgaande uiteenzetting</t>
  </si>
  <si>
    <t>Op basis van de cijfers per 31.03.2016 hebben wij de waarde van de onderneming geraamd. Hierbij hebben wij enkele algemene aanvaarde waarderingsmethoden gehanteerd. Wij hebben rekening gehouden met enerzijds het statisch beeld van de onderneming (de substantiële waarde) en anderzijds het dynamisch beeld van de onderneming (de rendementswaarde).</t>
  </si>
  <si>
    <t>1. De substantiële waarde</t>
  </si>
  <si>
    <r>
      <t xml:space="preserve">Deze waarderingstechtniek raamt de waarde op basis van de bestanddelen van de actief- en passiefbalans. Door per bestanddeel afstand te nemen van de boekwaarde en rekening te houden met de economische waarde kunnen er meer- en minderwaarden ontstaan. Door deze correcties bekomt men het </t>
    </r>
    <r>
      <rPr>
        <b/>
        <u/>
        <sz val="11"/>
        <color theme="1"/>
        <rFont val="Calibri"/>
        <family val="2"/>
        <scheme val="minor"/>
      </rPr>
      <t>gecorrigeerd eigen vermogen</t>
    </r>
  </si>
  <si>
    <t>2. De rendementswaarde</t>
  </si>
  <si>
    <t xml:space="preserve">Teneinde het gewoon gemiddelde verwachte toekomstig rendement op een waarde naar vandaag te herleiden, dient dit toekomstig rendement geactualiseerd te worden. Voor het bepalen van de duurtijd van het rendement, kunnen twee zienswijzen weerhouden worden: ofwel opteert men voor een perpetuïteit (= eeuwigdurend), ofwel opteert men voor een beperkte duurtijd. Met deze techniek ramen wij de potentiële winst van de onderneming die de investeerder kan verwachten. </t>
  </si>
  <si>
    <t>INHOUDSTAFEL</t>
  </si>
  <si>
    <t>Algemene bedrijfsinformatie</t>
  </si>
  <si>
    <t>Algemene informatie</t>
  </si>
  <si>
    <t>Balans &amp; Resultatenrekening</t>
  </si>
  <si>
    <t>Balans</t>
  </si>
  <si>
    <t>Resultatenrekening</t>
  </si>
  <si>
    <t>Prognose</t>
  </si>
  <si>
    <t>*prognose liquide middelen: DCF Methode (pagina 19)</t>
  </si>
  <si>
    <t>Financiële analyse</t>
  </si>
  <si>
    <t>Fiananciële analyse</t>
  </si>
  <si>
    <t>Vaststelling van de basishypothesen</t>
  </si>
  <si>
    <t>WACC</t>
  </si>
  <si>
    <t>Sensitiviteitsanalyse</t>
  </si>
  <si>
    <t>Gemiddeld bedrijfseconomisch resultaat</t>
  </si>
  <si>
    <t>Uitebreide cashflow</t>
  </si>
  <si>
    <t>Berekening gemiddelde belastingvoet</t>
  </si>
  <si>
    <t>Waarderingsmethoden</t>
  </si>
  <si>
    <t>Eigen vermogenswaarde en substantiële waarde</t>
  </si>
  <si>
    <t>Algemene rendementswaarde</t>
  </si>
  <si>
    <t>EBITDA</t>
  </si>
  <si>
    <t>Kasstromentabel en Discounted free cash flow</t>
  </si>
  <si>
    <t>Economic value added</t>
  </si>
  <si>
    <t>Standaardmethode</t>
  </si>
  <si>
    <t>Overwinstmethode</t>
  </si>
  <si>
    <t>Goodwillmethode</t>
  </si>
  <si>
    <t>Standaardratio's</t>
  </si>
  <si>
    <t>Alternatieve waarderingsmethodes</t>
  </si>
  <si>
    <t>Overzicht waarderingsmethoden en conlusie</t>
  </si>
  <si>
    <t>Indentificatie vennootschap</t>
  </si>
  <si>
    <t>Ondernemingsnummer:</t>
  </si>
  <si>
    <t>RPR-rechtgebied:</t>
  </si>
  <si>
    <t>Aandeelhouders</t>
  </si>
  <si>
    <t xml:space="preserve">Nr. </t>
  </si>
  <si>
    <t>Identiteit</t>
  </si>
  <si>
    <t>Aantal aandelen</t>
  </si>
  <si>
    <t>%</t>
  </si>
  <si>
    <t>Stemrecht</t>
  </si>
  <si>
    <t>Aantal</t>
  </si>
  <si>
    <t>TOTAAL</t>
  </si>
  <si>
    <t>Bestuursorgaan</t>
  </si>
  <si>
    <t>begin</t>
  </si>
  <si>
    <t>einde</t>
  </si>
  <si>
    <t>Functie</t>
  </si>
  <si>
    <t>mandaat</t>
  </si>
  <si>
    <t>Bedrijfsactiviteiten</t>
  </si>
  <si>
    <t>De vennootschap heeft de volgende activiteiten</t>
  </si>
  <si>
    <t>Activa</t>
  </si>
  <si>
    <t>Codes</t>
  </si>
  <si>
    <t>A.I</t>
  </si>
  <si>
    <t>Oprichtingskosten</t>
  </si>
  <si>
    <t>A.II</t>
  </si>
  <si>
    <t>Immateriële vaste activa</t>
  </si>
  <si>
    <t>A.III.</t>
  </si>
  <si>
    <t>Materiële vaste activa</t>
  </si>
  <si>
    <t>22/27</t>
  </si>
  <si>
    <t>A.</t>
  </si>
  <si>
    <t>Terreinen en gebouwen</t>
  </si>
  <si>
    <t>B.</t>
  </si>
  <si>
    <t>Installaties, machines en uitrusting</t>
  </si>
  <si>
    <t>C.</t>
  </si>
  <si>
    <t>Meulibair en rollend materieel</t>
  </si>
  <si>
    <t>D.</t>
  </si>
  <si>
    <t>Leasing en soortgelijke rechten</t>
  </si>
  <si>
    <t>E.</t>
  </si>
  <si>
    <t>Andere Financiële vaste activa</t>
  </si>
  <si>
    <t>F.</t>
  </si>
  <si>
    <t>Activa in aanbouw</t>
  </si>
  <si>
    <t>A.IV.</t>
  </si>
  <si>
    <t>Financiële vaste activa</t>
  </si>
  <si>
    <t>verbonden ondernemingen</t>
  </si>
  <si>
    <t>Ondernemingen deelnemingsverhouding</t>
  </si>
  <si>
    <t>Andere financiële vaste activa</t>
  </si>
  <si>
    <t xml:space="preserve">A.V. </t>
  </si>
  <si>
    <t>Vorderingen op meer dan 1 jaar</t>
  </si>
  <si>
    <t>Handelsvorderingen</t>
  </si>
  <si>
    <t>Overige vorderingen</t>
  </si>
  <si>
    <t>A.VI.</t>
  </si>
  <si>
    <t>Voorraden en bestelingen in uitvoering</t>
  </si>
  <si>
    <t>Voorraden</t>
  </si>
  <si>
    <t>30/36</t>
  </si>
  <si>
    <t>Bestellingen in uitvoering</t>
  </si>
  <si>
    <t>A.VII.</t>
  </si>
  <si>
    <t>Vorderingen op ten hoogste 1 jaar</t>
  </si>
  <si>
    <t>40/41</t>
  </si>
  <si>
    <t>A.VIII.</t>
  </si>
  <si>
    <t>Geldbeleggingen</t>
  </si>
  <si>
    <t>50/53</t>
  </si>
  <si>
    <t xml:space="preserve">A.IX. </t>
  </si>
  <si>
    <t>Liquide middelen</t>
  </si>
  <si>
    <t>54/58</t>
  </si>
  <si>
    <t>A.X.</t>
  </si>
  <si>
    <t>Overlopende rekeningen</t>
  </si>
  <si>
    <t>490/1</t>
  </si>
  <si>
    <t>Totale Activa</t>
  </si>
  <si>
    <t>Passiva</t>
  </si>
  <si>
    <t>-</t>
  </si>
  <si>
    <t xml:space="preserve">P.I. </t>
  </si>
  <si>
    <t>Kapitaal</t>
  </si>
  <si>
    <t>Geplaatst kapitaal</t>
  </si>
  <si>
    <t>Niet-opgevraagd kapitaal (-)</t>
  </si>
  <si>
    <t>P.II.</t>
  </si>
  <si>
    <t>Uitgiftepremies</t>
  </si>
  <si>
    <t>P.III.</t>
  </si>
  <si>
    <t>Herwaarderingsmeerwaarden</t>
  </si>
  <si>
    <t>P.IV.</t>
  </si>
  <si>
    <t>Reserves</t>
  </si>
  <si>
    <t>1.</t>
  </si>
  <si>
    <t>Wettelijke reserve</t>
  </si>
  <si>
    <t>2.</t>
  </si>
  <si>
    <t>Onbeschikbare reserve</t>
  </si>
  <si>
    <t>3.</t>
  </si>
  <si>
    <t>Belastingvrije reserve</t>
  </si>
  <si>
    <t>4.</t>
  </si>
  <si>
    <t>Beschikbare reserve</t>
  </si>
  <si>
    <t>P.V.</t>
  </si>
  <si>
    <t>Overgedragen resultaat</t>
  </si>
  <si>
    <t>P.VI.</t>
  </si>
  <si>
    <t>Kapitaalsubsidies</t>
  </si>
  <si>
    <t>P.VII.A</t>
  </si>
  <si>
    <t>Voorzieningen voor risico's en kosten</t>
  </si>
  <si>
    <t>160/5</t>
  </si>
  <si>
    <t>P.VII.B</t>
  </si>
  <si>
    <t>Uitgestelde belastingen</t>
  </si>
  <si>
    <t>P.VIII.</t>
  </si>
  <si>
    <t>Schulden op meer dan 1 jaar</t>
  </si>
  <si>
    <t>Financiële schulden</t>
  </si>
  <si>
    <t>170/4</t>
  </si>
  <si>
    <t>Handelsschulden</t>
  </si>
  <si>
    <t>Ontvangen vooruitbetalingen op bestel.</t>
  </si>
  <si>
    <t>Overige schulden</t>
  </si>
  <si>
    <t>P.IX.</t>
  </si>
  <si>
    <t>Schulden op ten hoogste 1 jaar</t>
  </si>
  <si>
    <t>42/48</t>
  </si>
  <si>
    <t>Schulden op meer dan 1j  , verval &lt; 1j.</t>
  </si>
  <si>
    <t xml:space="preserve">Schulden mbt belastingen &amp; bezoldig. </t>
  </si>
  <si>
    <t>P.X.</t>
  </si>
  <si>
    <t>492/3</t>
  </si>
  <si>
    <t>CONTROLE ACTIEF + PASSIEF</t>
  </si>
  <si>
    <t>Bedrijfsopbrengsten</t>
  </si>
  <si>
    <t>70/74</t>
  </si>
  <si>
    <t>Omzet</t>
  </si>
  <si>
    <t>Voorraadwijziging bestel. In uitvoering</t>
  </si>
  <si>
    <t>Geproduceerde activa</t>
  </si>
  <si>
    <t>Andere bedrijfsopbrengsten</t>
  </si>
  <si>
    <t>Bedrijfskosten</t>
  </si>
  <si>
    <t>60/64</t>
  </si>
  <si>
    <t>Handelsgoederen, grond-hulpstoffen</t>
  </si>
  <si>
    <t>Diensten en diverse goederen</t>
  </si>
  <si>
    <t>Bezoldigingen en sociale lasten</t>
  </si>
  <si>
    <t>Afschrijvingen en waardeverminderingen</t>
  </si>
  <si>
    <t>waardeverminderingen</t>
  </si>
  <si>
    <t>631/4</t>
  </si>
  <si>
    <t>635/7</t>
  </si>
  <si>
    <t>G.</t>
  </si>
  <si>
    <t>Andere bedrijfskosten</t>
  </si>
  <si>
    <t>640/8</t>
  </si>
  <si>
    <t>H.</t>
  </si>
  <si>
    <t>Herstructureringskosten (-)</t>
  </si>
  <si>
    <t>Bedrijfswinst</t>
  </si>
  <si>
    <t>Financiële opbrengsten</t>
  </si>
  <si>
    <t>Opbrengsten uit financiële vaste activa</t>
  </si>
  <si>
    <t>Opbrengsten uit vlottende activa</t>
  </si>
  <si>
    <t>Andere financiële opbrengsten</t>
  </si>
  <si>
    <t>752/9</t>
  </si>
  <si>
    <t>Financiële kosten</t>
  </si>
  <si>
    <t>Kosten van schulden</t>
  </si>
  <si>
    <t>Waardevermindering op vlot. Activa</t>
  </si>
  <si>
    <t>Andere financiële kosten</t>
  </si>
  <si>
    <t>652/9</t>
  </si>
  <si>
    <t>Winst (verlies) van het boekjaar voor belasting</t>
  </si>
  <si>
    <t>Niet-recurrent resultaat</t>
  </si>
  <si>
    <t>Niet-recurrente opbrengsten</t>
  </si>
  <si>
    <t>Niet-recurrente kosten</t>
  </si>
  <si>
    <t>68/78</t>
  </si>
  <si>
    <t>belastingen op het resultaat</t>
  </si>
  <si>
    <t>67/77</t>
  </si>
  <si>
    <t>Winst (verlies) van het boekjaar</t>
  </si>
  <si>
    <t>Belastingvrije reserves</t>
  </si>
  <si>
    <t>onttrekking</t>
  </si>
  <si>
    <t>overboeking</t>
  </si>
  <si>
    <t>Te bestemmen winst (verlies) van het boekjaar</t>
  </si>
  <si>
    <t>Prognose balans en resultatenrekening</t>
  </si>
  <si>
    <t>Totale Passiva</t>
  </si>
  <si>
    <t>Toelichting Prognose</t>
  </si>
  <si>
    <t xml:space="preserve">G. </t>
  </si>
  <si>
    <t>Over welke jaren gaat het</t>
  </si>
  <si>
    <t>X-3</t>
  </si>
  <si>
    <t>X-2</t>
  </si>
  <si>
    <t>X-1</t>
  </si>
  <si>
    <t>X</t>
  </si>
  <si>
    <t>X+1</t>
  </si>
  <si>
    <t>X+2</t>
  </si>
  <si>
    <t>X+3</t>
  </si>
  <si>
    <t>Waarderingscontext</t>
  </si>
  <si>
    <t>Vastleggen van de vijf essentiële variabelen</t>
  </si>
  <si>
    <t>1. Rentevoet</t>
  </si>
  <si>
    <t>Om de toekomstige opbrengsten te actualiseren zal de risicovrije rentevoet gebruikt worden.</t>
  </si>
  <si>
    <t xml:space="preserve">De risicovrije rentevoet wordt gerelateerd aan de laatste uitgifte van de lineaire obligatielening, </t>
  </si>
  <si>
    <t>risicovrije percentage de OLO op 7 jaar genomen. Deze periode stemt overeen met de maximale</t>
  </si>
  <si>
    <t>toegelaten financieringstermijn door de kredietinstellingen</t>
  </si>
  <si>
    <t>Risicovrijpercentage (rendement op de OLO op 7 jaar) - (bron: De Tijd)</t>
  </si>
  <si>
    <t>2. Risicopremie</t>
  </si>
  <si>
    <t>2.a Algemene risico's:</t>
  </si>
  <si>
    <t xml:space="preserve"> (overmacht)</t>
  </si>
  <si>
    <t>2.b. marktrisico:</t>
  </si>
  <si>
    <t>Dit is het risico dat verzoorzaakt wordt door factoren die een invloed zullen hebben op de resultaten van de onderneming. (Intrestvoeten, inflatiepercentage, wisselkoersen, concurrentie, … )</t>
  </si>
  <si>
    <t>2.c. ondernemingsgebonden risico's</t>
  </si>
  <si>
    <t>risico's in verband met de vestigingsplaats, vergunningen, …</t>
  </si>
  <si>
    <t xml:space="preserve">De risicopremie ontstaat uit het verschil tussen het gemiddelde rendement op de aandelenmarkt en het risicovrije rendement. Ze stelt het verwachte marktrendement voor bovenop een risicovrije belegging en wordt berekend door het verschil tussen de marktrente en de risicovrije rente. </t>
  </si>
  <si>
    <t xml:space="preserve">Als marktrisico wordt de gemiddelde EURIBOR op 12 maanden van de voorbije 7 jaar berekend. </t>
  </si>
  <si>
    <t>Marktrisico (gemiddelde Euribor 7 jaar) - (bron: De Tijd)</t>
  </si>
  <si>
    <t>http://www.tijd.be/beurzen/Euribor_12_months.190118380</t>
  </si>
  <si>
    <t>Risicopremie</t>
  </si>
  <si>
    <t>Risicovrije rentevoet (OLO 7j)</t>
  </si>
  <si>
    <t>a</t>
  </si>
  <si>
    <t>Marktrente</t>
  </si>
  <si>
    <t>b</t>
  </si>
  <si>
    <t>Illiquiditeitstoeslag</t>
  </si>
  <si>
    <t>c</t>
  </si>
  <si>
    <t>Extra toeslag kleine onderneming</t>
  </si>
  <si>
    <t>d</t>
  </si>
  <si>
    <t>Risicopremie: b - a + c + d:</t>
  </si>
  <si>
    <t>3. Kost van het eigen vermogen</t>
  </si>
  <si>
    <t>De kost van het eigen vermogen wordt berekend aan de hand van het Capital Asset Pricing Model. Het CAPM is een model dat het vereiste rendement voor de aandeelhouder zal voorstellen. Het model stelt voor welk rendement de aandeelhouders zouden verkrijgen wanneer ze in gelijkaardige ondernemingen, met een gelijkaardig risico, zouden investeren. De kost van het eigen vermogen bestaat uit drie elementen. De risicovrije rentevoet, de risicopremie en de β-factor die de gevoeligheid van een aandeel ten opzichte van de markt weergeeft. De β-factor voor niet-beursgenoteerde ondenemingen wordt bepaald met gelijkaardige genoteerde ondernemingen.</t>
  </si>
  <si>
    <t>Kost eigen vermogen</t>
  </si>
  <si>
    <t xml:space="preserve">β-factor </t>
  </si>
  <si>
    <t xml:space="preserve">Kost EV: a + c x b = </t>
  </si>
  <si>
    <t>4. Risicoperiode</t>
  </si>
  <si>
    <t>De risicoperiode wordt vastgesteld op 7 jaar welke de periode voorstelt tijdens dewelke de overnemer de aankoopsom zal moeten terugverdienen of rentabiliseren.</t>
  </si>
  <si>
    <t>5. kapitaalkost (zie infra - WACC)</t>
  </si>
  <si>
    <t>De gewogen gemiddelde kapitaalkost stelt het rendement voor dat aandeelhouders eisen op hun investering. Dit zal overeenkomen met het verwachte rendement op het eigen vermogen bij interne financiering en met de netto-intrestvoet op financiële schulden bij externe financiering. De gewogen gemiddelde kapitaalkost wordt berekend aan de hand van volgende formule:</t>
  </si>
  <si>
    <t>WACC = (E/D+E) x Ceq  + (D/D+E) x (1-t) x Cd</t>
  </si>
  <si>
    <t>waarbij</t>
  </si>
  <si>
    <t>E = waarde eigen vermogen (zie boven)</t>
  </si>
  <si>
    <t>D = de waarde van het vreemd vermogen</t>
  </si>
  <si>
    <t>Ceq = de kost van het eigen vermogen (vereiste rendement aandeelhouders)</t>
  </si>
  <si>
    <t>Cd = kost van het vreemd vermogen (intrestvoet leningen)</t>
  </si>
  <si>
    <t>t = belastingvoet</t>
  </si>
  <si>
    <t>Kost eigen vermogen:</t>
  </si>
  <si>
    <t>Kost vreemd vermogen:</t>
  </si>
  <si>
    <t>Betaalde intresten:</t>
  </si>
  <si>
    <t>Openstaande financiële schulden:</t>
  </si>
  <si>
    <t>Gemiddelde intrestvoet:</t>
  </si>
  <si>
    <t>Gemiddeld belastingtarie:</t>
  </si>
  <si>
    <t xml:space="preserve">Kapitaalkost vv na belastingen: </t>
  </si>
  <si>
    <t>Verhouding EV/VV</t>
  </si>
  <si>
    <t>Huidige marktwaarde eigen vermogen:</t>
  </si>
  <si>
    <t>Substantiële waarde:</t>
  </si>
  <si>
    <t>Huidige verhouding EV aan marktwaarde / totaal vermogen:</t>
  </si>
  <si>
    <t>Substantiële waarde</t>
  </si>
  <si>
    <t>Totaal vermogen</t>
  </si>
  <si>
    <t>Normale verhouding EV aan marktwaarde / totaal vermogen</t>
  </si>
  <si>
    <t>Eigen vermogen</t>
  </si>
  <si>
    <t>Openstaande finananciële schulden</t>
  </si>
  <si>
    <t>WACC = EV/TV x kost EV + %VV/TV x kost VV na belastingen</t>
  </si>
  <si>
    <t>6. Gemiddelde belastingvoet</t>
  </si>
  <si>
    <t>Gemiddelde taxatievoet:</t>
  </si>
  <si>
    <t>Kapitaalkost</t>
  </si>
  <si>
    <t>Gemiddeld belastingtarief:</t>
  </si>
  <si>
    <r>
      <t xml:space="preserve">Deze waarderingstechtniek raamt de waarde op basis van de bestanddelen van de actief- en passiefbalans. Door per bestanddeel afstand te nemen van de boekwaarde en rekening te houden met de economische waarde kunnen er meer- en minderwaarden ontstaan. Door deze correcties bekomt men het </t>
    </r>
    <r>
      <rPr>
        <b/>
        <u/>
        <sz val="11"/>
        <color theme="1"/>
        <rFont val="Calibri"/>
        <family val="2"/>
        <scheme val="minor"/>
      </rPr>
      <t xml:space="preserve">gecorrigeerd eigen vermogen. </t>
    </r>
  </si>
  <si>
    <t>Vermogensgerichte benadering</t>
  </si>
  <si>
    <t>Rubriek</t>
  </si>
  <si>
    <t>Omschrijving</t>
  </si>
  <si>
    <t>Aanschaffings-</t>
  </si>
  <si>
    <t>Boekwaarde</t>
  </si>
  <si>
    <t>intrinsieke</t>
  </si>
  <si>
    <t>meer of min-</t>
  </si>
  <si>
    <t xml:space="preserve">latente </t>
  </si>
  <si>
    <t xml:space="preserve">weerhouden </t>
  </si>
  <si>
    <t>waarde</t>
  </si>
  <si>
    <t>derwaarde</t>
  </si>
  <si>
    <t>belasting</t>
  </si>
  <si>
    <t>A.III.A</t>
  </si>
  <si>
    <t>A.III.B</t>
  </si>
  <si>
    <t>A.III.C</t>
  </si>
  <si>
    <t>A.III.D</t>
  </si>
  <si>
    <t>A.III.E</t>
  </si>
  <si>
    <t>Overige materiële vaste activa</t>
  </si>
  <si>
    <t>A.IV.C</t>
  </si>
  <si>
    <t>A.V.A</t>
  </si>
  <si>
    <t>A.VI.A</t>
  </si>
  <si>
    <t>A.VII.A</t>
  </si>
  <si>
    <t>A.VII.B</t>
  </si>
  <si>
    <t>A.IX.</t>
  </si>
  <si>
    <t>Geldbeleggingen en Liquide middelen</t>
  </si>
  <si>
    <t>Overlopend aktief</t>
  </si>
  <si>
    <t>TOTAAL GECORRIGEERD ACTIEF</t>
  </si>
  <si>
    <t>P.VIII.A</t>
  </si>
  <si>
    <t>P.IX.A</t>
  </si>
  <si>
    <t>LT financiële schulden minder 1jaar</t>
  </si>
  <si>
    <t>P.IX.B</t>
  </si>
  <si>
    <t>P.IX.C</t>
  </si>
  <si>
    <t>P.IX.E1</t>
  </si>
  <si>
    <t>Te betalen belastingen, lonen en wedden</t>
  </si>
  <si>
    <t>P.IX.F</t>
  </si>
  <si>
    <t>TOTAAL VREEMD VERMOGEN</t>
  </si>
  <si>
    <t>TOTAAL GECORRIGEERD EIGEN VERMOGEN</t>
  </si>
  <si>
    <t>Uiteenzetting</t>
  </si>
  <si>
    <t>gecorrigeerde bestanddelen</t>
  </si>
  <si>
    <t xml:space="preserve">Door deze correcties ramen wij de substantiële waarde op </t>
  </si>
  <si>
    <t>EURO</t>
  </si>
  <si>
    <t>1. Uiteenzetting</t>
  </si>
  <si>
    <t>2. Berekening</t>
  </si>
  <si>
    <t>Overige correcties</t>
  </si>
  <si>
    <t>- Opbrengsten uit financiële vaste activa</t>
  </si>
  <si>
    <t>- Opbrengsten uit vlottende activa</t>
  </si>
  <si>
    <t>- Andere financiële opbrengsten</t>
  </si>
  <si>
    <t>+ Kosten van schulden</t>
  </si>
  <si>
    <t>+ Waardeverminderingen op vlottende activa</t>
  </si>
  <si>
    <t>+ Andere financiële kosten</t>
  </si>
  <si>
    <t>= EBIT</t>
  </si>
  <si>
    <t>+ afschrijvingen en waardeverminderingen op IVA/MVA</t>
  </si>
  <si>
    <t>+ waardeverminderingen op voorraden en vorderingen</t>
  </si>
  <si>
    <t>Totaal</t>
  </si>
  <si>
    <t>Wegingscoëfficiënt</t>
  </si>
  <si>
    <t>Gewogen EBITDA</t>
  </si>
  <si>
    <t xml:space="preserve">Waarde onderneming = </t>
  </si>
  <si>
    <t>Multiple</t>
  </si>
  <si>
    <t>x</t>
  </si>
  <si>
    <t>- financiële schulden LT</t>
  </si>
  <si>
    <t>- financiële schulden KT</t>
  </si>
  <si>
    <t>+ liquide middelen</t>
  </si>
  <si>
    <t>+ geldbeleggingen</t>
  </si>
  <si>
    <t>Marktwaarde EV</t>
  </si>
  <si>
    <t>Rendementswaarde</t>
  </si>
  <si>
    <t>Stapsgewijze berekening en uiteenzetting</t>
  </si>
  <si>
    <t xml:space="preserve">Door het resultaat van verschillende opeenvolgende boekjaren naast elkaar te plaatsen bekomt met een gemiddelde genormaliseerde winst. Deze winst dient gecorrigeerd te worden indien deze afwijkt van de normale bedrijfsexploitatie. Door uit deze winst de uitzonderlijke- kosten en opbrengsten te halen en de bijbehorende belastinglatenties, bekomt men het resultaat van de normale bedrijfsexploitatie. </t>
  </si>
  <si>
    <t>1.1.1 Bepalen van het genormaliseerd resultaat</t>
  </si>
  <si>
    <t>Winst voor belastingen</t>
  </si>
  <si>
    <t>Uitzonderlijke kosten en opbrengsten</t>
  </si>
  <si>
    <t xml:space="preserve">overige correcties*: </t>
  </si>
  <si>
    <t>Gecorrigeerd resultaat voor belastingen</t>
  </si>
  <si>
    <t>normale belastingen</t>
  </si>
  <si>
    <t>genormaliseerde winst op jaarbasis</t>
  </si>
  <si>
    <t>Overige correcties:</t>
  </si>
  <si>
    <t>Gebaseerd op de wettelijke barema's is de totale teogekende vergoeding aan de zaakvoerder onderschat. Deze onderschatting</t>
  </si>
  <si>
    <t xml:space="preserve">compenseren wij door het resultaat te verminderen met 6.000 euro.  </t>
  </si>
  <si>
    <t>1.1.2 Bepalen van het verwachte gewogen gemiddeld rendement</t>
  </si>
  <si>
    <t>Genormaliseerde winst</t>
  </si>
  <si>
    <t>Wegingsfactor</t>
  </si>
  <si>
    <t>GEWOGEN GEMIDDELDE RENDEMENT</t>
  </si>
  <si>
    <t>1.1.3. Bepalen van de rendementseis</t>
  </si>
  <si>
    <t>Vooropgesteld rendement (WACC)</t>
  </si>
  <si>
    <t>1.1.4. Bepalen van solvabiliteitsoverschot (+) /tekort (-)</t>
  </si>
  <si>
    <t>Genormaliseerd balanstotaal</t>
  </si>
  <si>
    <t>Solvabiliteitseis</t>
  </si>
  <si>
    <t>Vereist vermogen</t>
  </si>
  <si>
    <t>Gecorrigeerd eigen vermogen</t>
  </si>
  <si>
    <t>Solvabiliteits- overschot (+) tekort (-)</t>
  </si>
  <si>
    <t>1.1.5 Bepalen van rendementswaarde</t>
  </si>
  <si>
    <t>oneindig</t>
  </si>
  <si>
    <t>7 jaar</t>
  </si>
  <si>
    <t>Gewogen gemiddelde rendement</t>
  </si>
  <si>
    <t>Rendementseis</t>
  </si>
  <si>
    <t>Actualisatiefactor volgens looptijd</t>
  </si>
  <si>
    <t>vereist eigen vermogen</t>
  </si>
  <si>
    <t xml:space="preserve">Discontovoet bij vooropgesteld rendement </t>
  </si>
  <si>
    <t>Geactualiseerd eigen vermogen ( C )</t>
  </si>
  <si>
    <t>TOTALE RENDEMENTSWAARDE ( A ) + ( B ) + ( C )</t>
  </si>
  <si>
    <t xml:space="preserve">Teneinde het gewoon gemiddelde verwachte toekomstig rendement op een waarde naar vandaag te herleiden, dient dit toekomstig rendement geactualiseerd te worden. Voor het bepalen van de duurtijd van het rendement, kunnen twee zienswijzen weerhouden worden: ofwel opteert men voor een perpetuïteit (= eeuwigdurend) , ofwel opteert men voor een beperkte duurtijd. Bij de methode van een beperkte duurtijd hebben we een periode van 7 jaar weerhouden. Bij die methode dient dan wel het geactualiseerd eigen vermogen bij de bekomen rendementswaarde toegevoegd te worden. Tenslotte wensen we op te merken dat we bij een waardering  normaal moeten uitgaan van een gezonde balansstructuur. Om die reden wordt een solvabiliteitseis vanaf 30 % als veilig beschouwd. De liquide middelen die boven de 30% uitstijgen worden als solvabiliteitsoverschot beschouwd en mogen toegevoegd worden aan de bekomen waarde. Mutatis mutandis kan gesteld worden dat als de solvabiliteitsratio sterk onder de 25% zit , de financiële structuur onveilig is , wat erop neerkomt dat op dat moment van de aandeelhouders er een bijkomende inspanning gevraagd kan worden om de financiële structuur van de onderneming veilig te stellen. </t>
  </si>
  <si>
    <t>Kastromentabel + Discounted free cash flow</t>
  </si>
  <si>
    <t xml:space="preserve">De berekende waarde zal volgens deze methode bestaan uit de hudige waarde van de toekomstige kasstromen die ter beschikking zullen staan. De waarde wordt bepaald door de verdisconteerde waarde van alle toekomstige vrije kasstromen die de onderneming zal genereren. Deze berekening is pas volledig (vrije cashflow) indien men de investeringsuitgaven en de verhoging van het bedrijfskapitaal toevoegd, evenals het toekomstig vreemd vermogen. De vrije kasstroom zal dus rekening houden met de noodzaak dat een onderneming heeft om blijvende investeringen uit te voeren. </t>
  </si>
  <si>
    <t>Netto resultaat van het boekjaar</t>
  </si>
  <si>
    <t>+ Niet-Kaskosten</t>
  </si>
  <si>
    <t xml:space="preserve">Afschrijvingen, waardevermindering en voorz. </t>
  </si>
  <si>
    <t>- Niet-Kasopbrengsten</t>
  </si>
  <si>
    <t>Ontrekking aan uitgestelde belastingen</t>
  </si>
  <si>
    <t>Kapitaal- en intrestsubsidies in resultaat</t>
  </si>
  <si>
    <t>+ Betaalde intresten en kosten van schulden</t>
  </si>
  <si>
    <t>Kasstroom uit activiteit excl. balansverrichtingen</t>
  </si>
  <si>
    <t>Variatie bedrijfsactiva</t>
  </si>
  <si>
    <t>Vorderingen &lt; 1j</t>
  </si>
  <si>
    <t>Vorderingen &gt; 1j</t>
  </si>
  <si>
    <t>Overlopende rekeningen actief</t>
  </si>
  <si>
    <t>Variatie bedrijfspassiva</t>
  </si>
  <si>
    <t>Handelschulden &lt; 1j</t>
  </si>
  <si>
    <t>Ontvangen vooruitbetalingen</t>
  </si>
  <si>
    <t>Belastingen, bezoldigingen en sociale lasten</t>
  </si>
  <si>
    <t>Overlopende rekeningen passief</t>
  </si>
  <si>
    <t>Kasstroom uit activiteiten incl. balansverrichtingen</t>
  </si>
  <si>
    <t>Investeringsactiviteiten</t>
  </si>
  <si>
    <t>Verwerving activa</t>
  </si>
  <si>
    <t>boekwaarde oprichtingskosten</t>
  </si>
  <si>
    <t>boekwaarde immateriële vaste activa</t>
  </si>
  <si>
    <t>boekwaarde materiële vaste activa</t>
  </si>
  <si>
    <t>Afschrijvingen</t>
  </si>
  <si>
    <t>Boekwaarde financiële vaste activa</t>
  </si>
  <si>
    <t>Waardevermindering financiële vaste activa</t>
  </si>
  <si>
    <t>Verkoop activa</t>
  </si>
  <si>
    <t>Kasstroom uit investeringsactiviteit</t>
  </si>
  <si>
    <t>Vrije kasstroom</t>
  </si>
  <si>
    <t>Financieringsactiviteiten</t>
  </si>
  <si>
    <t>Daling/stijging financiële schulden &gt; 1j</t>
  </si>
  <si>
    <t>Daling/stijging financiële schulden &lt; 1j</t>
  </si>
  <si>
    <t>Kapitaalverhoging/vermindering</t>
  </si>
  <si>
    <t>Uitgekeerde dividenden</t>
  </si>
  <si>
    <t>Uitgekeerde tantièmes</t>
  </si>
  <si>
    <t>Ingekochte eigen aandelen</t>
  </si>
  <si>
    <t>Betaalde intresten en kosten van schulden</t>
  </si>
  <si>
    <t>Andere</t>
  </si>
  <si>
    <t>Kastroom uit financieringsactiviteiten</t>
  </si>
  <si>
    <t>Totale kasstroom</t>
  </si>
  <si>
    <t>Liquide middelen begin boekjaar</t>
  </si>
  <si>
    <t>Liquide middelen einde boekjaar</t>
  </si>
  <si>
    <t>Vrije cashflow</t>
  </si>
  <si>
    <t>Huidige waarde vrije cashflow</t>
  </si>
  <si>
    <t>Berekening waarde per aandeel</t>
  </si>
  <si>
    <t>huidige waarde vrije cashflow prognoseperiode</t>
  </si>
  <si>
    <t>huidige waarde perpetuele cashflow</t>
  </si>
  <si>
    <t>Waarde van de onderneming:</t>
  </si>
  <si>
    <t>Sensiviteitsanalyse</t>
  </si>
  <si>
    <t xml:space="preserve">Om de invloed van de belangrijkste paratmeters op de uitkomst van de kapitaalkost (WACC) na te gaan dient deze sensitiviteitsanalyse. Het geeft de range van de minimum en maximum verhouding bij veranderlijke bèta, tussen de openstaande financiële schulden en het totaal vermogen en tussen het eigen vermogen en het totaalvermogen. </t>
  </si>
  <si>
    <t>Beta &amp; Risicopremie</t>
  </si>
  <si>
    <t>Beta:</t>
  </si>
  <si>
    <t>Risicopremie:</t>
  </si>
  <si>
    <t>Beta</t>
  </si>
  <si>
    <t>Verhouding EV aan marktwaarde/totaal vermogen</t>
  </si>
  <si>
    <t>Eigen vermogen in %</t>
  </si>
  <si>
    <t>Openstaande financiële schulden in %</t>
  </si>
  <si>
    <t>Openstaande financiële schulden in verhouding met EV</t>
  </si>
  <si>
    <t>Eigen vermogen in verhouding met totaal vermogen</t>
  </si>
  <si>
    <t xml:space="preserve">De 2 belangrijkste parameters van de EVA-methode zijn return on investerd capital (ROIC) en de weighted average cost of capital (WACC). Aan de hand van deze twee parameters wordt voorgesteld hoeveel waarde een geïnvesteerd bedrag in een onderneming zal creëren. Om waarde te creëren dient het ROIC hoger te zijn dan de kost van het kapitaal. </t>
  </si>
  <si>
    <t>Overige correcties (onderschatting loon - zie supra)</t>
  </si>
  <si>
    <t>Berekening impliciete belastingvoet</t>
  </si>
  <si>
    <t>Vennootschapsbelasting</t>
  </si>
  <si>
    <t>Impliciete belastingvoet</t>
  </si>
  <si>
    <t>+ belastingen op beltaalde intresten</t>
  </si>
  <si>
    <t>- belastingen op ontvangen intresten</t>
  </si>
  <si>
    <t>+ belastingen op uitzonderlijke kosten</t>
  </si>
  <si>
    <t>- belastingen op uitzonderlijke opbrengsten</t>
  </si>
  <si>
    <t>- / + uitgestelde belastingen</t>
  </si>
  <si>
    <t>Vennb toerekenbaar aan EBIT</t>
  </si>
  <si>
    <t>EBIT</t>
  </si>
  <si>
    <t>- operationele belastingen</t>
  </si>
  <si>
    <t>= netto operationele winst na belastingen (NOPAT)</t>
  </si>
  <si>
    <t>groeipercentage</t>
  </si>
  <si>
    <t>+ rentedragend vreemd vermogend</t>
  </si>
  <si>
    <t>- cashoverschotten (liq. Middelen + beleggingen)</t>
  </si>
  <si>
    <t>Geïnvesteerd eigen vermogen</t>
  </si>
  <si>
    <t>WACC:</t>
  </si>
  <si>
    <t>ROIC (=NOPAT/geïnvesteerd eigen vermogen)</t>
  </si>
  <si>
    <t>EVA (ROIC - WACC) x geïnvesteerd kapitaal)</t>
  </si>
  <si>
    <t>Huidige waarde EVA</t>
  </si>
  <si>
    <t>Waardebepaling</t>
  </si>
  <si>
    <t>Huidige waarde EVA prognoseperiode</t>
  </si>
  <si>
    <t>Huidige waarde perpetuele EVA</t>
  </si>
  <si>
    <t>Aantal uitstaande aandelen</t>
  </si>
  <si>
    <t>Waarde per aandeel</t>
  </si>
  <si>
    <t>Waarde van de onderneming = substantiële waarde + (de gemiddelde winst x aantal jaar gemiddelde winst)</t>
  </si>
  <si>
    <t xml:space="preserve">Waarde van de onderneming = substantiële waarde + (de gemiddelde winst x aantal jaar gemiddelde winst). Deze methode sluit nauw aan bij de economische logica waarbij de substantiële waarde vermeerderd wordt met de gemiddelde winst van de voorgaande jaren. Door een actualisatiefactor die rekening houdt met de temrijn en de intrestvoet, houdt men rekening met de actuele waarde van de toekomstige opbrengsten. </t>
  </si>
  <si>
    <t>Sustantiële waarde:</t>
  </si>
  <si>
    <t>Gemiddelde winst:</t>
  </si>
  <si>
    <t>aantal jaren gemiddelde winst (n):</t>
  </si>
  <si>
    <t>actualisatie tegen rentevoet</t>
  </si>
  <si>
    <t xml:space="preserve">Waarde van de onderneming: </t>
  </si>
  <si>
    <t>Overwinstmethode (excess earnings methode)</t>
  </si>
  <si>
    <t>Waarde van de onderneming = substantiële waarde + Overwinst</t>
  </si>
  <si>
    <t>Waarde van de onderneming = substantiële waarde + Overwinst. Deze methode vermeerderd de substantiële waarde met de gekapitaliseerde overwinst. Deze overwinst ontstaat uit het verschil tussen de jaarlijkse bedrijfseconomische winst en de vergoeding aan een normaal percentage van de substantiële waarde zonder overwinst, berekend uitgaande het gewogen genormaliseerd resultaat.</t>
  </si>
  <si>
    <t>+ genormaliseerde winst na belastingen</t>
  </si>
  <si>
    <t>- substantiële waarde zonder goodwill</t>
  </si>
  <si>
    <t>x intrestvoet risicoloze belegging</t>
  </si>
  <si>
    <t>Alternatieve methodes</t>
  </si>
  <si>
    <t>Methode</t>
  </si>
  <si>
    <t>Waarde</t>
  </si>
  <si>
    <t>wegingsfactor</t>
  </si>
  <si>
    <t>Gewogen waarde</t>
  </si>
  <si>
    <t>1. Gemiddelde methode (Schmalenbach)</t>
  </si>
  <si>
    <t>Gewogen gemiddelde alternatieve methodes:</t>
  </si>
  <si>
    <t>Detail berekening</t>
  </si>
  <si>
    <t>Deze methode neemt het gemiddelde van de substantiële waarde en de rendementswaarde.</t>
  </si>
  <si>
    <t>Waarde van de onderneming</t>
  </si>
  <si>
    <t>2. Retailmethode</t>
  </si>
  <si>
    <t>Deze methode vindt zijn fundamenten in de gemiddelde methode (zie supra) maar maakt gebruik van een niet-gedwongen liquidatiewaarde van 75% van de substantiële waarde</t>
  </si>
  <si>
    <t>Liquidatiewaarde = substantieel x 75%</t>
  </si>
  <si>
    <t>3. Berliner methode</t>
  </si>
  <si>
    <t>Deze methode bepaalt de rendementswaarde door de  winst te kapitaliseren aan 5,5%.</t>
  </si>
  <si>
    <t>Gemiddelde netto-winst</t>
  </si>
  <si>
    <t>kapitalisatie aan rentevoet van:</t>
  </si>
  <si>
    <t>4. Bush Methode</t>
  </si>
  <si>
    <t>Deze methode is gelijkaardig aan de gemiddelde methode maar zal twee keer zoveel belang toekennen aan de rendemetswaarde.</t>
  </si>
  <si>
    <t>5. Barnay &amp; Calba methode</t>
  </si>
  <si>
    <t>Wegingscoëfficient substantiële waarde</t>
  </si>
  <si>
    <t>Wegingscoëfficient rendementswaarde</t>
  </si>
  <si>
    <t>6. Peumansmethode</t>
  </si>
  <si>
    <t xml:space="preserve">Deze methode berekent men de bruto substantiële waarde en de bruto rendementswaarde. </t>
  </si>
  <si>
    <t>Gemiddelde taxatievoet</t>
  </si>
  <si>
    <t>Brutosubstantële waarde:</t>
  </si>
  <si>
    <t>Brutorendementswaarde:</t>
  </si>
  <si>
    <t>Vreemd vermogen op lange termijn:</t>
  </si>
  <si>
    <t>7. U.E.C. Methode</t>
  </si>
  <si>
    <t>De Union Européenne des Experts Comptables-methode zal uitgaan van een bruto-overwinst die berekend wordt door de financiële lasten van het vreemd vermogen bij de jaarlijkse gemiddelde winst te tellen en vervolgens te vermeerderen met de bruto subtstantiële waarde .</t>
  </si>
  <si>
    <t>gemiddelde winst:</t>
  </si>
  <si>
    <t>gemiddelde fin. Lasten:</t>
  </si>
  <si>
    <t>Bruto-overwinst:</t>
  </si>
  <si>
    <t>Aantal jaren prognose:</t>
  </si>
  <si>
    <t>6. Gemiddelde overwinstmethode</t>
  </si>
  <si>
    <t xml:space="preserve">De Gemiddelde overwinst-methode voegt de helft van de toekomstige verwachte overwinst toe aan de substantiële waarde. </t>
  </si>
  <si>
    <t>Overzicht waarderingsmethoden</t>
  </si>
  <si>
    <t xml:space="preserve">Benadering op basis van de gehele structuur van de onderneming: </t>
  </si>
  <si>
    <t>Algemene formule</t>
  </si>
  <si>
    <t>Wegings -factor</t>
  </si>
  <si>
    <t>Gewogen gemiddelde</t>
  </si>
  <si>
    <t>Eigen vermogenswaarde</t>
  </si>
  <si>
    <t>Substantiële waarde (excl. goodwill)</t>
  </si>
  <si>
    <t>Inkomensgerichte benadering</t>
  </si>
  <si>
    <t>Algemene methode (beperkt)</t>
  </si>
  <si>
    <t>Zuivere methode (onbeperkt)</t>
  </si>
  <si>
    <t>EBITDA-waarde</t>
  </si>
  <si>
    <t>Kasstroommethode (DCF)</t>
  </si>
  <si>
    <t>EVA-methode</t>
  </si>
  <si>
    <t>Hybride methodes</t>
  </si>
  <si>
    <t>Alternatieve methodes (x5)</t>
  </si>
  <si>
    <t>Gewogen gemiddelde waarde van de onderneming:</t>
  </si>
  <si>
    <t>Gewogen gemiddelde waarde van de onderneming 2/2:</t>
  </si>
  <si>
    <t xml:space="preserve">Benadering op basis van de waardering van ENKEL de portefuille: </t>
  </si>
  <si>
    <t>Omzet per:</t>
  </si>
  <si>
    <t>30/09/2017:</t>
  </si>
  <si>
    <t>30/09/2018:</t>
  </si>
  <si>
    <t>30/09/2019:</t>
  </si>
  <si>
    <t>30/09/2020:</t>
  </si>
  <si>
    <t>30/09/2021:</t>
  </si>
  <si>
    <t>30/09/2022:</t>
  </si>
  <si>
    <t xml:space="preserve">Gemiddelde recuurente omzet + groeifactor 20%: </t>
  </si>
  <si>
    <t>Multiple eigen aan de sector:</t>
  </si>
  <si>
    <t>Verkoopwaarde van de portfeuille:</t>
  </si>
  <si>
    <t>https://www.tijd.be/markten-live/aandelen/olo7jaar.510138578.html</t>
  </si>
  <si>
    <t>per 30/06/2025</t>
  </si>
  <si>
    <t>Opriichting</t>
  </si>
  <si>
    <t>A</t>
  </si>
  <si>
    <t>B</t>
  </si>
  <si>
    <t>fractie</t>
  </si>
  <si>
    <t>aantal</t>
  </si>
  <si>
    <t>bedrag</t>
  </si>
  <si>
    <t>volstorting bij oprichting</t>
  </si>
  <si>
    <t>Projectie vastgoed</t>
  </si>
  <si>
    <t>Waarde vastgoed 31/12/2024</t>
  </si>
  <si>
    <t>Evolutie waarde vastgoed per jaar:</t>
  </si>
  <si>
    <t>Waarde vastgoed na 7 jaar</t>
  </si>
  <si>
    <t>Waarde vastgoed</t>
  </si>
  <si>
    <t>Rendementswaarde (inclusief waarde vastgoed 7 jaar)</t>
  </si>
  <si>
    <t>Groei waarde onderliggend vastgoed:</t>
  </si>
  <si>
    <t>nvt</t>
  </si>
  <si>
    <t xml:space="preserve">Verkoop van de aandelen naar aanleiding van de participatie medisch huis. </t>
  </si>
  <si>
    <t>In huidige waardering werd rekening gehouden met de genormaliseerde winst per einde boekjaar +</t>
  </si>
  <si>
    <t xml:space="preserve">de toekomstige waarde van het vastgoed. </t>
  </si>
  <si>
    <t xml:space="preserve">De waarde van het vastgoed op 31/12/2024 werd weerhouden tot aanschaffingswaarde en dus werden geen afschrijvingen meegenomen. </t>
  </si>
  <si>
    <t>(zie berekening)</t>
  </si>
  <si>
    <t>+ waarde vastgoed (7 jaar)</t>
  </si>
  <si>
    <t xml:space="preserve">De EBITDA is een tweede inkomensgerichte methode om de waarde van een onderneming te bepalen. Het is gelijk aan de operationele winst (verlies). De maatstaf stelt de omzet voor, verminderd met de kosten van de gewonen bedrijfsuitvoering, de financiële baten en lasten en vòòr belastingen, zonder aftrek van niet-kaskosten, berekend volgens de technische nota van het CBN. Vervolgens wordt deze gewogen EBTIDA-maatstaf vermenigvuldigd met een sectorspecifieke multiple. Voor Sisu BV werd deze gewogen EBITDA vermenigvuldigd met een multiple van 8,90 toegepast conform ervaringsgegevens uit recente studie (zie afz bijlage).  </t>
  </si>
  <si>
    <r>
      <rPr>
        <b/>
        <sz val="11"/>
        <color theme="1"/>
        <rFont val="Calibri"/>
        <family val="2"/>
        <scheme val="minor"/>
      </rPr>
      <t>Motivering waardering handelspand – multidisciplinaire medische praktijk te Eeklo</t>
    </r>
    <r>
      <rPr>
        <sz val="11"/>
        <color theme="1"/>
        <rFont val="Calibri"/>
        <family val="2"/>
        <scheme val="minor"/>
      </rPr>
      <t xml:space="preserve">
</t>
    </r>
    <r>
      <rPr>
        <b/>
        <sz val="11"/>
        <color theme="1"/>
        <rFont val="Calibri"/>
        <family val="2"/>
        <scheme val="minor"/>
      </rPr>
      <t>Waarderingsmethode en indexatie</t>
    </r>
    <r>
      <rPr>
        <sz val="11"/>
        <color theme="1"/>
        <rFont val="Calibri"/>
        <family val="2"/>
        <scheme val="minor"/>
      </rPr>
      <t xml:space="preserve">
Voor de bepaling van de actuele waarde van het pand werd de  aanschafwaarde 31/12/2024 genomen gezien de afwerking quasi volledig rond was en zich in nieuwstaat bevond.  Volgende jaren werden geïndexeerd aan een jaarlijks gemiddeld percentage van 2,5%. Deze indexatie weerspiegelt een gematigde, conservatieve groei die rekening houdt met de evolutie van de vastgoedmarkt en de inflatie, evanals met de afwaardering van de inrichting. Hoewel vastgoed in centrumlocaties vaak sneller in waarde stijgt, werd bewust gekozen voor een voorzichtige benadering.
</t>
    </r>
    <r>
      <rPr>
        <b/>
        <sz val="11"/>
        <color theme="1"/>
        <rFont val="Calibri"/>
        <family val="2"/>
        <scheme val="minor"/>
      </rPr>
      <t>Functionele invulling van het pand</t>
    </r>
    <r>
      <rPr>
        <sz val="11"/>
        <color theme="1"/>
        <rFont val="Calibri"/>
        <family val="2"/>
        <scheme val="minor"/>
      </rPr>
      <t xml:space="preserve">
Het handelspand is ingericht als een multidisciplinaire medische praktijk, wat de verhuurbaarheid en de gebruikswaarde aanzienlijk versterkt. De zorgsector is structureel groeiend door demografische en maatschappelijke ontwikkelingen, zoals de toenemende vergrijzing en de stijgende vraag naar toegankelijke eerstelijnszorg. Hierdoor is de kans op leegstand of waardevermindering beperkt, en blijft het pand aantrekkelijk voor zowel zorgverleners als investeerders.
</t>
    </r>
    <r>
      <rPr>
        <b/>
        <sz val="11"/>
        <color theme="1"/>
        <rFont val="Calibri"/>
        <family val="2"/>
        <scheme val="minor"/>
      </rPr>
      <t>Lokale context – stad Eeklo</t>
    </r>
    <r>
      <rPr>
        <sz val="11"/>
        <color theme="1"/>
        <rFont val="Calibri"/>
        <family val="2"/>
        <scheme val="minor"/>
      </rPr>
      <t xml:space="preserve">
De stad Eeklo ontwikkelt zich de laatste jaren verder als regionaal centrum in het Meetjesland. De gemeente investeert in infrastructuur, mobiliteit en stadsontwikkeling, wat de leefbaarheid en aantrekkelijkheid voor inwoners en ondernemers versterkt. Een medische praktijk in deze context profiteert rechtstreeks van de toenemende bevolkingsaantallen en de versterkende rol van Eeklo als centraal zorg- en dienstencentrum.
</t>
    </r>
    <r>
      <rPr>
        <b/>
        <sz val="11"/>
        <color theme="1"/>
        <rFont val="Calibri"/>
        <family val="2"/>
        <scheme val="minor"/>
      </rPr>
      <t>Conservatieve inschatting</t>
    </r>
    <r>
      <rPr>
        <sz val="11"/>
        <color theme="1"/>
        <rFont val="Calibri"/>
        <family val="2"/>
        <scheme val="minor"/>
      </rPr>
      <t xml:space="preserve">
De gehanteerde jaarlijkse indexatie van 2,5% kan, in vergelijking met de werkelijke marktontwikkeling van professioneel vastgoed in zorg- en stadscentra, als conservatief worden beschouwd. Vastgoedprijzen in dergelijke segmenten hebben de voorbije decennia vaak een hogere waardestijging gekend, versterkt door schaarste en de structurele vraag naar zorgvastgoed. De gekozen benadering biedt dus een ondergrens van de werkelijke economische waarde en geeft bijkomende zekerheid aan de waardering.</t>
    </r>
  </si>
  <si>
    <t>WAARDERINGSRAPPORT Sisu BV</t>
  </si>
  <si>
    <t xml:space="preserve">uitgegeven door de staat (OLO). Voor de waardering van Sisu BV werd als </t>
  </si>
  <si>
    <t xml:space="preserve">Waarde per klasse aandeel: </t>
  </si>
  <si>
    <t xml:space="preserve">De vennootschap werd opgericht met verschillende klasses aandelen. 6000 aandelen Klasse A met een fractiewaarde van 25 EUR en 4000 aandelen klasse B met een fractie waarde van 75. Deze waardering wordt logischerwijs dus ook opgepslitst volgens volgende verhoudingen. </t>
  </si>
  <si>
    <t xml:space="preserve">Door rekening te houden met het gemiddelde resultaat en de daarbijhorende wegingsfactoren, bekomt met het gewogen gemiddelde rendement. Dit rendement houdt ook rekening met de huidige en de toekomstige marktsituatie. Om die reden hebben we een gelijke weging genomen gezien de stabiliteit van de verhuur van de kabinetten en toenemende vraag naar zorg. </t>
  </si>
  <si>
    <t>Benaming: Sisu BV</t>
  </si>
  <si>
    <t>Rechtsvorm: Besloten vennootschap</t>
  </si>
  <si>
    <t>Maatschappelijke zetel: Pokmoere 28A, 9900 EEKLO (adreswijziging naar daadwerkelijke vestiging in publicatie)</t>
  </si>
  <si>
    <t>Gent, afdeling Gent</t>
  </si>
  <si>
    <r>
      <t xml:space="preserve">Crescendo Medisch Huis is een </t>
    </r>
    <r>
      <rPr>
        <b/>
        <sz val="11"/>
        <color theme="1"/>
        <rFont val="Calibri"/>
        <family val="2"/>
        <scheme val="minor"/>
      </rPr>
      <t>multidisciplinaire groepspraktijk</t>
    </r>
    <r>
      <rPr>
        <sz val="11"/>
        <color theme="1"/>
        <rFont val="Calibri"/>
        <family val="2"/>
        <scheme val="minor"/>
      </rPr>
      <t xml:space="preserve"> in Eeklo die zich richt op gezondheid, prestaties en professioneel welzijn. Hun aanpak combineert wetenschappelijke en holistische methodes om lichaam en geest in balans te brengen en duurzame oplossingen te bieden.
Werking rond drie pijlers:
</t>
    </r>
    <r>
      <rPr>
        <b/>
        <sz val="11"/>
        <color theme="1"/>
        <rFont val="Calibri"/>
        <family val="2"/>
        <scheme val="minor"/>
      </rPr>
      <t>Health</t>
    </r>
    <r>
      <rPr>
        <sz val="11"/>
        <color theme="1"/>
        <rFont val="Calibri"/>
        <family val="2"/>
        <scheme val="minor"/>
      </rPr>
      <t xml:space="preserve">: kinesitherapie, osteopathie, voedingsbegeleiding, gesprekstherapie, verpleegkunde, podologie, logopedie en meer.
</t>
    </r>
    <r>
      <rPr>
        <b/>
        <sz val="11"/>
        <color theme="1"/>
        <rFont val="Calibri"/>
        <family val="2"/>
        <scheme val="minor"/>
      </rPr>
      <t>Performance</t>
    </r>
    <r>
      <rPr>
        <sz val="11"/>
        <color theme="1"/>
        <rFont val="Calibri"/>
        <family val="2"/>
        <scheme val="minor"/>
      </rPr>
      <t xml:space="preserve">: trainingsbegeleiding, inspanningstesten (VO2-max), mentale coaching, zuurstoftherapie en multiomics.
</t>
    </r>
    <r>
      <rPr>
        <b/>
        <sz val="11"/>
        <color theme="1"/>
        <rFont val="Calibri"/>
        <family val="2"/>
        <scheme val="minor"/>
      </rPr>
      <t>Business</t>
    </r>
    <r>
      <rPr>
        <sz val="11"/>
        <color theme="1"/>
        <rFont val="Calibri"/>
        <family val="2"/>
        <scheme val="minor"/>
      </rPr>
      <t>: ondersteuning van ondernemers en teams via stresstolerantie, gezondheidsscreenings en prestatiebegeleiding</t>
    </r>
  </si>
  <si>
    <t>Crescendo MHP</t>
  </si>
  <si>
    <t>- Dominic De Caluwé</t>
  </si>
  <si>
    <t>- Hatem Sassi</t>
  </si>
  <si>
    <t>KVH Elektro</t>
  </si>
  <si>
    <t>- Kristof Van Haeverbeke</t>
  </si>
  <si>
    <t>4000 klasse A</t>
  </si>
  <si>
    <t>1900 klasse B</t>
  </si>
  <si>
    <t>2000 klasse A</t>
  </si>
  <si>
    <t>De Vlieger Frederik</t>
  </si>
  <si>
    <t>1000 klasse B</t>
  </si>
  <si>
    <t>Van Tongelen Annick</t>
  </si>
  <si>
    <t>Van Wonterghem Jo</t>
  </si>
  <si>
    <t>100 klasse B</t>
  </si>
  <si>
    <t>Stemrecht dubbel</t>
  </si>
  <si>
    <t>Stemrecht enkel</t>
  </si>
  <si>
    <t>*8000</t>
  </si>
  <si>
    <t>*4000</t>
  </si>
  <si>
    <t>*12000</t>
  </si>
  <si>
    <t>Bestuurder</t>
  </si>
  <si>
    <t>https://crescendo.eu.com/</t>
  </si>
  <si>
    <t>Bijlagen</t>
  </si>
  <si>
    <t>Conclusie waarde per aandeel</t>
  </si>
  <si>
    <r>
      <t xml:space="preserve">De waarde van 2.330.532 EUR, hierboven vermeld, vertegenwoordigd door 6000 aandelen klasse A met een fractiewaarde van 25 EUR of 582.633 EUR en vertegenwoordigd door 4000 aandelen klasse B met een fractiewaarde van 75 EUR of 1.747.899 EUR. De waarde per aandeel klasse A bedraagt 582.633 EUR / 6000 = </t>
    </r>
    <r>
      <rPr>
        <b/>
        <sz val="11"/>
        <color theme="1"/>
        <rFont val="Calibri"/>
        <family val="2"/>
        <scheme val="minor"/>
      </rPr>
      <t>97 EUR</t>
    </r>
    <r>
      <rPr>
        <sz val="11"/>
        <color theme="1"/>
        <rFont val="Calibri"/>
        <family val="2"/>
        <scheme val="minor"/>
      </rPr>
      <t xml:space="preserve">. De waarde per aandeel klasse B bedraagt 1.747.899 EUR / 4000 = </t>
    </r>
    <r>
      <rPr>
        <b/>
        <sz val="11"/>
        <color theme="1"/>
        <rFont val="Calibri"/>
        <family val="2"/>
        <scheme val="minor"/>
      </rPr>
      <t>437 EUR.</t>
    </r>
  </si>
  <si>
    <t>(M&amp;A monitor multiple 2024 - Healthcare)*</t>
  </si>
  <si>
    <t>M&amp;A Overname monitor Bank van Breda (in mail)</t>
  </si>
  <si>
    <t>Voor de berekening van de risicopremie van dient er bovenop dit verschil nog rekening gehouden te worden met een illiquiditeitstoeslag en een toeslag voor kleine ondernemingen. Hoewel het gebruikelijk is een illiquiditeitstoeslag te hanteren van 2% zal een toeslag van 2,5% geïmplementeerd worden gezien de toenemende druk van de medische (alternatieve) praktijken. De toeslag voor kleine ondernemingen geldt als vergoeding ter compensatie van de niet-diversificatie van het risico en de kwetsbaarheid van de kleine onderneming.</t>
  </si>
  <si>
    <t xml:space="preserve">Idem Bush-methode met die mogelijkheid manueel een wegingscoëfficiënt toe te kennen aan beide bestanddelen. Voor Sisu BV menen wij 70% te moeten toekennen aan de substantiële waarde en 30% aan de rendementswaarde.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</si>
</sst>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dd\-mm\-yy;@"/>
    <numFmt numFmtId="165" formatCode="_ * #,##0_ ;_ * \-#,##0_ ;_ * &quot;-&quot;??_ ;_ @_ "/>
    <numFmt numFmtId="166" formatCode="_ * #,##0.0000_ ;_ * \-#,##0.0000_ ;_ * &quot;-&quot;??_ ;_ @_ "/>
    <numFmt numFmtId="167" formatCode="_ * #,##0.0000_ ;_ * \-#,##0.0000_ ;_ * &quot;-&quot;????_ ;_ @_ "/>
    <numFmt numFmtId="168" formatCode="#,##0.0000"/>
    <numFmt numFmtId="169" formatCode="0000\.000\.000"/>
  </numFmts>
  <fonts count="48" x14ac:knownFonts="1">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sz val="11"/>
      <name val="Calibri"/>
      <family val="2"/>
      <scheme val="minor"/>
    </font>
    <font>
      <b/>
      <u/>
      <sz val="11"/>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
      <name val="Calibri"/>
      <family val="2"/>
      <scheme val="minor"/>
    </font>
    <font>
      <b/>
      <i/>
      <u/>
      <sz val="12"/>
      <name val="Calibri"/>
      <family val="2"/>
      <scheme val="minor"/>
    </font>
    <font>
      <sz val="10"/>
      <name val="Calibri"/>
      <family val="2"/>
      <scheme val="minor"/>
    </font>
    <font>
      <i/>
      <sz val="10"/>
      <name val="Calibri"/>
      <family val="2"/>
      <scheme val="minor"/>
    </font>
    <font>
      <b/>
      <sz val="10"/>
      <name val="Calibri"/>
      <family val="2"/>
      <scheme val="minor"/>
    </font>
    <font>
      <b/>
      <u/>
      <sz val="10"/>
      <name val="Calibri"/>
      <family val="2"/>
      <scheme val="minor"/>
    </font>
    <font>
      <b/>
      <sz val="12"/>
      <color theme="1"/>
      <name val="Calibri"/>
      <family val="2"/>
      <scheme val="minor"/>
    </font>
    <font>
      <i/>
      <u/>
      <sz val="10"/>
      <name val="Calibri"/>
      <family val="2"/>
      <scheme val="minor"/>
    </font>
    <font>
      <i/>
      <u/>
      <sz val="11"/>
      <name val="Calibri"/>
      <family val="2"/>
      <scheme val="minor"/>
    </font>
    <font>
      <b/>
      <sz val="11"/>
      <name val="Calibri"/>
      <family val="2"/>
      <scheme val="minor"/>
    </font>
    <font>
      <i/>
      <u/>
      <sz val="11"/>
      <color theme="1"/>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8"/>
      <color theme="1"/>
      <name val="Calibri"/>
      <family val="2"/>
      <scheme val="minor"/>
    </font>
    <font>
      <sz val="14"/>
      <color theme="1"/>
      <name val="Calibri"/>
      <family val="2"/>
      <scheme val="minor"/>
    </font>
    <font>
      <sz val="12"/>
      <color theme="1"/>
      <name val="Calibri"/>
      <family val="2"/>
      <scheme val="minor"/>
    </font>
    <font>
      <b/>
      <sz val="14"/>
      <name val="Calibri"/>
      <family val="2"/>
      <scheme val="minor"/>
    </font>
    <font>
      <sz val="14"/>
      <name val="Calibri"/>
      <family val="2"/>
      <scheme val="minor"/>
    </font>
    <font>
      <sz val="12"/>
      <name val="Calibri"/>
      <family val="2"/>
      <scheme val="minor"/>
    </font>
    <font>
      <u/>
      <sz val="11"/>
      <color theme="10"/>
      <name val="Calibri"/>
      <family val="2"/>
      <scheme val="minor"/>
    </font>
    <font>
      <b/>
      <sz val="12"/>
      <name val="Calibri"/>
      <family val="2"/>
      <scheme val="minor"/>
    </font>
    <font>
      <u/>
      <sz val="12"/>
      <color theme="10"/>
      <name val="Calibri"/>
      <family val="2"/>
      <scheme val="minor"/>
    </font>
    <font>
      <b/>
      <u/>
      <sz val="12"/>
      <color theme="1"/>
      <name val="Calibri"/>
      <family val="2"/>
      <scheme val="minor"/>
    </font>
    <font>
      <b/>
      <i/>
      <sz val="10"/>
      <name val="Calibri"/>
      <family val="2"/>
      <scheme val="minor"/>
    </font>
    <font>
      <i/>
      <u val="singleAccounting"/>
      <sz val="11"/>
      <color theme="1"/>
      <name val="Calibri"/>
      <family val="2"/>
      <scheme val="minor"/>
    </font>
    <font>
      <b/>
      <sz val="10"/>
      <color theme="1"/>
      <name val="Calibri"/>
      <family val="2"/>
      <scheme val="minor"/>
    </font>
    <font>
      <sz val="10"/>
      <color theme="1"/>
      <name val="Calibri"/>
      <family val="2"/>
      <scheme val="minor"/>
    </font>
    <font>
      <i/>
      <u/>
      <sz val="10"/>
      <color theme="1"/>
      <name val="Calibri"/>
      <family val="2"/>
      <scheme val="minor"/>
    </font>
    <font>
      <i/>
      <sz val="10"/>
      <color theme="1"/>
      <name val="Calibri"/>
      <family val="2"/>
      <scheme val="minor"/>
    </font>
    <font>
      <b/>
      <u/>
      <sz val="12"/>
      <name val="Calibri"/>
      <family val="2"/>
      <scheme val="minor"/>
    </font>
    <font>
      <b/>
      <i/>
      <u/>
      <sz val="11"/>
      <color theme="1"/>
      <name val="Calibri"/>
      <family val="2"/>
      <scheme val="minor"/>
    </font>
    <font>
      <b/>
      <i/>
      <u/>
      <sz val="10"/>
      <name val="Calibri"/>
      <family val="2"/>
      <scheme val="minor"/>
    </font>
    <font>
      <i/>
      <sz val="11"/>
      <name val="Calibri"/>
      <family val="2"/>
      <scheme val="minor"/>
    </font>
    <font>
      <b/>
      <i/>
      <sz val="11"/>
      <name val="Calibri"/>
      <family val="2"/>
      <scheme val="minor"/>
    </font>
    <font>
      <i/>
      <sz val="12"/>
      <color theme="1"/>
      <name val="Calibri"/>
      <family val="2"/>
      <scheme val="minor"/>
    </font>
    <font>
      <b/>
      <i/>
      <sz val="12"/>
      <color theme="3" tint="0.39997558519241921"/>
      <name val="Calibri"/>
      <family val="2"/>
      <scheme val="minor"/>
    </font>
    <font>
      <sz val="11"/>
      <color theme="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dashDotDot">
        <color auto="1"/>
      </left>
      <right/>
      <top style="dashDotDot">
        <color auto="1"/>
      </top>
      <bottom style="dashDotDot">
        <color auto="1"/>
      </bottom>
      <diagonal/>
    </border>
    <border>
      <left/>
      <right/>
      <top style="dashDotDot">
        <color auto="1"/>
      </top>
      <bottom style="dashDotDot">
        <color auto="1"/>
      </bottom>
      <diagonal/>
    </border>
    <border>
      <left/>
      <right style="dashDotDot">
        <color auto="1"/>
      </right>
      <top style="dashDotDot">
        <color auto="1"/>
      </top>
      <bottom style="dashDotDot">
        <color auto="1"/>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0" fillId="0" borderId="0" applyNumberFormat="0" applyFill="0" applyBorder="0" applyAlignment="0" applyProtection="0"/>
  </cellStyleXfs>
  <cellXfs count="485">
    <xf numFmtId="0" fontId="0" fillId="0" borderId="0" xfId="0"/>
    <xf numFmtId="43" fontId="0" fillId="0" borderId="10" xfId="1" applyFont="1" applyBorder="1"/>
    <xf numFmtId="43" fontId="0" fillId="0" borderId="11" xfId="1" applyFont="1" applyBorder="1"/>
    <xf numFmtId="0" fontId="3" fillId="0" borderId="9" xfId="0" applyFont="1" applyBorder="1"/>
    <xf numFmtId="0" fontId="3" fillId="0" borderId="0" xfId="0" applyFont="1"/>
    <xf numFmtId="0" fontId="7" fillId="0" borderId="0" xfId="0" applyFont="1"/>
    <xf numFmtId="0" fontId="8" fillId="0" borderId="0" xfId="0" applyFont="1"/>
    <xf numFmtId="2" fontId="0" fillId="0" borderId="0" xfId="0" applyNumberFormat="1" applyAlignment="1">
      <alignment vertical="top" wrapText="1"/>
    </xf>
    <xf numFmtId="2" fontId="6" fillId="0" borderId="0" xfId="0" applyNumberFormat="1" applyFont="1" applyAlignment="1">
      <alignment vertical="top"/>
    </xf>
    <xf numFmtId="0" fontId="0" fillId="0" borderId="0" xfId="0" applyAlignment="1">
      <alignment wrapText="1"/>
    </xf>
    <xf numFmtId="0" fontId="0" fillId="0" borderId="9" xfId="0" applyBorder="1"/>
    <xf numFmtId="0" fontId="10" fillId="0" borderId="0" xfId="0" applyFont="1"/>
    <xf numFmtId="0" fontId="0" fillId="0" borderId="1" xfId="0" applyBorder="1"/>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applyAlignment="1">
      <alignment horizontal="center"/>
    </xf>
    <xf numFmtId="0" fontId="0" fillId="0" borderId="8" xfId="0" applyBorder="1" applyAlignment="1">
      <alignment horizontal="center"/>
    </xf>
    <xf numFmtId="0" fontId="0" fillId="0" borderId="8" xfId="0" applyBorder="1"/>
    <xf numFmtId="0" fontId="0" fillId="0" borderId="10" xfId="0" applyBorder="1"/>
    <xf numFmtId="0" fontId="0" fillId="0" borderId="11" xfId="0" applyBorder="1"/>
    <xf numFmtId="0" fontId="4" fillId="0" borderId="0" xfId="0" applyFont="1"/>
    <xf numFmtId="0" fontId="12" fillId="0" borderId="12" xfId="0" applyFont="1" applyBorder="1"/>
    <xf numFmtId="0" fontId="12" fillId="0" borderId="13" xfId="0" applyFont="1" applyBorder="1"/>
    <xf numFmtId="0" fontId="12" fillId="0" borderId="0" xfId="0" applyFont="1"/>
    <xf numFmtId="4" fontId="12" fillId="0" borderId="0" xfId="0" applyNumberFormat="1" applyFont="1"/>
    <xf numFmtId="4" fontId="0" fillId="0" borderId="10" xfId="0" applyNumberFormat="1" applyBorder="1"/>
    <xf numFmtId="4" fontId="0" fillId="0" borderId="11" xfId="0" applyNumberFormat="1" applyBorder="1"/>
    <xf numFmtId="0" fontId="13" fillId="0" borderId="12" xfId="0" applyFont="1" applyBorder="1"/>
    <xf numFmtId="0" fontId="0" fillId="0" borderId="13" xfId="0" applyBorder="1"/>
    <xf numFmtId="43" fontId="0" fillId="0" borderId="0" xfId="1" applyFont="1" applyBorder="1"/>
    <xf numFmtId="0" fontId="14" fillId="0" borderId="0" xfId="0" applyFont="1"/>
    <xf numFmtId="14" fontId="16" fillId="0" borderId="0" xfId="0" applyNumberFormat="1" applyFont="1"/>
    <xf numFmtId="4" fontId="0" fillId="0" borderId="9" xfId="0" applyNumberFormat="1" applyBorder="1"/>
    <xf numFmtId="4" fontId="0" fillId="0" borderId="0" xfId="0" applyNumberFormat="1"/>
    <xf numFmtId="0" fontId="11" fillId="0" borderId="0" xfId="0" applyFont="1"/>
    <xf numFmtId="4" fontId="0" fillId="0" borderId="7" xfId="0" applyNumberFormat="1" applyBorder="1"/>
    <xf numFmtId="4" fontId="0" fillId="0" borderId="5" xfId="0" applyNumberFormat="1" applyBorder="1"/>
    <xf numFmtId="4" fontId="0" fillId="0" borderId="3" xfId="0" applyNumberFormat="1" applyBorder="1"/>
    <xf numFmtId="4" fontId="0" fillId="0" borderId="6" xfId="0" applyNumberFormat="1" applyBorder="1"/>
    <xf numFmtId="0" fontId="0" fillId="0" borderId="12" xfId="0" applyBorder="1"/>
    <xf numFmtId="0" fontId="0" fillId="0" borderId="15" xfId="0" applyBorder="1" applyAlignment="1">
      <alignment horizontal="center"/>
    </xf>
    <xf numFmtId="0" fontId="0" fillId="0" borderId="0" xfId="0" applyAlignment="1">
      <alignment vertical="top"/>
    </xf>
    <xf numFmtId="0" fontId="17" fillId="0" borderId="1" xfId="0" applyFont="1" applyBorder="1"/>
    <xf numFmtId="0" fontId="17" fillId="0" borderId="2" xfId="0" applyFont="1" applyBorder="1"/>
    <xf numFmtId="14" fontId="17" fillId="0" borderId="3" xfId="0" applyNumberFormat="1" applyFont="1" applyBorder="1"/>
    <xf numFmtId="0" fontId="4" fillId="0" borderId="9" xfId="0" applyFont="1" applyBorder="1"/>
    <xf numFmtId="0" fontId="18" fillId="0" borderId="9" xfId="0" applyFont="1" applyBorder="1"/>
    <xf numFmtId="0" fontId="18" fillId="0" borderId="0" xfId="0" applyFont="1"/>
    <xf numFmtId="0" fontId="18" fillId="0" borderId="5" xfId="0" applyFont="1" applyBorder="1"/>
    <xf numFmtId="0" fontId="18" fillId="0" borderId="6" xfId="0" applyFont="1" applyBorder="1"/>
    <xf numFmtId="43" fontId="0" fillId="0" borderId="0" xfId="0" applyNumberFormat="1"/>
    <xf numFmtId="4" fontId="4" fillId="0" borderId="0" xfId="0" applyNumberFormat="1" applyFont="1"/>
    <xf numFmtId="43" fontId="0" fillId="0" borderId="10" xfId="1" applyFont="1" applyBorder="1" applyAlignment="1">
      <alignment horizontal="center"/>
    </xf>
    <xf numFmtId="43" fontId="0" fillId="0" borderId="11" xfId="1" applyFont="1" applyFill="1" applyBorder="1"/>
    <xf numFmtId="0" fontId="0" fillId="0" borderId="0" xfId="0" applyAlignment="1">
      <alignment horizontal="right"/>
    </xf>
    <xf numFmtId="0" fontId="0" fillId="0" borderId="0" xfId="0" applyAlignment="1">
      <alignment vertical="top" wrapText="1"/>
    </xf>
    <xf numFmtId="0" fontId="0" fillId="0" borderId="0" xfId="0" applyAlignment="1">
      <alignment horizontal="center" vertical="center" wrapText="1"/>
    </xf>
    <xf numFmtId="0" fontId="15" fillId="0" borderId="0" xfId="0" applyFont="1"/>
    <xf numFmtId="0" fontId="22" fillId="0" borderId="0" xfId="0" applyFont="1"/>
    <xf numFmtId="0" fontId="21" fillId="0" borderId="0" xfId="0" applyFont="1" applyAlignment="1">
      <alignment horizontal="center" vertical="center"/>
    </xf>
    <xf numFmtId="0" fontId="8" fillId="0" borderId="0" xfId="0" applyFont="1" applyAlignment="1">
      <alignment horizontal="left" vertical="center" wrapText="1"/>
    </xf>
    <xf numFmtId="0" fontId="23" fillId="0" borderId="0" xfId="0" applyFont="1"/>
    <xf numFmtId="0" fontId="0" fillId="0" borderId="0" xfId="0" applyAlignment="1">
      <alignment horizontal="left" vertical="center" wrapText="1"/>
    </xf>
    <xf numFmtId="0" fontId="25" fillId="0" borderId="0" xfId="0" applyFont="1"/>
    <xf numFmtId="0" fontId="25" fillId="0" borderId="0" xfId="0" applyFont="1" applyAlignment="1">
      <alignment horizontal="left" vertical="center" wrapText="1"/>
    </xf>
    <xf numFmtId="0" fontId="26" fillId="0" borderId="0" xfId="0" applyFont="1"/>
    <xf numFmtId="0" fontId="26" fillId="0" borderId="0" xfId="0" applyFont="1" applyAlignment="1">
      <alignment horizontal="left" vertical="center" wrapText="1"/>
    </xf>
    <xf numFmtId="0" fontId="0" fillId="3" borderId="0" xfId="0" applyFill="1"/>
    <xf numFmtId="0" fontId="26" fillId="3" borderId="0" xfId="0" applyFont="1" applyFill="1"/>
    <xf numFmtId="0" fontId="27" fillId="3" borderId="0" xfId="0" applyFont="1" applyFill="1"/>
    <xf numFmtId="0" fontId="28" fillId="3" borderId="0" xfId="0" applyFont="1" applyFill="1" applyAlignment="1">
      <alignment horizontal="left" vertical="center" wrapText="1"/>
    </xf>
    <xf numFmtId="0" fontId="29" fillId="3" borderId="0" xfId="0" applyFont="1" applyFill="1" applyAlignment="1">
      <alignment horizontal="left" vertical="center" wrapText="1"/>
    </xf>
    <xf numFmtId="0" fontId="4" fillId="3" borderId="0" xfId="0" applyFont="1" applyFill="1" applyAlignment="1">
      <alignment horizontal="left" vertical="center" wrapText="1"/>
    </xf>
    <xf numFmtId="0" fontId="4" fillId="3" borderId="0" xfId="0" applyFont="1" applyFill="1"/>
    <xf numFmtId="0" fontId="29" fillId="3" borderId="0" xfId="0" applyFont="1" applyFill="1"/>
    <xf numFmtId="10" fontId="0" fillId="0" borderId="0" xfId="2" applyNumberFormat="1" applyFont="1" applyAlignment="1">
      <alignment horizontal="center"/>
    </xf>
    <xf numFmtId="0" fontId="27" fillId="0" borderId="0" xfId="0" applyFont="1"/>
    <xf numFmtId="0" fontId="29" fillId="0" borderId="0" xfId="0" applyFont="1"/>
    <xf numFmtId="164" fontId="0" fillId="0" borderId="0" xfId="2" applyNumberFormat="1" applyFont="1" applyAlignment="1">
      <alignment horizontal="center"/>
    </xf>
    <xf numFmtId="0" fontId="0" fillId="0" borderId="0" xfId="0" applyAlignment="1">
      <alignment horizontal="center"/>
    </xf>
    <xf numFmtId="0" fontId="30" fillId="0" borderId="0" xfId="3"/>
    <xf numFmtId="0" fontId="25" fillId="3" borderId="0" xfId="0" applyFont="1" applyFill="1"/>
    <xf numFmtId="0" fontId="32" fillId="0" borderId="0" xfId="3" applyFont="1"/>
    <xf numFmtId="0" fontId="33" fillId="0" borderId="0" xfId="0" applyFont="1"/>
    <xf numFmtId="10" fontId="15" fillId="0" borderId="0" xfId="0" applyNumberFormat="1" applyFont="1"/>
    <xf numFmtId="0" fontId="3" fillId="0" borderId="0" xfId="0" applyFont="1" applyAlignment="1">
      <alignment vertical="top"/>
    </xf>
    <xf numFmtId="9" fontId="26" fillId="0" borderId="0" xfId="2" applyFont="1"/>
    <xf numFmtId="10" fontId="15" fillId="0" borderId="0" xfId="2" applyNumberFormat="1" applyFont="1"/>
    <xf numFmtId="2" fontId="26" fillId="0" borderId="0" xfId="0" applyNumberFormat="1" applyFont="1"/>
    <xf numFmtId="9" fontId="26" fillId="0" borderId="0" xfId="0" applyNumberFormat="1" applyFont="1"/>
    <xf numFmtId="0" fontId="0" fillId="0" borderId="9" xfId="0" applyBorder="1" applyAlignment="1">
      <alignment horizontal="right"/>
    </xf>
    <xf numFmtId="1" fontId="0" fillId="0" borderId="10" xfId="0" applyNumberFormat="1" applyBorder="1" applyAlignment="1">
      <alignment horizontal="center"/>
    </xf>
    <xf numFmtId="1" fontId="0" fillId="0" borderId="10" xfId="1" applyNumberFormat="1" applyFont="1" applyBorder="1" applyAlignment="1">
      <alignment horizontal="center"/>
    </xf>
    <xf numFmtId="0" fontId="0" fillId="0" borderId="10" xfId="1" applyNumberFormat="1" applyFont="1" applyBorder="1" applyAlignment="1">
      <alignment horizontal="center"/>
    </xf>
    <xf numFmtId="1" fontId="0" fillId="0" borderId="10" xfId="1" applyNumberFormat="1" applyFont="1" applyFill="1" applyBorder="1" applyAlignment="1">
      <alignment horizontal="center"/>
    </xf>
    <xf numFmtId="4" fontId="12" fillId="0" borderId="0" xfId="0" applyNumberFormat="1" applyFont="1" applyAlignment="1">
      <alignment horizontal="center"/>
    </xf>
    <xf numFmtId="1" fontId="0" fillId="0" borderId="3" xfId="0" applyNumberFormat="1" applyBorder="1" applyAlignment="1">
      <alignment horizontal="center"/>
    </xf>
    <xf numFmtId="0" fontId="0" fillId="0" borderId="3" xfId="0" applyBorder="1"/>
    <xf numFmtId="0" fontId="19" fillId="0" borderId="10" xfId="1" applyNumberFormat="1" applyFont="1" applyBorder="1" applyAlignment="1">
      <alignment horizontal="center"/>
    </xf>
    <xf numFmtId="1" fontId="19" fillId="0" borderId="10" xfId="1" applyNumberFormat="1" applyFont="1" applyBorder="1" applyAlignment="1">
      <alignment horizontal="center"/>
    </xf>
    <xf numFmtId="1" fontId="19" fillId="0" borderId="10" xfId="0" applyNumberFormat="1" applyFont="1" applyBorder="1" applyAlignment="1">
      <alignment horizontal="center"/>
    </xf>
    <xf numFmtId="4" fontId="0" fillId="0" borderId="4" xfId="0" applyNumberFormat="1" applyBorder="1"/>
    <xf numFmtId="0" fontId="0" fillId="0" borderId="10" xfId="0" applyBorder="1" applyAlignment="1">
      <alignment horizontal="center"/>
    </xf>
    <xf numFmtId="0" fontId="19" fillId="0" borderId="10" xfId="0" applyFont="1" applyBorder="1" applyAlignment="1">
      <alignment horizontal="center"/>
    </xf>
    <xf numFmtId="0" fontId="0" fillId="0" borderId="9" xfId="0" applyBorder="1" applyAlignment="1">
      <alignment horizontal="left"/>
    </xf>
    <xf numFmtId="0" fontId="6" fillId="0" borderId="10" xfId="0" applyFont="1" applyBorder="1" applyAlignment="1">
      <alignment horizontal="center"/>
    </xf>
    <xf numFmtId="0" fontId="34" fillId="0" borderId="12" xfId="0" applyFont="1" applyBorder="1"/>
    <xf numFmtId="0" fontId="34" fillId="0" borderId="13" xfId="0" applyFont="1" applyBorder="1"/>
    <xf numFmtId="1" fontId="34" fillId="0" borderId="14" xfId="1" applyNumberFormat="1" applyFont="1" applyBorder="1" applyAlignment="1">
      <alignment horizontal="center"/>
    </xf>
    <xf numFmtId="43" fontId="34" fillId="0" borderId="14" xfId="1" applyFont="1" applyBorder="1"/>
    <xf numFmtId="10" fontId="0" fillId="0" borderId="0" xfId="2" applyNumberFormat="1" applyFont="1"/>
    <xf numFmtId="10" fontId="0" fillId="0" borderId="2" xfId="0" applyNumberFormat="1" applyBorder="1"/>
    <xf numFmtId="10" fontId="0" fillId="0" borderId="4" xfId="0" applyNumberFormat="1" applyBorder="1"/>
    <xf numFmtId="10" fontId="0" fillId="0" borderId="9" xfId="0" applyNumberFormat="1" applyBorder="1"/>
    <xf numFmtId="10" fontId="0" fillId="0" borderId="0" xfId="0" applyNumberFormat="1"/>
    <xf numFmtId="10" fontId="0" fillId="0" borderId="11" xfId="0" applyNumberFormat="1" applyBorder="1"/>
    <xf numFmtId="10" fontId="0" fillId="0" borderId="5" xfId="0" applyNumberFormat="1" applyBorder="1"/>
    <xf numFmtId="10" fontId="0" fillId="0" borderId="6" xfId="0" applyNumberFormat="1" applyBorder="1"/>
    <xf numFmtId="10" fontId="0" fillId="0" borderId="8" xfId="0" applyNumberFormat="1" applyBorder="1"/>
    <xf numFmtId="10" fontId="0" fillId="2" borderId="0" xfId="0" applyNumberFormat="1" applyFill="1"/>
    <xf numFmtId="43" fontId="0" fillId="0" borderId="12" xfId="1" applyFont="1" applyBorder="1"/>
    <xf numFmtId="2" fontId="0" fillId="0" borderId="13" xfId="0" applyNumberFormat="1" applyBorder="1" applyAlignment="1">
      <alignment horizontal="center"/>
    </xf>
    <xf numFmtId="2" fontId="0" fillId="0" borderId="13" xfId="0" applyNumberFormat="1" applyBorder="1"/>
    <xf numFmtId="2" fontId="0" fillId="0" borderId="15" xfId="0" applyNumberFormat="1" applyBorder="1"/>
    <xf numFmtId="10" fontId="0" fillId="2" borderId="0" xfId="2" applyNumberFormat="1" applyFont="1" applyFill="1"/>
    <xf numFmtId="9" fontId="0" fillId="0" borderId="12" xfId="2" applyFont="1" applyBorder="1"/>
    <xf numFmtId="9" fontId="0" fillId="0" borderId="13" xfId="2" applyFont="1" applyBorder="1" applyAlignment="1">
      <alignment horizontal="center"/>
    </xf>
    <xf numFmtId="9" fontId="0" fillId="0" borderId="13" xfId="2" applyFont="1" applyBorder="1"/>
    <xf numFmtId="9" fontId="0" fillId="0" borderId="15" xfId="2" applyFont="1" applyBorder="1"/>
    <xf numFmtId="9" fontId="0" fillId="0" borderId="0" xfId="0" applyNumberFormat="1" applyAlignment="1">
      <alignment horizontal="center"/>
    </xf>
    <xf numFmtId="9" fontId="0" fillId="0" borderId="0" xfId="2" applyFont="1" applyAlignment="1">
      <alignment horizontal="center"/>
    </xf>
    <xf numFmtId="10" fontId="0" fillId="0" borderId="0" xfId="2" applyNumberFormat="1" applyFont="1" applyFill="1"/>
    <xf numFmtId="10" fontId="0" fillId="0" borderId="1" xfId="0" applyNumberFormat="1" applyBorder="1"/>
    <xf numFmtId="0" fontId="3" fillId="0" borderId="13" xfId="0" applyFont="1" applyBorder="1"/>
    <xf numFmtId="10" fontId="0" fillId="0" borderId="11" xfId="2" applyNumberFormat="1" applyFont="1" applyBorder="1"/>
    <xf numFmtId="10" fontId="0" fillId="0" borderId="10" xfId="2" applyNumberFormat="1" applyFont="1" applyBorder="1"/>
    <xf numFmtId="0" fontId="0" fillId="0" borderId="14" xfId="0" applyBorder="1" applyAlignment="1">
      <alignment horizontal="center"/>
    </xf>
    <xf numFmtId="0" fontId="0" fillId="0" borderId="9" xfId="0" quotePrefix="1" applyBorder="1" applyAlignment="1">
      <alignment horizontal="left"/>
    </xf>
    <xf numFmtId="43" fontId="2" fillId="0" borderId="10" xfId="1" applyFont="1" applyBorder="1"/>
    <xf numFmtId="0" fontId="0" fillId="0" borderId="2" xfId="0" applyBorder="1" applyAlignment="1">
      <alignment horizontal="left"/>
    </xf>
    <xf numFmtId="43" fontId="0" fillId="0" borderId="2" xfId="1" applyFont="1" applyBorder="1"/>
    <xf numFmtId="0" fontId="0" fillId="0" borderId="0" xfId="0" applyAlignment="1">
      <alignment horizontal="left"/>
    </xf>
    <xf numFmtId="43" fontId="19" fillId="0" borderId="0" xfId="1" applyFont="1" applyBorder="1"/>
    <xf numFmtId="43" fontId="6" fillId="0" borderId="0" xfId="1" applyFont="1" applyBorder="1"/>
    <xf numFmtId="0" fontId="34" fillId="0" borderId="0" xfId="0" applyFont="1"/>
    <xf numFmtId="0" fontId="0" fillId="0" borderId="1" xfId="0" applyBorder="1" applyAlignment="1">
      <alignment horizontal="left"/>
    </xf>
    <xf numFmtId="0" fontId="0" fillId="0" borderId="5" xfId="0" applyBorder="1" applyAlignment="1">
      <alignment horizontal="left"/>
    </xf>
    <xf numFmtId="43" fontId="0" fillId="0" borderId="3" xfId="1" applyFont="1" applyBorder="1"/>
    <xf numFmtId="43" fontId="0" fillId="0" borderId="7" xfId="1" applyFont="1" applyBorder="1"/>
    <xf numFmtId="43" fontId="0" fillId="0" borderId="10" xfId="0" applyNumberFormat="1" applyBorder="1" applyAlignment="1">
      <alignment horizontal="center"/>
    </xf>
    <xf numFmtId="43" fontId="0" fillId="0" borderId="15" xfId="1" applyFont="1" applyBorder="1"/>
    <xf numFmtId="43" fontId="0" fillId="0" borderId="2" xfId="0" applyNumberFormat="1" applyBorder="1"/>
    <xf numFmtId="43" fontId="0" fillId="0" borderId="2" xfId="0" applyNumberFormat="1" applyBorder="1" applyAlignment="1">
      <alignment horizontal="right"/>
    </xf>
    <xf numFmtId="0" fontId="0" fillId="0" borderId="0" xfId="0" quotePrefix="1" applyAlignment="1">
      <alignment horizontal="left"/>
    </xf>
    <xf numFmtId="0" fontId="0" fillId="0" borderId="13" xfId="0" quotePrefix="1" applyBorder="1" applyAlignment="1">
      <alignment horizontal="left"/>
    </xf>
    <xf numFmtId="43" fontId="0" fillId="0" borderId="13" xfId="0" applyNumberFormat="1" applyBorder="1"/>
    <xf numFmtId="0" fontId="3" fillId="0" borderId="12" xfId="0" applyFont="1" applyBorder="1"/>
    <xf numFmtId="0" fontId="3" fillId="0" borderId="13" xfId="0" quotePrefix="1" applyFont="1" applyBorder="1" applyAlignment="1">
      <alignment horizontal="left"/>
    </xf>
    <xf numFmtId="43" fontId="3" fillId="0" borderId="13" xfId="0" applyNumberFormat="1" applyFont="1" applyBorder="1"/>
    <xf numFmtId="0" fontId="3" fillId="0" borderId="12" xfId="0" quotePrefix="1" applyFont="1" applyBorder="1" applyAlignment="1">
      <alignment horizontal="left"/>
    </xf>
    <xf numFmtId="0" fontId="3" fillId="0" borderId="12" xfId="0" applyFont="1" applyBorder="1" applyAlignment="1">
      <alignment horizontal="left"/>
    </xf>
    <xf numFmtId="43" fontId="0" fillId="0" borderId="0" xfId="1" applyFont="1"/>
    <xf numFmtId="0" fontId="9" fillId="0" borderId="0" xfId="0" applyFont="1" applyAlignment="1">
      <alignment horizontal="center"/>
    </xf>
    <xf numFmtId="4" fontId="0" fillId="4" borderId="4" xfId="0" applyNumberFormat="1" applyFill="1" applyBorder="1"/>
    <xf numFmtId="0" fontId="0" fillId="4" borderId="10" xfId="0" applyFill="1" applyBorder="1"/>
    <xf numFmtId="43" fontId="2" fillId="4" borderId="10" xfId="1" applyFont="1" applyFill="1" applyBorder="1"/>
    <xf numFmtId="0" fontId="0" fillId="4" borderId="9" xfId="0" applyFill="1" applyBorder="1"/>
    <xf numFmtId="0" fontId="0" fillId="4" borderId="11" xfId="0" applyFill="1" applyBorder="1"/>
    <xf numFmtId="43" fontId="0" fillId="4" borderId="9" xfId="0" applyNumberFormat="1" applyFill="1" applyBorder="1"/>
    <xf numFmtId="43" fontId="0" fillId="4" borderId="10" xfId="0" applyNumberFormat="1" applyFill="1" applyBorder="1"/>
    <xf numFmtId="43" fontId="0" fillId="4" borderId="11" xfId="0" applyNumberFormat="1" applyFill="1" applyBorder="1"/>
    <xf numFmtId="43" fontId="0" fillId="4" borderId="1" xfId="1" applyFont="1" applyFill="1" applyBorder="1"/>
    <xf numFmtId="43" fontId="0" fillId="4" borderId="3" xfId="1" applyFont="1" applyFill="1" applyBorder="1"/>
    <xf numFmtId="43" fontId="0" fillId="4" borderId="4" xfId="1" applyFont="1" applyFill="1" applyBorder="1"/>
    <xf numFmtId="43" fontId="0" fillId="4" borderId="9" xfId="1" applyFont="1" applyFill="1" applyBorder="1" applyAlignment="1">
      <alignment horizontal="center"/>
    </xf>
    <xf numFmtId="43" fontId="0" fillId="4" borderId="10" xfId="1" applyFont="1" applyFill="1" applyBorder="1" applyAlignment="1">
      <alignment horizontal="center"/>
    </xf>
    <xf numFmtId="43" fontId="0" fillId="4" borderId="11" xfId="1" applyFont="1" applyFill="1" applyBorder="1" applyAlignment="1">
      <alignment horizontal="center"/>
    </xf>
    <xf numFmtId="43" fontId="0" fillId="4" borderId="5" xfId="1" applyFont="1" applyFill="1" applyBorder="1"/>
    <xf numFmtId="43" fontId="0" fillId="4" borderId="7" xfId="1" applyFont="1" applyFill="1" applyBorder="1"/>
    <xf numFmtId="43" fontId="0" fillId="4" borderId="8" xfId="1" applyFont="1" applyFill="1" applyBorder="1"/>
    <xf numFmtId="0" fontId="0" fillId="0" borderId="0" xfId="0" quotePrefix="1"/>
    <xf numFmtId="165" fontId="19" fillId="0" borderId="10" xfId="1" applyNumberFormat="1" applyFont="1" applyBorder="1"/>
    <xf numFmtId="165" fontId="0" fillId="0" borderId="0" xfId="1" applyNumberFormat="1" applyFont="1"/>
    <xf numFmtId="165" fontId="0" fillId="0" borderId="3" xfId="1" applyNumberFormat="1" applyFont="1" applyBorder="1"/>
    <xf numFmtId="165" fontId="0" fillId="0" borderId="4" xfId="1" applyNumberFormat="1" applyFont="1" applyBorder="1"/>
    <xf numFmtId="165" fontId="0" fillId="4" borderId="9" xfId="1" applyNumberFormat="1" applyFont="1" applyFill="1" applyBorder="1"/>
    <xf numFmtId="165" fontId="0" fillId="4" borderId="10" xfId="1" applyNumberFormat="1" applyFont="1" applyFill="1" applyBorder="1"/>
    <xf numFmtId="165" fontId="0" fillId="4" borderId="11" xfId="1" applyNumberFormat="1" applyFont="1" applyFill="1" applyBorder="1"/>
    <xf numFmtId="165" fontId="35" fillId="4" borderId="9" xfId="1" applyNumberFormat="1" applyFont="1" applyFill="1" applyBorder="1"/>
    <xf numFmtId="165" fontId="35" fillId="4" borderId="10" xfId="1" applyNumberFormat="1" applyFont="1" applyFill="1" applyBorder="1"/>
    <xf numFmtId="165" fontId="35" fillId="4" borderId="11" xfId="1" applyNumberFormat="1" applyFont="1" applyFill="1" applyBorder="1"/>
    <xf numFmtId="165" fontId="0" fillId="0" borderId="10" xfId="1" applyNumberFormat="1" applyFont="1" applyBorder="1"/>
    <xf numFmtId="165" fontId="2" fillId="0" borderId="10" xfId="1" applyNumberFormat="1" applyFont="1" applyBorder="1"/>
    <xf numFmtId="165" fontId="0" fillId="0" borderId="7" xfId="1" applyNumberFormat="1" applyFont="1" applyBorder="1"/>
    <xf numFmtId="165" fontId="0" fillId="4" borderId="7" xfId="1" applyNumberFormat="1" applyFont="1" applyFill="1" applyBorder="1"/>
    <xf numFmtId="165" fontId="0" fillId="0" borderId="0" xfId="0" applyNumberFormat="1"/>
    <xf numFmtId="165" fontId="0" fillId="0" borderId="0" xfId="1" applyNumberFormat="1" applyFont="1" applyBorder="1"/>
    <xf numFmtId="165" fontId="0" fillId="0" borderId="11" xfId="1" applyNumberFormat="1" applyFont="1" applyBorder="1"/>
    <xf numFmtId="0" fontId="0" fillId="0" borderId="9" xfId="0" quotePrefix="1" applyBorder="1"/>
    <xf numFmtId="165" fontId="0" fillId="0" borderId="11" xfId="0" applyNumberFormat="1" applyBorder="1"/>
    <xf numFmtId="0" fontId="0" fillId="0" borderId="2" xfId="0" applyBorder="1" applyAlignment="1">
      <alignment horizontal="center"/>
    </xf>
    <xf numFmtId="165" fontId="0" fillId="0" borderId="10" xfId="0" applyNumberFormat="1" applyBorder="1"/>
    <xf numFmtId="165" fontId="0" fillId="0" borderId="7" xfId="0" applyNumberFormat="1" applyBorder="1"/>
    <xf numFmtId="0" fontId="36" fillId="0" borderId="1" xfId="0" applyFont="1" applyBorder="1" applyAlignment="1">
      <alignment horizontal="left"/>
    </xf>
    <xf numFmtId="0" fontId="37" fillId="0" borderId="2" xfId="0" applyFont="1" applyBorder="1"/>
    <xf numFmtId="0" fontId="37" fillId="0" borderId="3" xfId="0" applyFont="1" applyBorder="1" applyAlignment="1">
      <alignment horizontal="center"/>
    </xf>
    <xf numFmtId="0" fontId="37" fillId="0" borderId="5" xfId="0" applyFont="1" applyBorder="1" applyAlignment="1">
      <alignment horizontal="left"/>
    </xf>
    <xf numFmtId="0" fontId="37" fillId="0" borderId="6" xfId="0" applyFont="1" applyBorder="1"/>
    <xf numFmtId="165" fontId="38" fillId="0" borderId="7" xfId="1" applyNumberFormat="1" applyFont="1" applyBorder="1"/>
    <xf numFmtId="0" fontId="37" fillId="0" borderId="9" xfId="0" applyFont="1" applyBorder="1" applyAlignment="1">
      <alignment horizontal="left"/>
    </xf>
    <xf numFmtId="0" fontId="37" fillId="0" borderId="0" xfId="0" applyFont="1"/>
    <xf numFmtId="165" fontId="37" fillId="0" borderId="10" xfId="1" applyNumberFormat="1" applyFont="1" applyBorder="1"/>
    <xf numFmtId="10" fontId="37" fillId="0" borderId="10" xfId="2" applyNumberFormat="1" applyFont="1" applyBorder="1"/>
    <xf numFmtId="0" fontId="37" fillId="0" borderId="9" xfId="0" applyFont="1" applyBorder="1"/>
    <xf numFmtId="0" fontId="37" fillId="0" borderId="10" xfId="0" applyFont="1" applyBorder="1"/>
    <xf numFmtId="0" fontId="37" fillId="0" borderId="9" xfId="0" quotePrefix="1" applyFont="1" applyBorder="1" applyAlignment="1">
      <alignment horizontal="left"/>
    </xf>
    <xf numFmtId="0" fontId="37" fillId="0" borderId="9" xfId="0" quotePrefix="1" applyFont="1" applyBorder="1"/>
    <xf numFmtId="0" fontId="37" fillId="0" borderId="5" xfId="0" applyFont="1" applyBorder="1"/>
    <xf numFmtId="165" fontId="37" fillId="0" borderId="7" xfId="0" applyNumberFormat="1" applyFont="1" applyBorder="1"/>
    <xf numFmtId="165" fontId="38" fillId="4" borderId="7" xfId="1" applyNumberFormat="1" applyFont="1" applyFill="1" applyBorder="1"/>
    <xf numFmtId="165" fontId="37" fillId="4" borderId="10" xfId="1" applyNumberFormat="1" applyFont="1" applyFill="1" applyBorder="1"/>
    <xf numFmtId="10" fontId="37" fillId="4" borderId="10" xfId="2" applyNumberFormat="1" applyFont="1" applyFill="1" applyBorder="1"/>
    <xf numFmtId="0" fontId="37" fillId="4" borderId="10" xfId="0" applyFont="1" applyFill="1" applyBorder="1"/>
    <xf numFmtId="165" fontId="37" fillId="4" borderId="7" xfId="0" applyNumberFormat="1" applyFont="1" applyFill="1" applyBorder="1"/>
    <xf numFmtId="165" fontId="3" fillId="0" borderId="14" xfId="1" applyNumberFormat="1" applyFont="1" applyBorder="1"/>
    <xf numFmtId="165" fontId="3" fillId="4" borderId="14" xfId="1" applyNumberFormat="1" applyFont="1" applyFill="1" applyBorder="1"/>
    <xf numFmtId="0" fontId="39" fillId="0" borderId="0" xfId="0" applyFont="1"/>
    <xf numFmtId="165" fontId="3" fillId="0" borderId="2" xfId="0" applyNumberFormat="1" applyFont="1" applyBorder="1"/>
    <xf numFmtId="3" fontId="0" fillId="0" borderId="0" xfId="0" applyNumberFormat="1"/>
    <xf numFmtId="165" fontId="3" fillId="0" borderId="0" xfId="1" applyNumberFormat="1" applyFont="1"/>
    <xf numFmtId="0" fontId="5" fillId="0" borderId="0" xfId="0" applyFont="1"/>
    <xf numFmtId="0" fontId="3" fillId="0" borderId="2" xfId="0" applyFont="1" applyBorder="1"/>
    <xf numFmtId="4" fontId="3" fillId="0" borderId="2" xfId="0" applyNumberFormat="1" applyFont="1" applyBorder="1"/>
    <xf numFmtId="9" fontId="0" fillId="0" borderId="0" xfId="0" applyNumberFormat="1"/>
    <xf numFmtId="0" fontId="15" fillId="0" borderId="0" xfId="0" applyFont="1" applyAlignment="1">
      <alignment horizontal="right"/>
    </xf>
    <xf numFmtId="0" fontId="3" fillId="0" borderId="0" xfId="0" applyFont="1" applyAlignment="1">
      <alignment horizontal="right"/>
    </xf>
    <xf numFmtId="0" fontId="31" fillId="3" borderId="0" xfId="0" applyFont="1" applyFill="1"/>
    <xf numFmtId="10" fontId="3" fillId="0" borderId="0" xfId="0" applyNumberFormat="1" applyFont="1"/>
    <xf numFmtId="0" fontId="0" fillId="0" borderId="0" xfId="0" quotePrefix="1" applyAlignment="1">
      <alignment vertical="top"/>
    </xf>
    <xf numFmtId="10" fontId="0" fillId="0" borderId="0" xfId="0" applyNumberFormat="1" applyAlignment="1">
      <alignment vertical="top"/>
    </xf>
    <xf numFmtId="0" fontId="1" fillId="0" borderId="0" xfId="0" quotePrefix="1" applyFont="1" applyAlignment="1">
      <alignment vertical="top"/>
    </xf>
    <xf numFmtId="2" fontId="0" fillId="0" borderId="0" xfId="0" applyNumberFormat="1"/>
    <xf numFmtId="10" fontId="3" fillId="0" borderId="0" xfId="2" applyNumberFormat="1" applyFont="1"/>
    <xf numFmtId="14" fontId="0" fillId="0" borderId="0" xfId="0" applyNumberFormat="1"/>
    <xf numFmtId="10" fontId="0" fillId="5" borderId="8" xfId="0" applyNumberFormat="1" applyFill="1" applyBorder="1"/>
    <xf numFmtId="10" fontId="0" fillId="5" borderId="1" xfId="0" applyNumberFormat="1" applyFill="1" applyBorder="1"/>
    <xf numFmtId="165" fontId="3" fillId="0" borderId="15" xfId="1" applyNumberFormat="1" applyFont="1" applyBorder="1"/>
    <xf numFmtId="0" fontId="39" fillId="0" borderId="10" xfId="0" applyFont="1" applyBorder="1"/>
    <xf numFmtId="9" fontId="39" fillId="0" borderId="10" xfId="2" applyFont="1" applyBorder="1"/>
    <xf numFmtId="165" fontId="0" fillId="4" borderId="10" xfId="0" applyNumberFormat="1" applyFill="1" applyBorder="1"/>
    <xf numFmtId="9" fontId="39" fillId="4" borderId="10" xfId="2" applyFont="1" applyFill="1" applyBorder="1"/>
    <xf numFmtId="10" fontId="0" fillId="4" borderId="10" xfId="2" applyNumberFormat="1" applyFont="1" applyFill="1" applyBorder="1"/>
    <xf numFmtId="165" fontId="0" fillId="0" borderId="13" xfId="1" applyNumberFormat="1" applyFont="1" applyBorder="1"/>
    <xf numFmtId="165" fontId="0" fillId="0" borderId="14" xfId="1" applyNumberFormat="1" applyFont="1" applyBorder="1"/>
    <xf numFmtId="165" fontId="0" fillId="4" borderId="14" xfId="1" applyNumberFormat="1" applyFont="1" applyFill="1" applyBorder="1"/>
    <xf numFmtId="165" fontId="0" fillId="0" borderId="15" xfId="1" applyNumberFormat="1" applyFont="1" applyBorder="1"/>
    <xf numFmtId="10" fontId="0" fillId="0" borderId="3" xfId="0" applyNumberFormat="1" applyBorder="1"/>
    <xf numFmtId="10" fontId="0" fillId="4" borderId="3" xfId="0" applyNumberFormat="1" applyFill="1" applyBorder="1"/>
    <xf numFmtId="165" fontId="0" fillId="0" borderId="6" xfId="1" applyNumberFormat="1" applyFont="1" applyBorder="1"/>
    <xf numFmtId="165" fontId="0" fillId="4" borderId="3" xfId="1" applyNumberFormat="1" applyFont="1" applyFill="1" applyBorder="1"/>
    <xf numFmtId="165" fontId="0" fillId="4" borderId="4" xfId="1" applyNumberFormat="1" applyFont="1" applyFill="1" applyBorder="1"/>
    <xf numFmtId="165" fontId="2" fillId="4" borderId="10" xfId="1" applyNumberFormat="1" applyFont="1" applyFill="1" applyBorder="1"/>
    <xf numFmtId="165" fontId="6" fillId="0" borderId="10" xfId="1" applyNumberFormat="1" applyFont="1" applyBorder="1"/>
    <xf numFmtId="165" fontId="6" fillId="4" borderId="10" xfId="1" applyNumberFormat="1" applyFont="1" applyFill="1" applyBorder="1"/>
    <xf numFmtId="165" fontId="19" fillId="0" borderId="0" xfId="1" applyNumberFormat="1" applyFont="1" applyBorder="1"/>
    <xf numFmtId="165" fontId="0" fillId="0" borderId="2" xfId="1" applyNumberFormat="1" applyFont="1" applyBorder="1"/>
    <xf numFmtId="0" fontId="0" fillId="0" borderId="1" xfId="0" quotePrefix="1" applyBorder="1" applyAlignment="1">
      <alignment horizontal="left"/>
    </xf>
    <xf numFmtId="165" fontId="0" fillId="0" borderId="2" xfId="1" applyNumberFormat="1" applyFont="1" applyFill="1" applyBorder="1"/>
    <xf numFmtId="0" fontId="20" fillId="0" borderId="0" xfId="0" applyFont="1" applyAlignment="1">
      <alignment horizontal="left"/>
    </xf>
    <xf numFmtId="0" fontId="20" fillId="0" borderId="0" xfId="0" applyFont="1"/>
    <xf numFmtId="0" fontId="40" fillId="0" borderId="0" xfId="0" applyFont="1"/>
    <xf numFmtId="165" fontId="34" fillId="0" borderId="14" xfId="1" applyNumberFormat="1" applyFont="1" applyBorder="1"/>
    <xf numFmtId="165" fontId="19" fillId="0" borderId="11" xfId="1" applyNumberFormat="1" applyFont="1" applyBorder="1"/>
    <xf numFmtId="165" fontId="0" fillId="0" borderId="10" xfId="1" applyNumberFormat="1" applyFont="1" applyFill="1" applyBorder="1"/>
    <xf numFmtId="165" fontId="11" fillId="0" borderId="11" xfId="1" applyNumberFormat="1" applyFont="1" applyBorder="1"/>
    <xf numFmtId="165" fontId="19" fillId="4" borderId="10" xfId="1" applyNumberFormat="1" applyFont="1" applyFill="1" applyBorder="1"/>
    <xf numFmtId="3" fontId="0" fillId="0" borderId="10" xfId="0" applyNumberFormat="1" applyBorder="1"/>
    <xf numFmtId="3" fontId="0" fillId="0" borderId="11" xfId="0" applyNumberFormat="1" applyBorder="1"/>
    <xf numFmtId="165" fontId="2" fillId="0" borderId="10" xfId="1" applyNumberFormat="1" applyFont="1" applyFill="1" applyBorder="1"/>
    <xf numFmtId="165" fontId="12" fillId="0" borderId="14" xfId="1" applyNumberFormat="1" applyFont="1" applyBorder="1"/>
    <xf numFmtId="165" fontId="12" fillId="0" borderId="0" xfId="1" applyNumberFormat="1" applyFont="1" applyBorder="1"/>
    <xf numFmtId="165" fontId="14" fillId="0" borderId="15" xfId="1" applyNumberFormat="1" applyFont="1" applyBorder="1"/>
    <xf numFmtId="165" fontId="20" fillId="0" borderId="10" xfId="1" applyNumberFormat="1" applyFont="1" applyBorder="1"/>
    <xf numFmtId="165" fontId="0" fillId="0" borderId="9" xfId="1" applyNumberFormat="1" applyFont="1" applyBorder="1"/>
    <xf numFmtId="165" fontId="0" fillId="0" borderId="7" xfId="1" applyNumberFormat="1" applyFont="1" applyBorder="1" applyAlignment="1">
      <alignment horizontal="right"/>
    </xf>
    <xf numFmtId="3" fontId="0" fillId="0" borderId="7" xfId="0" applyNumberFormat="1" applyBorder="1"/>
    <xf numFmtId="3" fontId="18" fillId="0" borderId="10" xfId="0" applyNumberFormat="1" applyFont="1" applyBorder="1"/>
    <xf numFmtId="3" fontId="18" fillId="0" borderId="11" xfId="0" applyNumberFormat="1" applyFont="1" applyBorder="1"/>
    <xf numFmtId="3" fontId="0" fillId="0" borderId="8" xfId="0" applyNumberFormat="1" applyBorder="1"/>
    <xf numFmtId="3" fontId="18" fillId="0" borderId="3" xfId="0" applyNumberFormat="1" applyFont="1" applyBorder="1"/>
    <xf numFmtId="3" fontId="18" fillId="0" borderId="4" xfId="0" applyNumberFormat="1" applyFont="1" applyBorder="1"/>
    <xf numFmtId="3" fontId="18" fillId="0" borderId="7" xfId="0" applyNumberFormat="1" applyFont="1" applyBorder="1"/>
    <xf numFmtId="3" fontId="18" fillId="0" borderId="8" xfId="0" applyNumberFormat="1" applyFont="1" applyBorder="1"/>
    <xf numFmtId="165" fontId="0" fillId="0" borderId="9" xfId="0" applyNumberFormat="1" applyBorder="1"/>
    <xf numFmtId="165" fontId="0" fillId="0" borderId="5" xfId="0" applyNumberFormat="1" applyBorder="1"/>
    <xf numFmtId="165" fontId="0" fillId="0" borderId="15" xfId="0" applyNumberFormat="1" applyBorder="1" applyAlignment="1">
      <alignment horizontal="center"/>
    </xf>
    <xf numFmtId="165" fontId="0" fillId="0" borderId="3" xfId="0" applyNumberFormat="1" applyBorder="1"/>
    <xf numFmtId="165" fontId="0" fillId="0" borderId="2" xfId="0" applyNumberFormat="1" applyBorder="1" applyAlignment="1">
      <alignment horizontal="right"/>
    </xf>
    <xf numFmtId="165" fontId="20" fillId="0" borderId="0" xfId="0" applyNumberFormat="1" applyFont="1"/>
    <xf numFmtId="165" fontId="0" fillId="0" borderId="14" xfId="0" applyNumberFormat="1" applyBorder="1"/>
    <xf numFmtId="165" fontId="6" fillId="0" borderId="15" xfId="1" applyNumberFormat="1" applyFont="1" applyBorder="1"/>
    <xf numFmtId="165" fontId="0" fillId="0" borderId="2" xfId="0" applyNumberFormat="1" applyBorder="1"/>
    <xf numFmtId="0" fontId="41" fillId="0" borderId="0" xfId="0" applyFont="1"/>
    <xf numFmtId="3" fontId="3" fillId="0" borderId="2" xfId="0" applyNumberFormat="1" applyFont="1" applyBorder="1"/>
    <xf numFmtId="165" fontId="15" fillId="0" borderId="0" xfId="1" applyNumberFormat="1" applyFont="1"/>
    <xf numFmtId="0" fontId="42" fillId="0" borderId="0" xfId="0" applyFont="1"/>
    <xf numFmtId="0" fontId="6" fillId="0" borderId="0" xfId="0" applyFont="1"/>
    <xf numFmtId="165" fontId="20" fillId="0" borderId="9" xfId="1" applyNumberFormat="1" applyFont="1" applyBorder="1"/>
    <xf numFmtId="0" fontId="0" fillId="3" borderId="13" xfId="0" applyFill="1" applyBorder="1"/>
    <xf numFmtId="0" fontId="43" fillId="3" borderId="12" xfId="0" applyFont="1" applyFill="1" applyBorder="1"/>
    <xf numFmtId="0" fontId="20" fillId="3" borderId="13" xfId="0" applyFont="1" applyFill="1" applyBorder="1"/>
    <xf numFmtId="0" fontId="20" fillId="3" borderId="0" xfId="0" applyFont="1" applyFill="1"/>
    <xf numFmtId="0" fontId="41" fillId="3" borderId="0" xfId="0" applyFont="1" applyFill="1"/>
    <xf numFmtId="165" fontId="0" fillId="3" borderId="14" xfId="1" applyNumberFormat="1" applyFont="1" applyFill="1" applyBorder="1"/>
    <xf numFmtId="0" fontId="0" fillId="3" borderId="12" xfId="0" applyFill="1" applyBorder="1" applyAlignment="1">
      <alignment horizontal="left"/>
    </xf>
    <xf numFmtId="0" fontId="0" fillId="6" borderId="0" xfId="0" applyFill="1"/>
    <xf numFmtId="165" fontId="2" fillId="6" borderId="10" xfId="1" applyNumberFormat="1" applyFont="1" applyFill="1" applyBorder="1"/>
    <xf numFmtId="165" fontId="2" fillId="6" borderId="9" xfId="1" applyNumberFormat="1" applyFont="1" applyFill="1" applyBorder="1"/>
    <xf numFmtId="165" fontId="2" fillId="6" borderId="11" xfId="1" applyNumberFormat="1" applyFont="1" applyFill="1" applyBorder="1"/>
    <xf numFmtId="0" fontId="0" fillId="6" borderId="9" xfId="0" applyFill="1" applyBorder="1" applyAlignment="1">
      <alignment horizontal="left"/>
    </xf>
    <xf numFmtId="165" fontId="2" fillId="4" borderId="9" xfId="1" applyNumberFormat="1" applyFont="1" applyFill="1" applyBorder="1"/>
    <xf numFmtId="165" fontId="2" fillId="4" borderId="11" xfId="1" applyNumberFormat="1" applyFont="1" applyFill="1" applyBorder="1"/>
    <xf numFmtId="0" fontId="20" fillId="0" borderId="0" xfId="0" applyFont="1" applyAlignment="1">
      <alignment horizontal="center"/>
    </xf>
    <xf numFmtId="0" fontId="20" fillId="0" borderId="0" xfId="0" applyFont="1" applyAlignment="1">
      <alignment horizontal="right"/>
    </xf>
    <xf numFmtId="46" fontId="20" fillId="0" borderId="0" xfId="0" applyNumberFormat="1" applyFont="1"/>
    <xf numFmtId="14" fontId="0" fillId="0" borderId="3" xfId="0" applyNumberFormat="1" applyBorder="1" applyAlignment="1">
      <alignment horizontal="center"/>
    </xf>
    <xf numFmtId="14" fontId="0" fillId="4" borderId="3" xfId="0" applyNumberFormat="1" applyFill="1" applyBorder="1" applyAlignment="1">
      <alignment horizontal="center"/>
    </xf>
    <xf numFmtId="14" fontId="0" fillId="0" borderId="0" xfId="0" applyNumberFormat="1" applyAlignment="1">
      <alignment horizontal="center"/>
    </xf>
    <xf numFmtId="14" fontId="4" fillId="7" borderId="3" xfId="0" applyNumberFormat="1" applyFont="1" applyFill="1" applyBorder="1" applyAlignment="1">
      <alignment horizontal="center"/>
    </xf>
    <xf numFmtId="4" fontId="4" fillId="7" borderId="4" xfId="0" applyNumberFormat="1" applyFont="1" applyFill="1" applyBorder="1"/>
    <xf numFmtId="165" fontId="17" fillId="7" borderId="10" xfId="1" applyNumberFormat="1" applyFont="1" applyFill="1" applyBorder="1"/>
    <xf numFmtId="165" fontId="4" fillId="7" borderId="10" xfId="1" applyNumberFormat="1" applyFont="1" applyFill="1" applyBorder="1"/>
    <xf numFmtId="165" fontId="44" fillId="7" borderId="10" xfId="1" applyNumberFormat="1" applyFont="1" applyFill="1" applyBorder="1"/>
    <xf numFmtId="165" fontId="34" fillId="7" borderId="14" xfId="1" applyNumberFormat="1" applyFont="1" applyFill="1" applyBorder="1"/>
    <xf numFmtId="10" fontId="0" fillId="8" borderId="0" xfId="2" applyNumberFormat="1" applyFont="1" applyFill="1"/>
    <xf numFmtId="10" fontId="0" fillId="8" borderId="9" xfId="0" applyNumberFormat="1" applyFill="1" applyBorder="1"/>
    <xf numFmtId="10" fontId="0" fillId="8" borderId="0" xfId="0" applyNumberFormat="1" applyFill="1"/>
    <xf numFmtId="10" fontId="0" fillId="8" borderId="5" xfId="0" applyNumberFormat="1" applyFill="1" applyBorder="1"/>
    <xf numFmtId="10" fontId="0" fillId="8" borderId="6" xfId="0" applyNumberFormat="1" applyFill="1" applyBorder="1"/>
    <xf numFmtId="10" fontId="0" fillId="8" borderId="8" xfId="0" applyNumberFormat="1" applyFill="1" applyBorder="1"/>
    <xf numFmtId="10" fontId="0" fillId="8" borderId="11" xfId="0" applyNumberFormat="1" applyFill="1" applyBorder="1"/>
    <xf numFmtId="14" fontId="3" fillId="0" borderId="3" xfId="0" applyNumberFormat="1" applyFont="1" applyBorder="1" applyAlignment="1">
      <alignment horizontal="center"/>
    </xf>
    <xf numFmtId="14" fontId="3" fillId="4" borderId="3" xfId="0" applyNumberFormat="1" applyFont="1" applyFill="1" applyBorder="1" applyAlignment="1">
      <alignment horizontal="center"/>
    </xf>
    <xf numFmtId="10" fontId="26" fillId="0" borderId="0" xfId="0" applyNumberFormat="1" applyFont="1"/>
    <xf numFmtId="10" fontId="26" fillId="0" borderId="0" xfId="2" applyNumberFormat="1" applyFont="1"/>
    <xf numFmtId="0" fontId="20" fillId="0" borderId="0" xfId="0" applyFont="1" applyAlignment="1">
      <alignment horizontal="center" vertical="center" wrapText="1"/>
    </xf>
    <xf numFmtId="0" fontId="19" fillId="0" borderId="3" xfId="0" applyFont="1" applyBorder="1" applyAlignment="1">
      <alignment horizontal="center"/>
    </xf>
    <xf numFmtId="165" fontId="19" fillId="0" borderId="3" xfId="1" applyNumberFormat="1" applyFont="1" applyBorder="1"/>
    <xf numFmtId="0" fontId="3" fillId="0" borderId="9" xfId="0" applyFont="1" applyBorder="1" applyAlignment="1">
      <alignment horizontal="left"/>
    </xf>
    <xf numFmtId="0" fontId="20" fillId="0" borderId="0" xfId="0" applyFont="1" applyAlignment="1">
      <alignment vertical="top" wrapText="1"/>
    </xf>
    <xf numFmtId="0" fontId="45" fillId="0" borderId="0" xfId="0" applyFont="1"/>
    <xf numFmtId="165" fontId="26" fillId="0" borderId="0" xfId="1" applyNumberFormat="1" applyFont="1"/>
    <xf numFmtId="165" fontId="26" fillId="0" borderId="0" xfId="0" applyNumberFormat="1" applyFont="1"/>
    <xf numFmtId="3" fontId="3" fillId="0" borderId="0" xfId="0" applyNumberFormat="1" applyFont="1" applyAlignment="1">
      <alignment horizontal="center"/>
    </xf>
    <xf numFmtId="165" fontId="20" fillId="0" borderId="14" xfId="1" applyNumberFormat="1" applyFont="1" applyFill="1" applyBorder="1"/>
    <xf numFmtId="165" fontId="20" fillId="0" borderId="12" xfId="1" applyNumberFormat="1" applyFont="1" applyFill="1" applyBorder="1"/>
    <xf numFmtId="3" fontId="20" fillId="0" borderId="0" xfId="0" applyNumberFormat="1" applyFont="1" applyAlignment="1">
      <alignment horizontal="center"/>
    </xf>
    <xf numFmtId="165" fontId="20" fillId="0" borderId="0" xfId="1" applyNumberFormat="1" applyFont="1" applyFill="1"/>
    <xf numFmtId="165" fontId="20" fillId="0" borderId="0" xfId="1" applyNumberFormat="1" applyFont="1" applyFill="1" applyBorder="1"/>
    <xf numFmtId="165" fontId="34" fillId="0" borderId="0" xfId="1" applyNumberFormat="1" applyFont="1" applyFill="1" applyBorder="1"/>
    <xf numFmtId="166" fontId="0" fillId="0" borderId="0" xfId="1" applyNumberFormat="1" applyFont="1"/>
    <xf numFmtId="167" fontId="0" fillId="0" borderId="0" xfId="0" applyNumberFormat="1"/>
    <xf numFmtId="10" fontId="20" fillId="0" borderId="0" xfId="0" applyNumberFormat="1" applyFont="1"/>
    <xf numFmtId="165" fontId="0" fillId="4" borderId="14" xfId="0" applyNumberFormat="1" applyFill="1" applyBorder="1"/>
    <xf numFmtId="0" fontId="0" fillId="3" borderId="3" xfId="0" applyFill="1" applyBorder="1" applyAlignment="1">
      <alignment horizontal="center"/>
    </xf>
    <xf numFmtId="165" fontId="0" fillId="3" borderId="14" xfId="0" applyNumberFormat="1" applyFill="1" applyBorder="1"/>
    <xf numFmtId="165" fontId="20" fillId="4" borderId="0" xfId="1" applyNumberFormat="1" applyFont="1" applyFill="1" applyBorder="1"/>
    <xf numFmtId="165" fontId="34" fillId="4" borderId="0" xfId="1" applyNumberFormat="1" applyFont="1" applyFill="1" applyBorder="1"/>
    <xf numFmtId="165" fontId="20" fillId="4" borderId="0" xfId="0" applyNumberFormat="1" applyFont="1" applyFill="1"/>
    <xf numFmtId="4" fontId="0" fillId="4" borderId="3" xfId="0" applyNumberFormat="1" applyFill="1" applyBorder="1"/>
    <xf numFmtId="165" fontId="0" fillId="0" borderId="0" xfId="1" applyNumberFormat="1" applyFont="1" applyFill="1" applyBorder="1"/>
    <xf numFmtId="165" fontId="4" fillId="0" borderId="0" xfId="1" applyNumberFormat="1" applyFont="1" applyFill="1" applyBorder="1"/>
    <xf numFmtId="0" fontId="0" fillId="0" borderId="16" xfId="0" applyBorder="1"/>
    <xf numFmtId="0" fontId="0" fillId="0" borderId="17" xfId="0" applyBorder="1"/>
    <xf numFmtId="0" fontId="0" fillId="0" borderId="17" xfId="0" applyBorder="1" applyAlignment="1">
      <alignment horizontal="center"/>
    </xf>
    <xf numFmtId="0" fontId="15" fillId="0" borderId="17" xfId="0" applyFont="1" applyBorder="1" applyAlignment="1">
      <alignment horizontal="right"/>
    </xf>
    <xf numFmtId="0" fontId="3" fillId="0" borderId="17" xfId="0" applyFont="1" applyBorder="1"/>
    <xf numFmtId="3" fontId="3" fillId="0" borderId="18" xfId="0" applyNumberFormat="1" applyFont="1" applyBorder="1"/>
    <xf numFmtId="0" fontId="21" fillId="0" borderId="0" xfId="0" applyFont="1"/>
    <xf numFmtId="169" fontId="0" fillId="0" borderId="0" xfId="0" applyNumberFormat="1"/>
    <xf numFmtId="0" fontId="3" fillId="0" borderId="0" xfId="0" applyFont="1" applyAlignment="1">
      <alignment horizontal="center"/>
    </xf>
    <xf numFmtId="14" fontId="0" fillId="0" borderId="14" xfId="0" applyNumberFormat="1" applyBorder="1" applyAlignment="1">
      <alignment horizontal="center"/>
    </xf>
    <xf numFmtId="0" fontId="3" fillId="0" borderId="11" xfId="0" applyFont="1" applyBorder="1" applyAlignment="1">
      <alignment horizontal="center" vertical="center" wrapText="1"/>
    </xf>
    <xf numFmtId="4" fontId="18" fillId="0" borderId="6" xfId="0" applyNumberFormat="1" applyFont="1" applyBorder="1"/>
    <xf numFmtId="10" fontId="0" fillId="0" borderId="6" xfId="2" applyNumberFormat="1" applyFont="1" applyBorder="1" applyAlignment="1">
      <alignment horizontal="center"/>
    </xf>
    <xf numFmtId="9" fontId="0" fillId="0" borderId="0" xfId="2" applyFont="1" applyBorder="1"/>
    <xf numFmtId="4" fontId="4" fillId="0" borderId="6" xfId="0" applyNumberFormat="1" applyFont="1" applyBorder="1"/>
    <xf numFmtId="3" fontId="0" fillId="0" borderId="6" xfId="0" applyNumberFormat="1" applyBorder="1"/>
    <xf numFmtId="165" fontId="3" fillId="0" borderId="2" xfId="0" applyNumberFormat="1" applyFont="1" applyBorder="1" applyAlignment="1">
      <alignment horizontal="right"/>
    </xf>
    <xf numFmtId="165" fontId="20" fillId="0" borderId="4" xfId="0" applyNumberFormat="1" applyFont="1" applyBorder="1"/>
    <xf numFmtId="0" fontId="3" fillId="0" borderId="0" xfId="0" applyFont="1" applyAlignment="1">
      <alignment horizontal="center" vertical="center" wrapText="1"/>
    </xf>
    <xf numFmtId="165" fontId="0" fillId="0" borderId="11" xfId="1" applyNumberFormat="1" applyFont="1" applyFill="1" applyBorder="1"/>
    <xf numFmtId="0" fontId="26" fillId="0" borderId="6" xfId="0" applyFont="1" applyBorder="1"/>
    <xf numFmtId="0" fontId="0" fillId="0" borderId="6" xfId="0" applyBorder="1" applyAlignment="1">
      <alignment horizontal="center"/>
    </xf>
    <xf numFmtId="0" fontId="15" fillId="0" borderId="6" xfId="0" applyFont="1" applyBorder="1" applyAlignment="1">
      <alignment horizontal="right"/>
    </xf>
    <xf numFmtId="165" fontId="15" fillId="0" borderId="8" xfId="1" applyNumberFormat="1" applyFont="1" applyBorder="1"/>
    <xf numFmtId="0" fontId="46" fillId="0" borderId="0" xfId="0" applyFont="1"/>
    <xf numFmtId="10" fontId="3" fillId="0" borderId="0" xfId="0" applyNumberFormat="1" applyFont="1" applyAlignment="1">
      <alignment horizontal="center"/>
    </xf>
    <xf numFmtId="10" fontId="0" fillId="0" borderId="0" xfId="2" applyNumberFormat="1" applyFont="1" applyBorder="1"/>
    <xf numFmtId="10" fontId="0" fillId="0" borderId="0" xfId="2" applyNumberFormat="1" applyFont="1" applyFill="1" applyBorder="1"/>
    <xf numFmtId="0" fontId="3" fillId="0" borderId="1" xfId="0" applyFont="1" applyBorder="1"/>
    <xf numFmtId="14" fontId="0" fillId="0" borderId="9" xfId="0" applyNumberFormat="1" applyBorder="1"/>
    <xf numFmtId="14" fontId="15" fillId="0" borderId="6" xfId="0" applyNumberFormat="1" applyFont="1" applyBorder="1"/>
    <xf numFmtId="0" fontId="15" fillId="0" borderId="6" xfId="0" applyFont="1" applyBorder="1"/>
    <xf numFmtId="0" fontId="15" fillId="0" borderId="6" xfId="0" applyFont="1" applyBorder="1" applyAlignment="1">
      <alignment horizontal="center"/>
    </xf>
    <xf numFmtId="43" fontId="15" fillId="0" borderId="8" xfId="1" applyFont="1" applyFill="1" applyBorder="1"/>
    <xf numFmtId="0" fontId="0" fillId="0" borderId="9" xfId="0" applyBorder="1" applyAlignment="1">
      <alignment wrapText="1"/>
    </xf>
    <xf numFmtId="43" fontId="3" fillId="2" borderId="0" xfId="1" applyFont="1" applyFill="1"/>
    <xf numFmtId="0" fontId="3" fillId="2" borderId="0" xfId="0" applyFont="1" applyFill="1"/>
    <xf numFmtId="0" fontId="3" fillId="2" borderId="0" xfId="0" applyFont="1" applyFill="1" applyAlignment="1">
      <alignment horizontal="center"/>
    </xf>
    <xf numFmtId="165" fontId="11" fillId="0" borderId="11" xfId="1" applyNumberFormat="1" applyFont="1" applyFill="1" applyBorder="1"/>
    <xf numFmtId="165" fontId="2" fillId="0" borderId="11" xfId="1" applyNumberFormat="1" applyFont="1" applyFill="1" applyBorder="1"/>
    <xf numFmtId="165" fontId="44" fillId="4" borderId="10" xfId="1" applyNumberFormat="1" applyFont="1" applyFill="1" applyBorder="1"/>
    <xf numFmtId="14" fontId="4" fillId="0" borderId="4" xfId="0" applyNumberFormat="1" applyFont="1" applyBorder="1"/>
    <xf numFmtId="14" fontId="4" fillId="0" borderId="14" xfId="0" applyNumberFormat="1" applyFont="1" applyBorder="1" applyAlignment="1">
      <alignment horizontal="center"/>
    </xf>
    <xf numFmtId="0" fontId="4" fillId="0" borderId="4" xfId="0" applyFont="1" applyBorder="1"/>
    <xf numFmtId="0" fontId="4" fillId="0" borderId="10" xfId="0" applyFont="1" applyBorder="1"/>
    <xf numFmtId="165" fontId="17" fillId="0" borderId="11" xfId="1" applyNumberFormat="1" applyFont="1" applyFill="1" applyBorder="1"/>
    <xf numFmtId="165" fontId="17" fillId="0" borderId="10" xfId="1" applyNumberFormat="1" applyFont="1" applyFill="1" applyBorder="1"/>
    <xf numFmtId="165" fontId="4" fillId="0" borderId="11" xfId="1" applyNumberFormat="1" applyFont="1" applyFill="1" applyBorder="1"/>
    <xf numFmtId="165" fontId="4" fillId="0" borderId="10" xfId="1" applyNumberFormat="1" applyFont="1" applyFill="1" applyBorder="1"/>
    <xf numFmtId="165" fontId="4" fillId="0" borderId="10" xfId="0" applyNumberFormat="1" applyFont="1" applyBorder="1"/>
    <xf numFmtId="165" fontId="11" fillId="0" borderId="10" xfId="1" applyNumberFormat="1" applyFont="1" applyFill="1" applyBorder="1"/>
    <xf numFmtId="165" fontId="4" fillId="0" borderId="7" xfId="0" applyNumberFormat="1" applyFont="1" applyBorder="1"/>
    <xf numFmtId="165" fontId="34" fillId="0" borderId="14" xfId="1" applyNumberFormat="1" applyFont="1" applyFill="1" applyBorder="1"/>
    <xf numFmtId="165" fontId="19" fillId="0" borderId="10" xfId="1" applyNumberFormat="1" applyFont="1" applyFill="1" applyBorder="1"/>
    <xf numFmtId="165" fontId="19" fillId="0" borderId="11" xfId="1" applyNumberFormat="1" applyFont="1" applyFill="1" applyBorder="1"/>
    <xf numFmtId="165" fontId="35" fillId="0" borderId="10" xfId="1" applyNumberFormat="1" applyFont="1" applyFill="1" applyBorder="1"/>
    <xf numFmtId="165" fontId="6" fillId="0" borderId="10" xfId="1" applyNumberFormat="1" applyFont="1" applyFill="1" applyBorder="1"/>
    <xf numFmtId="43" fontId="3" fillId="0" borderId="0" xfId="1" applyFont="1" applyFill="1" applyBorder="1" applyAlignment="1">
      <alignment horizontal="right"/>
    </xf>
    <xf numFmtId="9" fontId="0" fillId="0" borderId="0" xfId="1" applyNumberFormat="1" applyFont="1"/>
    <xf numFmtId="9" fontId="0" fillId="0" borderId="0" xfId="2" applyFont="1"/>
    <xf numFmtId="0" fontId="20" fillId="0" borderId="0" xfId="0" applyFont="1" applyAlignment="1">
      <alignment vertical="top"/>
    </xf>
    <xf numFmtId="0" fontId="0" fillId="0" borderId="0" xfId="0" applyAlignment="1">
      <alignment horizontal="left" vertical="top"/>
    </xf>
    <xf numFmtId="0" fontId="20" fillId="0" borderId="0" xfId="0" quotePrefix="1" applyFont="1" applyAlignment="1">
      <alignment vertical="top"/>
    </xf>
    <xf numFmtId="0" fontId="3" fillId="0" borderId="0" xfId="0" applyFont="1" applyAlignment="1">
      <alignment horizontal="left"/>
    </xf>
    <xf numFmtId="165" fontId="3" fillId="0" borderId="0" xfId="0" applyNumberFormat="1" applyFont="1"/>
    <xf numFmtId="168" fontId="47" fillId="0" borderId="0" xfId="0" applyNumberFormat="1" applyFont="1"/>
    <xf numFmtId="0" fontId="47" fillId="0" borderId="0" xfId="0" applyFont="1"/>
    <xf numFmtId="4" fontId="47" fillId="0" borderId="0" xfId="0" applyNumberFormat="1" applyFont="1"/>
    <xf numFmtId="0" fontId="19" fillId="0" borderId="0" xfId="0" applyFont="1"/>
    <xf numFmtId="0" fontId="9" fillId="0" borderId="0" xfId="0" applyFont="1" applyAlignment="1">
      <alignment horizontal="center"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wrapText="1"/>
    </xf>
    <xf numFmtId="2" fontId="0" fillId="0" borderId="0" xfId="0" applyNumberFormat="1" applyAlignment="1">
      <alignment vertical="top" wrapText="1"/>
    </xf>
    <xf numFmtId="0" fontId="8" fillId="0" borderId="0" xfId="0" applyFont="1" applyAlignment="1">
      <alignment horizontal="center" vertical="center" wrapText="1"/>
    </xf>
    <xf numFmtId="0" fontId="0" fillId="0" borderId="0" xfId="0"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horizontal="center" vertical="center" wrapText="1"/>
    </xf>
    <xf numFmtId="0" fontId="8"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0" fillId="0" borderId="0" xfId="0"/>
    <xf numFmtId="0" fontId="9" fillId="0" borderId="0" xfId="0" applyFont="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20" fillId="0" borderId="0" xfId="0" applyFont="1" applyAlignment="1">
      <alignment wrapText="1"/>
    </xf>
    <xf numFmtId="0" fontId="0" fillId="0" borderId="0" xfId="0" applyAlignment="1">
      <alignment vertical="top"/>
    </xf>
    <xf numFmtId="0" fontId="0" fillId="0" borderId="0" xfId="0" quotePrefix="1" applyAlignment="1">
      <alignment vertical="top" wrapText="1"/>
    </xf>
    <xf numFmtId="0" fontId="3" fillId="0" borderId="12" xfId="0" applyFont="1" applyBorder="1" applyAlignment="1">
      <alignment horizontal="center"/>
    </xf>
    <xf numFmtId="0" fontId="3" fillId="0" borderId="13" xfId="0" applyFont="1" applyBorder="1" applyAlignment="1">
      <alignment horizontal="center"/>
    </xf>
    <xf numFmtId="0" fontId="3" fillId="0" borderId="15" xfId="0" applyFont="1" applyBorder="1" applyAlignment="1">
      <alignment horizont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wrapText="1"/>
    </xf>
    <xf numFmtId="0" fontId="0" fillId="0" borderId="2" xfId="0" applyBorder="1" applyAlignment="1">
      <alignment wrapText="1"/>
    </xf>
    <xf numFmtId="0" fontId="0" fillId="0" borderId="9" xfId="0" applyBorder="1" applyAlignment="1">
      <alignment wrapText="1"/>
    </xf>
  </cellXfs>
  <cellStyles count="4">
    <cellStyle name="Hyperlink" xfId="3" builtinId="8"/>
    <cellStyle name="Komma" xfId="1" builtinId="3"/>
    <cellStyle name="Procent" xfId="2"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7.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hartsheet" Target="chartsheets/sheet1.xml"/><Relationship Id="rId20" Type="http://schemas.openxmlformats.org/officeDocument/2006/relationships/worksheet" Target="worksheets/sheet1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8.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1.xml"/><Relationship Id="rId27" Type="http://schemas.microsoft.com/office/2017/10/relationships/person" Target="persons/person.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'Eigen vermogenswaarde'!$F$46:$K$47</c:f>
              <c:multiLvlStrCache>
                <c:ptCount val="6"/>
                <c:lvl>
                  <c:pt idx="0">
                    <c:v>waarde</c:v>
                  </c:pt>
                  <c:pt idx="1">
                    <c:v>per 30/06/2025</c:v>
                  </c:pt>
                  <c:pt idx="2">
                    <c:v>waarde</c:v>
                  </c:pt>
                  <c:pt idx="3">
                    <c:v>derwaarde</c:v>
                  </c:pt>
                  <c:pt idx="4">
                    <c:v>belasting</c:v>
                  </c:pt>
                  <c:pt idx="5">
                    <c:v>waarde</c:v>
                  </c:pt>
                </c:lvl>
                <c:lvl>
                  <c:pt idx="0">
                    <c:v>Aanschaffings-</c:v>
                  </c:pt>
                  <c:pt idx="1">
                    <c:v>Boekwaarde</c:v>
                  </c:pt>
                  <c:pt idx="2">
                    <c:v>intrinsieke</c:v>
                  </c:pt>
                  <c:pt idx="3">
                    <c:v>meer of min-</c:v>
                  </c:pt>
                  <c:pt idx="4">
                    <c:v>latente </c:v>
                  </c:pt>
                  <c:pt idx="5">
                    <c:v>weerhouden </c:v>
                  </c:pt>
                </c:lvl>
              </c:multiLvlStrCache>
            </c:multiLvlStrRef>
          </c:cat>
          <c:val>
            <c:numRef>
              <c:f>'Eigen vermogenswaarde'!$F$48:$K$48</c:f>
              <c:numCache>
                <c:formatCode>#,##0.00</c:formatCode>
                <c:ptCount val="6"/>
              </c:numCache>
            </c:numRef>
          </c:val>
          <c:extLst>
            <c:ext xmlns:c16="http://schemas.microsoft.com/office/drawing/2014/chart" uri="{C3380CC4-5D6E-409C-BE32-E72D297353CC}">
              <c16:uniqueId val="{00000000-87F9-4126-8FA0-1CB41390AA1C}"/>
            </c:ext>
          </c:extLst>
        </c:ser>
        <c:ser>
          <c:idx val="1"/>
          <c:order val="1"/>
          <c:spPr>
            <a:solidFill>
              <a:schemeClr val="accent2"/>
            </a:solidFill>
            <a:ln>
              <a:noFill/>
            </a:ln>
            <a:effectLst/>
          </c:spPr>
          <c:invertIfNegative val="0"/>
          <c:cat>
            <c:multiLvlStrRef>
              <c:f>'Eigen vermogenswaarde'!$F$46:$K$47</c:f>
              <c:multiLvlStrCache>
                <c:ptCount val="6"/>
                <c:lvl>
                  <c:pt idx="0">
                    <c:v>waarde</c:v>
                  </c:pt>
                  <c:pt idx="1">
                    <c:v>per 30/06/2025</c:v>
                  </c:pt>
                  <c:pt idx="2">
                    <c:v>waarde</c:v>
                  </c:pt>
                  <c:pt idx="3">
                    <c:v>derwaarde</c:v>
                  </c:pt>
                  <c:pt idx="4">
                    <c:v>belasting</c:v>
                  </c:pt>
                  <c:pt idx="5">
                    <c:v>waarde</c:v>
                  </c:pt>
                </c:lvl>
                <c:lvl>
                  <c:pt idx="0">
                    <c:v>Aanschaffings-</c:v>
                  </c:pt>
                  <c:pt idx="1">
                    <c:v>Boekwaarde</c:v>
                  </c:pt>
                  <c:pt idx="2">
                    <c:v>intrinsieke</c:v>
                  </c:pt>
                  <c:pt idx="3">
                    <c:v>meer of min-</c:v>
                  </c:pt>
                  <c:pt idx="4">
                    <c:v>latente </c:v>
                  </c:pt>
                  <c:pt idx="5">
                    <c:v>weerhouden </c:v>
                  </c:pt>
                </c:lvl>
              </c:multiLvlStrCache>
            </c:multiLvlStrRef>
          </c:cat>
          <c:val>
            <c:numRef>
              <c:f>'Eigen vermogenswaarde'!$F$49:$K$49</c:f>
              <c:numCache>
                <c:formatCode>_ * #,##0_ ;_ * \-#,##0_ ;_ * "-"??_ ;_ @_ </c:formatCode>
                <c:ptCount val="6"/>
                <c:pt idx="0">
                  <c:v>0</c:v>
                </c:pt>
                <c:pt idx="1">
                  <c:v>950625</c:v>
                </c:pt>
                <c:pt idx="2">
                  <c:v>950625</c:v>
                </c:pt>
                <c:pt idx="5">
                  <c:v>950625</c:v>
                </c:pt>
              </c:numCache>
            </c:numRef>
          </c:val>
          <c:extLst>
            <c:ext xmlns:c16="http://schemas.microsoft.com/office/drawing/2014/chart" uri="{C3380CC4-5D6E-409C-BE32-E72D297353CC}">
              <c16:uniqueId val="{00000001-87F9-4126-8FA0-1CB41390AA1C}"/>
            </c:ext>
          </c:extLst>
        </c:ser>
        <c:dLbls>
          <c:showLegendKey val="0"/>
          <c:showVal val="0"/>
          <c:showCatName val="0"/>
          <c:showSerName val="0"/>
          <c:showPercent val="0"/>
          <c:showBubbleSize val="0"/>
        </c:dLbls>
        <c:gapWidth val="219"/>
        <c:overlap val="-27"/>
        <c:axId val="195035216"/>
        <c:axId val="166333712"/>
      </c:barChart>
      <c:catAx>
        <c:axId val="19503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6333712"/>
        <c:crosses val="autoZero"/>
        <c:auto val="1"/>
        <c:lblAlgn val="ctr"/>
        <c:lblOffset val="100"/>
        <c:noMultiLvlLbl val="0"/>
      </c:catAx>
      <c:valAx>
        <c:axId val="166333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9503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nl-BE"/>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763524C-783F-405F-8789-D55BA7BBE1AE}">
  <sheetPr/>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9298983" cy="6078242"/>
    <xdr:graphicFrame macro="">
      <xdr:nvGraphicFramePr>
        <xdr:cNvPr id="2" name="Grafiek 1">
          <a:extLst>
            <a:ext uri="{FF2B5EF4-FFF2-40B4-BE49-F238E27FC236}">
              <a16:creationId xmlns:a16="http://schemas.microsoft.com/office/drawing/2014/main" id="{0624428F-8D14-4F71-ACDC-31C2C2089D7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Jordy Lauret" id="{D846854D-04AA-4AE7-B820-01D334A66045}" userId="S::jordy.lauret@balan-z.be::8f675bc7-712b-499f-81db-f9f4c07c1ca5"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40" dT="2025-08-28T09:35:47.28" personId="{D846854D-04AA-4AE7-B820-01D334A66045}" id="{BB8A4B84-05C1-496B-98D9-83FE5A3E08B2}">
    <text>Logisch want minder verkoop hardware, meer dienstverlening tegen hogere marge. Niet meer afhankelijk van aankoopprijs product</text>
  </threadedComment>
  <threadedComment ref="G48" dT="2025-08-28T09:36:20.93" personId="{D846854D-04AA-4AE7-B820-01D334A66045}" id="{BBEBE1D0-DF61-4B54-AC9A-4E0568A9DBA2}">
    <text xml:space="preserve">Balans nog in te geven en vervolgens formule te plakken
</text>
  </threadedComment>
</ThreadedComment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tijd.be/beurzen/Euribor_12_months.1901183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54"/>
  <sheetViews>
    <sheetView workbookViewId="0"/>
  </sheetViews>
  <sheetFormatPr defaultRowHeight="15" x14ac:dyDescent="0.25"/>
  <sheetData>
    <row r="2" spans="1:9" ht="23.45" customHeight="1" x14ac:dyDescent="0.25">
      <c r="A2" s="450" t="s">
        <v>0</v>
      </c>
      <c r="B2" s="451"/>
      <c r="C2" s="451"/>
      <c r="D2" s="451"/>
      <c r="E2" s="451"/>
      <c r="F2" s="451"/>
      <c r="G2" s="451"/>
      <c r="H2" s="451"/>
      <c r="I2" s="451"/>
    </row>
    <row r="3" spans="1:9" x14ac:dyDescent="0.25">
      <c r="A3" s="451"/>
      <c r="B3" s="451"/>
      <c r="C3" s="451"/>
      <c r="D3" s="451"/>
      <c r="E3" s="451"/>
      <c r="F3" s="451"/>
      <c r="G3" s="451"/>
      <c r="H3" s="451"/>
      <c r="I3" s="451"/>
    </row>
    <row r="5" spans="1:9" ht="15.75" x14ac:dyDescent="0.25">
      <c r="A5" s="5" t="s">
        <v>1</v>
      </c>
    </row>
    <row r="7" spans="1:9" x14ac:dyDescent="0.25">
      <c r="A7" s="449" t="s">
        <v>2</v>
      </c>
      <c r="B7" s="447"/>
      <c r="C7" s="447"/>
      <c r="D7" s="447"/>
      <c r="E7" s="447"/>
      <c r="F7" s="447"/>
      <c r="G7" s="447"/>
      <c r="H7" s="447"/>
      <c r="I7" s="447"/>
    </row>
    <row r="8" spans="1:9" x14ac:dyDescent="0.25">
      <c r="A8" s="447"/>
      <c r="B8" s="447"/>
      <c r="C8" s="447"/>
      <c r="D8" s="447"/>
      <c r="E8" s="447"/>
      <c r="F8" s="447"/>
      <c r="G8" s="447"/>
      <c r="H8" s="447"/>
      <c r="I8" s="447"/>
    </row>
    <row r="9" spans="1:9" x14ac:dyDescent="0.25">
      <c r="A9" s="447"/>
      <c r="B9" s="447"/>
      <c r="C9" s="447"/>
      <c r="D9" s="447"/>
      <c r="E9" s="447"/>
      <c r="F9" s="447"/>
      <c r="G9" s="447"/>
      <c r="H9" s="447"/>
      <c r="I9" s="447"/>
    </row>
    <row r="10" spans="1:9" x14ac:dyDescent="0.25">
      <c r="A10" s="447"/>
      <c r="B10" s="447"/>
      <c r="C10" s="447"/>
      <c r="D10" s="447"/>
      <c r="E10" s="447"/>
      <c r="F10" s="447"/>
      <c r="G10" s="447"/>
      <c r="H10" s="447"/>
      <c r="I10" s="447"/>
    </row>
    <row r="11" spans="1:9" x14ac:dyDescent="0.25">
      <c r="A11" s="447"/>
      <c r="B11" s="447"/>
      <c r="C11" s="447"/>
      <c r="D11" s="447"/>
      <c r="E11" s="447"/>
      <c r="F11" s="447"/>
      <c r="G11" s="447"/>
      <c r="H11" s="447"/>
      <c r="I11" s="447"/>
    </row>
    <row r="12" spans="1:9" x14ac:dyDescent="0.25">
      <c r="A12" s="447"/>
      <c r="B12" s="447"/>
      <c r="C12" s="447"/>
      <c r="D12" s="447"/>
      <c r="E12" s="447"/>
      <c r="F12" s="447"/>
      <c r="G12" s="447"/>
      <c r="H12" s="447"/>
      <c r="I12" s="447"/>
    </row>
    <row r="13" spans="1:9" x14ac:dyDescent="0.25">
      <c r="A13" s="7"/>
      <c r="B13" s="8" t="s">
        <v>3</v>
      </c>
      <c r="I13" s="7"/>
    </row>
    <row r="14" spans="1:9" ht="9.1999999999999993" customHeight="1" x14ac:dyDescent="0.25">
      <c r="A14" s="7"/>
    </row>
    <row r="15" spans="1:9" x14ac:dyDescent="0.25">
      <c r="A15" s="7"/>
      <c r="B15" s="447" t="s">
        <v>4</v>
      </c>
      <c r="C15" s="447"/>
      <c r="D15" s="447"/>
      <c r="E15" s="447"/>
      <c r="F15" s="447"/>
      <c r="G15" s="447"/>
      <c r="H15" s="447"/>
      <c r="I15" s="447"/>
    </row>
    <row r="16" spans="1:9" x14ac:dyDescent="0.25">
      <c r="A16" s="7"/>
      <c r="B16" s="447"/>
      <c r="C16" s="447"/>
      <c r="D16" s="447"/>
      <c r="E16" s="447"/>
      <c r="F16" s="447"/>
      <c r="G16" s="447"/>
      <c r="H16" s="447"/>
      <c r="I16" s="447"/>
    </row>
    <row r="17" spans="2:9" x14ac:dyDescent="0.25">
      <c r="B17" s="447"/>
      <c r="C17" s="447"/>
      <c r="D17" s="447"/>
      <c r="E17" s="447"/>
      <c r="F17" s="447"/>
      <c r="G17" s="447"/>
      <c r="H17" s="447"/>
      <c r="I17" s="447"/>
    </row>
    <row r="18" spans="2:9" x14ac:dyDescent="0.25">
      <c r="B18" s="447"/>
      <c r="C18" s="447"/>
      <c r="D18" s="447"/>
      <c r="E18" s="447"/>
      <c r="F18" s="447"/>
      <c r="G18" s="447"/>
      <c r="H18" s="447"/>
      <c r="I18" s="447"/>
    </row>
    <row r="19" spans="2:9" x14ac:dyDescent="0.25">
      <c r="B19" s="447"/>
      <c r="C19" s="447"/>
      <c r="D19" s="447"/>
      <c r="E19" s="447"/>
      <c r="F19" s="447"/>
      <c r="G19" s="447"/>
      <c r="H19" s="447"/>
      <c r="I19" s="447"/>
    </row>
    <row r="20" spans="2:9" x14ac:dyDescent="0.25">
      <c r="B20" s="447"/>
      <c r="C20" s="447"/>
      <c r="D20" s="447"/>
      <c r="E20" s="447"/>
      <c r="F20" s="447"/>
      <c r="G20" s="447"/>
      <c r="H20" s="447"/>
      <c r="I20" s="447"/>
    </row>
    <row r="22" spans="2:9" x14ac:dyDescent="0.25">
      <c r="B22" s="8" t="s">
        <v>5</v>
      </c>
    </row>
    <row r="23" spans="2:9" ht="9.1999999999999993" customHeight="1" x14ac:dyDescent="0.25"/>
    <row r="24" spans="2:9" x14ac:dyDescent="0.25">
      <c r="B24" s="447" t="s">
        <v>6</v>
      </c>
      <c r="C24" s="447"/>
      <c r="D24" s="447"/>
      <c r="E24" s="447"/>
      <c r="F24" s="447"/>
      <c r="G24" s="447"/>
      <c r="H24" s="447"/>
      <c r="I24" s="447"/>
    </row>
    <row r="25" spans="2:9" ht="60" customHeight="1" x14ac:dyDescent="0.25">
      <c r="B25" s="447"/>
      <c r="C25" s="447"/>
      <c r="D25" s="447"/>
      <c r="E25" s="447"/>
      <c r="F25" s="447"/>
      <c r="G25" s="447"/>
      <c r="H25" s="447"/>
      <c r="I25" s="447"/>
    </row>
    <row r="26" spans="2:9" x14ac:dyDescent="0.25">
      <c r="B26" s="447"/>
      <c r="C26" s="447"/>
      <c r="D26" s="447"/>
      <c r="E26" s="447"/>
      <c r="F26" s="447"/>
      <c r="G26" s="447"/>
      <c r="H26" s="447"/>
      <c r="I26" s="447"/>
    </row>
    <row r="27" spans="2:9" x14ac:dyDescent="0.25">
      <c r="B27" s="447"/>
      <c r="C27" s="447"/>
      <c r="D27" s="447"/>
      <c r="E27" s="447"/>
      <c r="F27" s="447"/>
      <c r="G27" s="447"/>
      <c r="H27" s="447"/>
      <c r="I27" s="447"/>
    </row>
    <row r="28" spans="2:9" x14ac:dyDescent="0.25">
      <c r="B28" s="448"/>
      <c r="C28" s="448"/>
      <c r="D28" s="448"/>
      <c r="E28" s="448"/>
      <c r="F28" s="448"/>
      <c r="G28" s="448"/>
      <c r="H28" s="448"/>
      <c r="I28" s="448"/>
    </row>
    <row r="29" spans="2:9" x14ac:dyDescent="0.25">
      <c r="B29" s="448"/>
      <c r="C29" s="448"/>
      <c r="D29" s="448"/>
      <c r="E29" s="448"/>
      <c r="F29" s="448"/>
      <c r="G29" s="448"/>
      <c r="H29" s="448"/>
      <c r="I29" s="448"/>
    </row>
    <row r="30" spans="2:9" x14ac:dyDescent="0.25">
      <c r="B30" s="448"/>
      <c r="C30" s="448"/>
      <c r="D30" s="448"/>
      <c r="E30" s="448"/>
      <c r="F30" s="448"/>
      <c r="G30" s="448"/>
      <c r="H30" s="448"/>
      <c r="I30" s="448"/>
    </row>
    <row r="31" spans="2:9" x14ac:dyDescent="0.25">
      <c r="B31" s="448"/>
      <c r="C31" s="448"/>
      <c r="D31" s="448"/>
      <c r="E31" s="448"/>
      <c r="F31" s="448"/>
      <c r="G31" s="448"/>
      <c r="H31" s="448"/>
      <c r="I31" s="448"/>
    </row>
    <row r="32" spans="2:9" x14ac:dyDescent="0.25">
      <c r="B32" s="448"/>
      <c r="C32" s="448"/>
      <c r="D32" s="448"/>
      <c r="E32" s="448"/>
      <c r="F32" s="448"/>
      <c r="G32" s="448"/>
      <c r="H32" s="448"/>
      <c r="I32" s="448"/>
    </row>
    <row r="33" spans="1:9" x14ac:dyDescent="0.25">
      <c r="B33" s="9"/>
      <c r="C33" s="9"/>
      <c r="D33" s="9"/>
      <c r="E33" s="9"/>
      <c r="F33" s="9"/>
      <c r="G33" s="9"/>
      <c r="H33" s="9"/>
      <c r="I33" s="9"/>
    </row>
    <row r="34" spans="1:9" x14ac:dyDescent="0.25">
      <c r="B34" s="9"/>
      <c r="C34" s="9"/>
      <c r="D34" s="9"/>
      <c r="E34" s="9"/>
      <c r="F34" s="9"/>
      <c r="G34" s="9"/>
      <c r="H34" s="9"/>
      <c r="I34" s="9"/>
    </row>
    <row r="35" spans="1:9" x14ac:dyDescent="0.25">
      <c r="A35" s="448"/>
      <c r="B35" s="448"/>
      <c r="C35" s="448"/>
      <c r="D35" s="448"/>
      <c r="E35" s="448"/>
      <c r="F35" s="448"/>
      <c r="G35" s="448"/>
      <c r="H35" s="448"/>
      <c r="I35" s="448"/>
    </row>
    <row r="36" spans="1:9" x14ac:dyDescent="0.25">
      <c r="A36" s="448"/>
      <c r="B36" s="448"/>
      <c r="C36" s="448"/>
      <c r="D36" s="448"/>
      <c r="E36" s="448"/>
      <c r="F36" s="448"/>
      <c r="G36" s="448"/>
      <c r="H36" s="448"/>
      <c r="I36" s="448"/>
    </row>
    <row r="37" spans="1:9" x14ac:dyDescent="0.25">
      <c r="A37" s="448"/>
      <c r="B37" s="448"/>
      <c r="C37" s="448"/>
      <c r="D37" s="448"/>
      <c r="E37" s="448"/>
      <c r="F37" s="448"/>
      <c r="G37" s="448"/>
      <c r="H37" s="448"/>
      <c r="I37" s="448"/>
    </row>
    <row r="38" spans="1:9" x14ac:dyDescent="0.25">
      <c r="A38" s="448"/>
      <c r="B38" s="448"/>
      <c r="C38" s="448"/>
      <c r="D38" s="448"/>
      <c r="E38" s="448"/>
      <c r="F38" s="448"/>
      <c r="G38" s="448"/>
      <c r="H38" s="448"/>
      <c r="I38" s="448"/>
    </row>
    <row r="39" spans="1:9" x14ac:dyDescent="0.25">
      <c r="A39" s="448"/>
      <c r="B39" s="448"/>
      <c r="C39" s="448"/>
      <c r="D39" s="448"/>
      <c r="E39" s="448"/>
      <c r="F39" s="448"/>
      <c r="G39" s="448"/>
      <c r="H39" s="448"/>
      <c r="I39" s="448"/>
    </row>
    <row r="40" spans="1:9" x14ac:dyDescent="0.25">
      <c r="A40" s="448"/>
      <c r="B40" s="448"/>
      <c r="C40" s="448"/>
      <c r="D40" s="448"/>
      <c r="E40" s="448"/>
      <c r="F40" s="448"/>
      <c r="G40" s="448"/>
      <c r="H40" s="448"/>
      <c r="I40" s="448"/>
    </row>
    <row r="41" spans="1:9" x14ac:dyDescent="0.25">
      <c r="B41" s="9"/>
      <c r="C41" s="9"/>
      <c r="D41" s="9"/>
      <c r="E41" s="9"/>
      <c r="F41" s="9"/>
      <c r="G41" s="9"/>
      <c r="H41" s="9"/>
      <c r="I41" s="9"/>
    </row>
    <row r="42" spans="1:9" x14ac:dyDescent="0.25">
      <c r="B42" s="9"/>
      <c r="C42" s="9"/>
      <c r="D42" s="9"/>
      <c r="E42" s="9"/>
      <c r="F42" s="9"/>
      <c r="G42" s="9"/>
      <c r="H42" s="9"/>
      <c r="I42" s="9"/>
    </row>
    <row r="43" spans="1:9" ht="43.15" customHeight="1" x14ac:dyDescent="0.25"/>
    <row r="45" spans="1:9" ht="38.65" customHeight="1" x14ac:dyDescent="0.25"/>
    <row r="54" ht="32.450000000000003" customHeight="1" x14ac:dyDescent="0.25"/>
  </sheetData>
  <mergeCells count="5">
    <mergeCell ref="B24:I32"/>
    <mergeCell ref="A35:I40"/>
    <mergeCell ref="A7:I12"/>
    <mergeCell ref="B15:I20"/>
    <mergeCell ref="A2:I3"/>
  </mergeCells>
  <pageMargins left="0.70866141732283472" right="0.70866141732283472" top="0.74803149606299213" bottom="0.74803149606299213" header="0.31496062992125984" footer="0.31496062992125984"/>
  <pageSetup paperSize="9" scale="83" fitToHeight="0" orientation="portrait" draft="1" r:id="rId1"/>
  <headerFooter>
    <oddHeader>&amp;L&amp;G&amp;R&amp;D</oddHeader>
    <oddFooter>&amp;R&amp;P</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9"/>
  <sheetViews>
    <sheetView topLeftCell="A14" workbookViewId="0">
      <selection activeCell="E24" sqref="E24"/>
    </sheetView>
  </sheetViews>
  <sheetFormatPr defaultRowHeight="15" x14ac:dyDescent="0.25"/>
  <cols>
    <col min="1" max="1" width="6.5703125" customWidth="1"/>
    <col min="2" max="2" width="12.5703125" customWidth="1"/>
    <col min="3" max="3" width="16.140625" customWidth="1"/>
    <col min="4" max="4" width="7.28515625" customWidth="1"/>
    <col min="5" max="5" width="10.7109375" style="83" bestFit="1" customWidth="1"/>
    <col min="6" max="6" width="11.42578125" bestFit="1" customWidth="1"/>
    <col min="7" max="7" width="10.7109375" bestFit="1" customWidth="1"/>
    <col min="8" max="8" width="11.85546875" customWidth="1"/>
    <col min="9" max="10" width="6.42578125" customWidth="1"/>
    <col min="11" max="11" width="15.140625" customWidth="1"/>
    <col min="12" max="12" width="12.140625" customWidth="1"/>
    <col min="13" max="253" width="8.85546875"/>
    <col min="254" max="254" width="11.5703125" customWidth="1"/>
    <col min="255" max="255" width="17" customWidth="1"/>
    <col min="256" max="256" width="8.85546875"/>
    <col min="257" max="257" width="2.85546875" customWidth="1"/>
    <col min="258" max="258" width="14.140625" customWidth="1"/>
    <col min="259" max="259" width="15.42578125" customWidth="1"/>
    <col min="260" max="260" width="13.5703125" customWidth="1"/>
    <col min="261" max="261" width="13.85546875" customWidth="1"/>
    <col min="262" max="262" width="13.140625" customWidth="1"/>
    <col min="263" max="263" width="14.85546875" bestFit="1" customWidth="1"/>
    <col min="264" max="264" width="2.7109375" customWidth="1"/>
    <col min="265" max="265" width="8.85546875"/>
    <col min="266" max="266" width="10.85546875" customWidth="1"/>
    <col min="267" max="267" width="7.85546875" customWidth="1"/>
    <col min="268" max="268" width="11.28515625" customWidth="1"/>
    <col min="269" max="509" width="8.85546875"/>
    <col min="510" max="510" width="11.5703125" customWidth="1"/>
    <col min="511" max="511" width="17" customWidth="1"/>
    <col min="512" max="512" width="8.85546875"/>
    <col min="513" max="513" width="2.85546875" customWidth="1"/>
    <col min="514" max="514" width="14.140625" customWidth="1"/>
    <col min="515" max="515" width="15.42578125" customWidth="1"/>
    <col min="516" max="516" width="13.5703125" customWidth="1"/>
    <col min="517" max="517" width="13.85546875" customWidth="1"/>
    <col min="518" max="518" width="13.140625" customWidth="1"/>
    <col min="519" max="519" width="14.85546875" bestFit="1" customWidth="1"/>
    <col min="520" max="520" width="2.7109375" customWidth="1"/>
    <col min="521" max="521" width="8.85546875"/>
    <col min="522" max="522" width="10.85546875" customWidth="1"/>
    <col min="523" max="523" width="7.85546875" customWidth="1"/>
    <col min="524" max="524" width="11.28515625" customWidth="1"/>
    <col min="525" max="765" width="8.85546875"/>
    <col min="766" max="766" width="11.5703125" customWidth="1"/>
    <col min="767" max="767" width="17" customWidth="1"/>
    <col min="768" max="768" width="8.85546875"/>
    <col min="769" max="769" width="2.85546875" customWidth="1"/>
    <col min="770" max="770" width="14.140625" customWidth="1"/>
    <col min="771" max="771" width="15.42578125" customWidth="1"/>
    <col min="772" max="772" width="13.5703125" customWidth="1"/>
    <col min="773" max="773" width="13.85546875" customWidth="1"/>
    <col min="774" max="774" width="13.140625" customWidth="1"/>
    <col min="775" max="775" width="14.85546875" bestFit="1" customWidth="1"/>
    <col min="776" max="776" width="2.7109375" customWidth="1"/>
    <col min="777" max="777" width="8.85546875"/>
    <col min="778" max="778" width="10.85546875" customWidth="1"/>
    <col min="779" max="779" width="7.85546875" customWidth="1"/>
    <col min="780" max="780" width="11.28515625" customWidth="1"/>
    <col min="781" max="1021" width="8.85546875"/>
    <col min="1022" max="1022" width="11.5703125" customWidth="1"/>
    <col min="1023" max="1023" width="17" customWidth="1"/>
    <col min="1024" max="1024" width="8.85546875"/>
    <col min="1025" max="1025" width="2.85546875" customWidth="1"/>
    <col min="1026" max="1026" width="14.140625" customWidth="1"/>
    <col min="1027" max="1027" width="15.42578125" customWidth="1"/>
    <col min="1028" max="1028" width="13.5703125" customWidth="1"/>
    <col min="1029" max="1029" width="13.85546875" customWidth="1"/>
    <col min="1030" max="1030" width="13.140625" customWidth="1"/>
    <col min="1031" max="1031" width="14.85546875" bestFit="1" customWidth="1"/>
    <col min="1032" max="1032" width="2.7109375" customWidth="1"/>
    <col min="1033" max="1033" width="8.85546875"/>
    <col min="1034" max="1034" width="10.85546875" customWidth="1"/>
    <col min="1035" max="1035" width="7.85546875" customWidth="1"/>
    <col min="1036" max="1036" width="11.28515625" customWidth="1"/>
    <col min="1037" max="1277" width="8.85546875"/>
    <col min="1278" max="1278" width="11.5703125" customWidth="1"/>
    <col min="1279" max="1279" width="17" customWidth="1"/>
    <col min="1280" max="1280" width="8.85546875"/>
    <col min="1281" max="1281" width="2.85546875" customWidth="1"/>
    <col min="1282" max="1282" width="14.140625" customWidth="1"/>
    <col min="1283" max="1283" width="15.42578125" customWidth="1"/>
    <col min="1284" max="1284" width="13.5703125" customWidth="1"/>
    <col min="1285" max="1285" width="13.85546875" customWidth="1"/>
    <col min="1286" max="1286" width="13.140625" customWidth="1"/>
    <col min="1287" max="1287" width="14.85546875" bestFit="1" customWidth="1"/>
    <col min="1288" max="1288" width="2.7109375" customWidth="1"/>
    <col min="1289" max="1289" width="8.85546875"/>
    <col min="1290" max="1290" width="10.85546875" customWidth="1"/>
    <col min="1291" max="1291" width="7.85546875" customWidth="1"/>
    <col min="1292" max="1292" width="11.28515625" customWidth="1"/>
    <col min="1293" max="1533" width="8.85546875"/>
    <col min="1534" max="1534" width="11.5703125" customWidth="1"/>
    <col min="1535" max="1535" width="17" customWidth="1"/>
    <col min="1536" max="1536" width="8.85546875"/>
    <col min="1537" max="1537" width="2.85546875" customWidth="1"/>
    <col min="1538" max="1538" width="14.140625" customWidth="1"/>
    <col min="1539" max="1539" width="15.42578125" customWidth="1"/>
    <col min="1540" max="1540" width="13.5703125" customWidth="1"/>
    <col min="1541" max="1541" width="13.85546875" customWidth="1"/>
    <col min="1542" max="1542" width="13.140625" customWidth="1"/>
    <col min="1543" max="1543" width="14.85546875" bestFit="1" customWidth="1"/>
    <col min="1544" max="1544" width="2.7109375" customWidth="1"/>
    <col min="1545" max="1545" width="8.85546875"/>
    <col min="1546" max="1546" width="10.85546875" customWidth="1"/>
    <col min="1547" max="1547" width="7.85546875" customWidth="1"/>
    <col min="1548" max="1548" width="11.28515625" customWidth="1"/>
    <col min="1549" max="1789" width="8.85546875"/>
    <col min="1790" max="1790" width="11.5703125" customWidth="1"/>
    <col min="1791" max="1791" width="17" customWidth="1"/>
    <col min="1792" max="1792" width="8.85546875"/>
    <col min="1793" max="1793" width="2.85546875" customWidth="1"/>
    <col min="1794" max="1794" width="14.140625" customWidth="1"/>
    <col min="1795" max="1795" width="15.42578125" customWidth="1"/>
    <col min="1796" max="1796" width="13.5703125" customWidth="1"/>
    <col min="1797" max="1797" width="13.85546875" customWidth="1"/>
    <col min="1798" max="1798" width="13.140625" customWidth="1"/>
    <col min="1799" max="1799" width="14.85546875" bestFit="1" customWidth="1"/>
    <col min="1800" max="1800" width="2.7109375" customWidth="1"/>
    <col min="1801" max="1801" width="8.85546875"/>
    <col min="1802" max="1802" width="10.85546875" customWidth="1"/>
    <col min="1803" max="1803" width="7.85546875" customWidth="1"/>
    <col min="1804" max="1804" width="11.28515625" customWidth="1"/>
    <col min="1805" max="2045" width="8.85546875"/>
    <col min="2046" max="2046" width="11.5703125" customWidth="1"/>
    <col min="2047" max="2047" width="17" customWidth="1"/>
    <col min="2048" max="2048" width="8.85546875"/>
    <col min="2049" max="2049" width="2.85546875" customWidth="1"/>
    <col min="2050" max="2050" width="14.140625" customWidth="1"/>
    <col min="2051" max="2051" width="15.42578125" customWidth="1"/>
    <col min="2052" max="2052" width="13.5703125" customWidth="1"/>
    <col min="2053" max="2053" width="13.85546875" customWidth="1"/>
    <col min="2054" max="2054" width="13.140625" customWidth="1"/>
    <col min="2055" max="2055" width="14.85546875" bestFit="1" customWidth="1"/>
    <col min="2056" max="2056" width="2.7109375" customWidth="1"/>
    <col min="2057" max="2057" width="8.85546875"/>
    <col min="2058" max="2058" width="10.85546875" customWidth="1"/>
    <col min="2059" max="2059" width="7.85546875" customWidth="1"/>
    <col min="2060" max="2060" width="11.28515625" customWidth="1"/>
    <col min="2061" max="2301" width="8.85546875"/>
    <col min="2302" max="2302" width="11.5703125" customWidth="1"/>
    <col min="2303" max="2303" width="17" customWidth="1"/>
    <col min="2304" max="2304" width="8.85546875"/>
    <col min="2305" max="2305" width="2.85546875" customWidth="1"/>
    <col min="2306" max="2306" width="14.140625" customWidth="1"/>
    <col min="2307" max="2307" width="15.42578125" customWidth="1"/>
    <col min="2308" max="2308" width="13.5703125" customWidth="1"/>
    <col min="2309" max="2309" width="13.85546875" customWidth="1"/>
    <col min="2310" max="2310" width="13.140625" customWidth="1"/>
    <col min="2311" max="2311" width="14.85546875" bestFit="1" customWidth="1"/>
    <col min="2312" max="2312" width="2.7109375" customWidth="1"/>
    <col min="2313" max="2313" width="8.85546875"/>
    <col min="2314" max="2314" width="10.85546875" customWidth="1"/>
    <col min="2315" max="2315" width="7.85546875" customWidth="1"/>
    <col min="2316" max="2316" width="11.28515625" customWidth="1"/>
    <col min="2317" max="2557" width="8.85546875"/>
    <col min="2558" max="2558" width="11.5703125" customWidth="1"/>
    <col min="2559" max="2559" width="17" customWidth="1"/>
    <col min="2560" max="2560" width="8.85546875"/>
    <col min="2561" max="2561" width="2.85546875" customWidth="1"/>
    <col min="2562" max="2562" width="14.140625" customWidth="1"/>
    <col min="2563" max="2563" width="15.42578125" customWidth="1"/>
    <col min="2564" max="2564" width="13.5703125" customWidth="1"/>
    <col min="2565" max="2565" width="13.85546875" customWidth="1"/>
    <col min="2566" max="2566" width="13.140625" customWidth="1"/>
    <col min="2567" max="2567" width="14.85546875" bestFit="1" customWidth="1"/>
    <col min="2568" max="2568" width="2.7109375" customWidth="1"/>
    <col min="2569" max="2569" width="8.85546875"/>
    <col min="2570" max="2570" width="10.85546875" customWidth="1"/>
    <col min="2571" max="2571" width="7.85546875" customWidth="1"/>
    <col min="2572" max="2572" width="11.28515625" customWidth="1"/>
    <col min="2573" max="2813" width="8.85546875"/>
    <col min="2814" max="2814" width="11.5703125" customWidth="1"/>
    <col min="2815" max="2815" width="17" customWidth="1"/>
    <col min="2816" max="2816" width="8.85546875"/>
    <col min="2817" max="2817" width="2.85546875" customWidth="1"/>
    <col min="2818" max="2818" width="14.140625" customWidth="1"/>
    <col min="2819" max="2819" width="15.42578125" customWidth="1"/>
    <col min="2820" max="2820" width="13.5703125" customWidth="1"/>
    <col min="2821" max="2821" width="13.85546875" customWidth="1"/>
    <col min="2822" max="2822" width="13.140625" customWidth="1"/>
    <col min="2823" max="2823" width="14.85546875" bestFit="1" customWidth="1"/>
    <col min="2824" max="2824" width="2.7109375" customWidth="1"/>
    <col min="2825" max="2825" width="8.85546875"/>
    <col min="2826" max="2826" width="10.85546875" customWidth="1"/>
    <col min="2827" max="2827" width="7.85546875" customWidth="1"/>
    <col min="2828" max="2828" width="11.28515625" customWidth="1"/>
    <col min="2829" max="3069" width="8.85546875"/>
    <col min="3070" max="3070" width="11.5703125" customWidth="1"/>
    <col min="3071" max="3071" width="17" customWidth="1"/>
    <col min="3072" max="3072" width="8.85546875"/>
    <col min="3073" max="3073" width="2.85546875" customWidth="1"/>
    <col min="3074" max="3074" width="14.140625" customWidth="1"/>
    <col min="3075" max="3075" width="15.42578125" customWidth="1"/>
    <col min="3076" max="3076" width="13.5703125" customWidth="1"/>
    <col min="3077" max="3077" width="13.85546875" customWidth="1"/>
    <col min="3078" max="3078" width="13.140625" customWidth="1"/>
    <col min="3079" max="3079" width="14.85546875" bestFit="1" customWidth="1"/>
    <col min="3080" max="3080" width="2.7109375" customWidth="1"/>
    <col min="3081" max="3081" width="8.85546875"/>
    <col min="3082" max="3082" width="10.85546875" customWidth="1"/>
    <col min="3083" max="3083" width="7.85546875" customWidth="1"/>
    <col min="3084" max="3084" width="11.28515625" customWidth="1"/>
    <col min="3085" max="3325" width="8.85546875"/>
    <col min="3326" max="3326" width="11.5703125" customWidth="1"/>
    <col min="3327" max="3327" width="17" customWidth="1"/>
    <col min="3328" max="3328" width="8.85546875"/>
    <col min="3329" max="3329" width="2.85546875" customWidth="1"/>
    <col min="3330" max="3330" width="14.140625" customWidth="1"/>
    <col min="3331" max="3331" width="15.42578125" customWidth="1"/>
    <col min="3332" max="3332" width="13.5703125" customWidth="1"/>
    <col min="3333" max="3333" width="13.85546875" customWidth="1"/>
    <col min="3334" max="3334" width="13.140625" customWidth="1"/>
    <col min="3335" max="3335" width="14.85546875" bestFit="1" customWidth="1"/>
    <col min="3336" max="3336" width="2.7109375" customWidth="1"/>
    <col min="3337" max="3337" width="8.85546875"/>
    <col min="3338" max="3338" width="10.85546875" customWidth="1"/>
    <col min="3339" max="3339" width="7.85546875" customWidth="1"/>
    <col min="3340" max="3340" width="11.28515625" customWidth="1"/>
    <col min="3341" max="3581" width="8.85546875"/>
    <col min="3582" max="3582" width="11.5703125" customWidth="1"/>
    <col min="3583" max="3583" width="17" customWidth="1"/>
    <col min="3584" max="3584" width="8.85546875"/>
    <col min="3585" max="3585" width="2.85546875" customWidth="1"/>
    <col min="3586" max="3586" width="14.140625" customWidth="1"/>
    <col min="3587" max="3587" width="15.42578125" customWidth="1"/>
    <col min="3588" max="3588" width="13.5703125" customWidth="1"/>
    <col min="3589" max="3589" width="13.85546875" customWidth="1"/>
    <col min="3590" max="3590" width="13.140625" customWidth="1"/>
    <col min="3591" max="3591" width="14.85546875" bestFit="1" customWidth="1"/>
    <col min="3592" max="3592" width="2.7109375" customWidth="1"/>
    <col min="3593" max="3593" width="8.85546875"/>
    <col min="3594" max="3594" width="10.85546875" customWidth="1"/>
    <col min="3595" max="3595" width="7.85546875" customWidth="1"/>
    <col min="3596" max="3596" width="11.28515625" customWidth="1"/>
    <col min="3597" max="3837" width="8.85546875"/>
    <col min="3838" max="3838" width="11.5703125" customWidth="1"/>
    <col min="3839" max="3839" width="17" customWidth="1"/>
    <col min="3840" max="3840" width="8.85546875"/>
    <col min="3841" max="3841" width="2.85546875" customWidth="1"/>
    <col min="3842" max="3842" width="14.140625" customWidth="1"/>
    <col min="3843" max="3843" width="15.42578125" customWidth="1"/>
    <col min="3844" max="3844" width="13.5703125" customWidth="1"/>
    <col min="3845" max="3845" width="13.85546875" customWidth="1"/>
    <col min="3846" max="3846" width="13.140625" customWidth="1"/>
    <col min="3847" max="3847" width="14.85546875" bestFit="1" customWidth="1"/>
    <col min="3848" max="3848" width="2.7109375" customWidth="1"/>
    <col min="3849" max="3849" width="8.85546875"/>
    <col min="3850" max="3850" width="10.85546875" customWidth="1"/>
    <col min="3851" max="3851" width="7.85546875" customWidth="1"/>
    <col min="3852" max="3852" width="11.28515625" customWidth="1"/>
    <col min="3853" max="4093" width="8.85546875"/>
    <col min="4094" max="4094" width="11.5703125" customWidth="1"/>
    <col min="4095" max="4095" width="17" customWidth="1"/>
    <col min="4096" max="4096" width="8.85546875"/>
    <col min="4097" max="4097" width="2.85546875" customWidth="1"/>
    <col min="4098" max="4098" width="14.140625" customWidth="1"/>
    <col min="4099" max="4099" width="15.42578125" customWidth="1"/>
    <col min="4100" max="4100" width="13.5703125" customWidth="1"/>
    <col min="4101" max="4101" width="13.85546875" customWidth="1"/>
    <col min="4102" max="4102" width="13.140625" customWidth="1"/>
    <col min="4103" max="4103" width="14.85546875" bestFit="1" customWidth="1"/>
    <col min="4104" max="4104" width="2.7109375" customWidth="1"/>
    <col min="4105" max="4105" width="8.85546875"/>
    <col min="4106" max="4106" width="10.85546875" customWidth="1"/>
    <col min="4107" max="4107" width="7.85546875" customWidth="1"/>
    <col min="4108" max="4108" width="11.28515625" customWidth="1"/>
    <col min="4109" max="4349" width="8.85546875"/>
    <col min="4350" max="4350" width="11.5703125" customWidth="1"/>
    <col min="4351" max="4351" width="17" customWidth="1"/>
    <col min="4352" max="4352" width="8.85546875"/>
    <col min="4353" max="4353" width="2.85546875" customWidth="1"/>
    <col min="4354" max="4354" width="14.140625" customWidth="1"/>
    <col min="4355" max="4355" width="15.42578125" customWidth="1"/>
    <col min="4356" max="4356" width="13.5703125" customWidth="1"/>
    <col min="4357" max="4357" width="13.85546875" customWidth="1"/>
    <col min="4358" max="4358" width="13.140625" customWidth="1"/>
    <col min="4359" max="4359" width="14.85546875" bestFit="1" customWidth="1"/>
    <col min="4360" max="4360" width="2.7109375" customWidth="1"/>
    <col min="4361" max="4361" width="8.85546875"/>
    <col min="4362" max="4362" width="10.85546875" customWidth="1"/>
    <col min="4363" max="4363" width="7.85546875" customWidth="1"/>
    <col min="4364" max="4364" width="11.28515625" customWidth="1"/>
    <col min="4365" max="4605" width="8.85546875"/>
    <col min="4606" max="4606" width="11.5703125" customWidth="1"/>
    <col min="4607" max="4607" width="17" customWidth="1"/>
    <col min="4608" max="4608" width="8.85546875"/>
    <col min="4609" max="4609" width="2.85546875" customWidth="1"/>
    <col min="4610" max="4610" width="14.140625" customWidth="1"/>
    <col min="4611" max="4611" width="15.42578125" customWidth="1"/>
    <col min="4612" max="4612" width="13.5703125" customWidth="1"/>
    <col min="4613" max="4613" width="13.85546875" customWidth="1"/>
    <col min="4614" max="4614" width="13.140625" customWidth="1"/>
    <col min="4615" max="4615" width="14.85546875" bestFit="1" customWidth="1"/>
    <col min="4616" max="4616" width="2.7109375" customWidth="1"/>
    <col min="4617" max="4617" width="8.85546875"/>
    <col min="4618" max="4618" width="10.85546875" customWidth="1"/>
    <col min="4619" max="4619" width="7.85546875" customWidth="1"/>
    <col min="4620" max="4620" width="11.28515625" customWidth="1"/>
    <col min="4621" max="4861" width="8.85546875"/>
    <col min="4862" max="4862" width="11.5703125" customWidth="1"/>
    <col min="4863" max="4863" width="17" customWidth="1"/>
    <col min="4864" max="4864" width="8.85546875"/>
    <col min="4865" max="4865" width="2.85546875" customWidth="1"/>
    <col min="4866" max="4866" width="14.140625" customWidth="1"/>
    <col min="4867" max="4867" width="15.42578125" customWidth="1"/>
    <col min="4868" max="4868" width="13.5703125" customWidth="1"/>
    <col min="4869" max="4869" width="13.85546875" customWidth="1"/>
    <col min="4870" max="4870" width="13.140625" customWidth="1"/>
    <col min="4871" max="4871" width="14.85546875" bestFit="1" customWidth="1"/>
    <col min="4872" max="4872" width="2.7109375" customWidth="1"/>
    <col min="4873" max="4873" width="8.85546875"/>
    <col min="4874" max="4874" width="10.85546875" customWidth="1"/>
    <col min="4875" max="4875" width="7.85546875" customWidth="1"/>
    <col min="4876" max="4876" width="11.28515625" customWidth="1"/>
    <col min="4877" max="5117" width="8.85546875"/>
    <col min="5118" max="5118" width="11.5703125" customWidth="1"/>
    <col min="5119" max="5119" width="17" customWidth="1"/>
    <col min="5120" max="5120" width="8.85546875"/>
    <col min="5121" max="5121" width="2.85546875" customWidth="1"/>
    <col min="5122" max="5122" width="14.140625" customWidth="1"/>
    <col min="5123" max="5123" width="15.42578125" customWidth="1"/>
    <col min="5124" max="5124" width="13.5703125" customWidth="1"/>
    <col min="5125" max="5125" width="13.85546875" customWidth="1"/>
    <col min="5126" max="5126" width="13.140625" customWidth="1"/>
    <col min="5127" max="5127" width="14.85546875" bestFit="1" customWidth="1"/>
    <col min="5128" max="5128" width="2.7109375" customWidth="1"/>
    <col min="5129" max="5129" width="8.85546875"/>
    <col min="5130" max="5130" width="10.85546875" customWidth="1"/>
    <col min="5131" max="5131" width="7.85546875" customWidth="1"/>
    <col min="5132" max="5132" width="11.28515625" customWidth="1"/>
    <col min="5133" max="5373" width="8.85546875"/>
    <col min="5374" max="5374" width="11.5703125" customWidth="1"/>
    <col min="5375" max="5375" width="17" customWidth="1"/>
    <col min="5376" max="5376" width="8.85546875"/>
    <col min="5377" max="5377" width="2.85546875" customWidth="1"/>
    <col min="5378" max="5378" width="14.140625" customWidth="1"/>
    <col min="5379" max="5379" width="15.42578125" customWidth="1"/>
    <col min="5380" max="5380" width="13.5703125" customWidth="1"/>
    <col min="5381" max="5381" width="13.85546875" customWidth="1"/>
    <col min="5382" max="5382" width="13.140625" customWidth="1"/>
    <col min="5383" max="5383" width="14.85546875" bestFit="1" customWidth="1"/>
    <col min="5384" max="5384" width="2.7109375" customWidth="1"/>
    <col min="5385" max="5385" width="8.85546875"/>
    <col min="5386" max="5386" width="10.85546875" customWidth="1"/>
    <col min="5387" max="5387" width="7.85546875" customWidth="1"/>
    <col min="5388" max="5388" width="11.28515625" customWidth="1"/>
    <col min="5389" max="5629" width="8.85546875"/>
    <col min="5630" max="5630" width="11.5703125" customWidth="1"/>
    <col min="5631" max="5631" width="17" customWidth="1"/>
    <col min="5632" max="5632" width="8.85546875"/>
    <col min="5633" max="5633" width="2.85546875" customWidth="1"/>
    <col min="5634" max="5634" width="14.140625" customWidth="1"/>
    <col min="5635" max="5635" width="15.42578125" customWidth="1"/>
    <col min="5636" max="5636" width="13.5703125" customWidth="1"/>
    <col min="5637" max="5637" width="13.85546875" customWidth="1"/>
    <col min="5638" max="5638" width="13.140625" customWidth="1"/>
    <col min="5639" max="5639" width="14.85546875" bestFit="1" customWidth="1"/>
    <col min="5640" max="5640" width="2.7109375" customWidth="1"/>
    <col min="5641" max="5641" width="8.85546875"/>
    <col min="5642" max="5642" width="10.85546875" customWidth="1"/>
    <col min="5643" max="5643" width="7.85546875" customWidth="1"/>
    <col min="5644" max="5644" width="11.28515625" customWidth="1"/>
    <col min="5645" max="5885" width="8.85546875"/>
    <col min="5886" max="5886" width="11.5703125" customWidth="1"/>
    <col min="5887" max="5887" width="17" customWidth="1"/>
    <col min="5888" max="5888" width="8.85546875"/>
    <col min="5889" max="5889" width="2.85546875" customWidth="1"/>
    <col min="5890" max="5890" width="14.140625" customWidth="1"/>
    <col min="5891" max="5891" width="15.42578125" customWidth="1"/>
    <col min="5892" max="5892" width="13.5703125" customWidth="1"/>
    <col min="5893" max="5893" width="13.85546875" customWidth="1"/>
    <col min="5894" max="5894" width="13.140625" customWidth="1"/>
    <col min="5895" max="5895" width="14.85546875" bestFit="1" customWidth="1"/>
    <col min="5896" max="5896" width="2.7109375" customWidth="1"/>
    <col min="5897" max="5897" width="8.85546875"/>
    <col min="5898" max="5898" width="10.85546875" customWidth="1"/>
    <col min="5899" max="5899" width="7.85546875" customWidth="1"/>
    <col min="5900" max="5900" width="11.28515625" customWidth="1"/>
    <col min="5901" max="6141" width="8.85546875"/>
    <col min="6142" max="6142" width="11.5703125" customWidth="1"/>
    <col min="6143" max="6143" width="17" customWidth="1"/>
    <col min="6144" max="6144" width="8.85546875"/>
    <col min="6145" max="6145" width="2.85546875" customWidth="1"/>
    <col min="6146" max="6146" width="14.140625" customWidth="1"/>
    <col min="6147" max="6147" width="15.42578125" customWidth="1"/>
    <col min="6148" max="6148" width="13.5703125" customWidth="1"/>
    <col min="6149" max="6149" width="13.85546875" customWidth="1"/>
    <col min="6150" max="6150" width="13.140625" customWidth="1"/>
    <col min="6151" max="6151" width="14.85546875" bestFit="1" customWidth="1"/>
    <col min="6152" max="6152" width="2.7109375" customWidth="1"/>
    <col min="6153" max="6153" width="8.85546875"/>
    <col min="6154" max="6154" width="10.85546875" customWidth="1"/>
    <col min="6155" max="6155" width="7.85546875" customWidth="1"/>
    <col min="6156" max="6156" width="11.28515625" customWidth="1"/>
    <col min="6157" max="6397" width="8.85546875"/>
    <col min="6398" max="6398" width="11.5703125" customWidth="1"/>
    <col min="6399" max="6399" width="17" customWidth="1"/>
    <col min="6400" max="6400" width="8.85546875"/>
    <col min="6401" max="6401" width="2.85546875" customWidth="1"/>
    <col min="6402" max="6402" width="14.140625" customWidth="1"/>
    <col min="6403" max="6403" width="15.42578125" customWidth="1"/>
    <col min="6404" max="6404" width="13.5703125" customWidth="1"/>
    <col min="6405" max="6405" width="13.85546875" customWidth="1"/>
    <col min="6406" max="6406" width="13.140625" customWidth="1"/>
    <col min="6407" max="6407" width="14.85546875" bestFit="1" customWidth="1"/>
    <col min="6408" max="6408" width="2.7109375" customWidth="1"/>
    <col min="6409" max="6409" width="8.85546875"/>
    <col min="6410" max="6410" width="10.85546875" customWidth="1"/>
    <col min="6411" max="6411" width="7.85546875" customWidth="1"/>
    <col min="6412" max="6412" width="11.28515625" customWidth="1"/>
    <col min="6413" max="6653" width="8.85546875"/>
    <col min="6654" max="6654" width="11.5703125" customWidth="1"/>
    <col min="6655" max="6655" width="17" customWidth="1"/>
    <col min="6656" max="6656" width="8.85546875"/>
    <col min="6657" max="6657" width="2.85546875" customWidth="1"/>
    <col min="6658" max="6658" width="14.140625" customWidth="1"/>
    <col min="6659" max="6659" width="15.42578125" customWidth="1"/>
    <col min="6660" max="6660" width="13.5703125" customWidth="1"/>
    <col min="6661" max="6661" width="13.85546875" customWidth="1"/>
    <col min="6662" max="6662" width="13.140625" customWidth="1"/>
    <col min="6663" max="6663" width="14.85546875" bestFit="1" customWidth="1"/>
    <col min="6664" max="6664" width="2.7109375" customWidth="1"/>
    <col min="6665" max="6665" width="8.85546875"/>
    <col min="6666" max="6666" width="10.85546875" customWidth="1"/>
    <col min="6667" max="6667" width="7.85546875" customWidth="1"/>
    <col min="6668" max="6668" width="11.28515625" customWidth="1"/>
    <col min="6669" max="6909" width="8.85546875"/>
    <col min="6910" max="6910" width="11.5703125" customWidth="1"/>
    <col min="6911" max="6911" width="17" customWidth="1"/>
    <col min="6912" max="6912" width="8.85546875"/>
    <col min="6913" max="6913" width="2.85546875" customWidth="1"/>
    <col min="6914" max="6914" width="14.140625" customWidth="1"/>
    <col min="6915" max="6915" width="15.42578125" customWidth="1"/>
    <col min="6916" max="6916" width="13.5703125" customWidth="1"/>
    <col min="6917" max="6917" width="13.85546875" customWidth="1"/>
    <col min="6918" max="6918" width="13.140625" customWidth="1"/>
    <col min="6919" max="6919" width="14.85546875" bestFit="1" customWidth="1"/>
    <col min="6920" max="6920" width="2.7109375" customWidth="1"/>
    <col min="6921" max="6921" width="8.85546875"/>
    <col min="6922" max="6922" width="10.85546875" customWidth="1"/>
    <col min="6923" max="6923" width="7.85546875" customWidth="1"/>
    <col min="6924" max="6924" width="11.28515625" customWidth="1"/>
    <col min="6925" max="7165" width="8.85546875"/>
    <col min="7166" max="7166" width="11.5703125" customWidth="1"/>
    <col min="7167" max="7167" width="17" customWidth="1"/>
    <col min="7168" max="7168" width="8.85546875"/>
    <col min="7169" max="7169" width="2.85546875" customWidth="1"/>
    <col min="7170" max="7170" width="14.140625" customWidth="1"/>
    <col min="7171" max="7171" width="15.42578125" customWidth="1"/>
    <col min="7172" max="7172" width="13.5703125" customWidth="1"/>
    <col min="7173" max="7173" width="13.85546875" customWidth="1"/>
    <col min="7174" max="7174" width="13.140625" customWidth="1"/>
    <col min="7175" max="7175" width="14.85546875" bestFit="1" customWidth="1"/>
    <col min="7176" max="7176" width="2.7109375" customWidth="1"/>
    <col min="7177" max="7177" width="8.85546875"/>
    <col min="7178" max="7178" width="10.85546875" customWidth="1"/>
    <col min="7179" max="7179" width="7.85546875" customWidth="1"/>
    <col min="7180" max="7180" width="11.28515625" customWidth="1"/>
    <col min="7181" max="7421" width="8.85546875"/>
    <col min="7422" max="7422" width="11.5703125" customWidth="1"/>
    <col min="7423" max="7423" width="17" customWidth="1"/>
    <col min="7424" max="7424" width="8.85546875"/>
    <col min="7425" max="7425" width="2.85546875" customWidth="1"/>
    <col min="7426" max="7426" width="14.140625" customWidth="1"/>
    <col min="7427" max="7427" width="15.42578125" customWidth="1"/>
    <col min="7428" max="7428" width="13.5703125" customWidth="1"/>
    <col min="7429" max="7429" width="13.85546875" customWidth="1"/>
    <col min="7430" max="7430" width="13.140625" customWidth="1"/>
    <col min="7431" max="7431" width="14.85546875" bestFit="1" customWidth="1"/>
    <col min="7432" max="7432" width="2.7109375" customWidth="1"/>
    <col min="7433" max="7433" width="8.85546875"/>
    <col min="7434" max="7434" width="10.85546875" customWidth="1"/>
    <col min="7435" max="7435" width="7.85546875" customWidth="1"/>
    <col min="7436" max="7436" width="11.28515625" customWidth="1"/>
    <col min="7437" max="7677" width="8.85546875"/>
    <col min="7678" max="7678" width="11.5703125" customWidth="1"/>
    <col min="7679" max="7679" width="17" customWidth="1"/>
    <col min="7680" max="7680" width="8.85546875"/>
    <col min="7681" max="7681" width="2.85546875" customWidth="1"/>
    <col min="7682" max="7682" width="14.140625" customWidth="1"/>
    <col min="7683" max="7683" width="15.42578125" customWidth="1"/>
    <col min="7684" max="7684" width="13.5703125" customWidth="1"/>
    <col min="7685" max="7685" width="13.85546875" customWidth="1"/>
    <col min="7686" max="7686" width="13.140625" customWidth="1"/>
    <col min="7687" max="7687" width="14.85546875" bestFit="1" customWidth="1"/>
    <col min="7688" max="7688" width="2.7109375" customWidth="1"/>
    <col min="7689" max="7689" width="8.85546875"/>
    <col min="7690" max="7690" width="10.85546875" customWidth="1"/>
    <col min="7691" max="7691" width="7.85546875" customWidth="1"/>
    <col min="7692" max="7692" width="11.28515625" customWidth="1"/>
    <col min="7693" max="7933" width="8.85546875"/>
    <col min="7934" max="7934" width="11.5703125" customWidth="1"/>
    <col min="7935" max="7935" width="17" customWidth="1"/>
    <col min="7936" max="7936" width="8.85546875"/>
    <col min="7937" max="7937" width="2.85546875" customWidth="1"/>
    <col min="7938" max="7938" width="14.140625" customWidth="1"/>
    <col min="7939" max="7939" width="15.42578125" customWidth="1"/>
    <col min="7940" max="7940" width="13.5703125" customWidth="1"/>
    <col min="7941" max="7941" width="13.85546875" customWidth="1"/>
    <col min="7942" max="7942" width="13.140625" customWidth="1"/>
    <col min="7943" max="7943" width="14.85546875" bestFit="1" customWidth="1"/>
    <col min="7944" max="7944" width="2.7109375" customWidth="1"/>
    <col min="7945" max="7945" width="8.85546875"/>
    <col min="7946" max="7946" width="10.85546875" customWidth="1"/>
    <col min="7947" max="7947" width="7.85546875" customWidth="1"/>
    <col min="7948" max="7948" width="11.28515625" customWidth="1"/>
    <col min="7949" max="8189" width="8.85546875"/>
    <col min="8190" max="8190" width="11.5703125" customWidth="1"/>
    <col min="8191" max="8191" width="17" customWidth="1"/>
    <col min="8192" max="8192" width="8.85546875"/>
    <col min="8193" max="8193" width="2.85546875" customWidth="1"/>
    <col min="8194" max="8194" width="14.140625" customWidth="1"/>
    <col min="8195" max="8195" width="15.42578125" customWidth="1"/>
    <col min="8196" max="8196" width="13.5703125" customWidth="1"/>
    <col min="8197" max="8197" width="13.85546875" customWidth="1"/>
    <col min="8198" max="8198" width="13.140625" customWidth="1"/>
    <col min="8199" max="8199" width="14.85546875" bestFit="1" customWidth="1"/>
    <col min="8200" max="8200" width="2.7109375" customWidth="1"/>
    <col min="8201" max="8201" width="8.85546875"/>
    <col min="8202" max="8202" width="10.85546875" customWidth="1"/>
    <col min="8203" max="8203" width="7.85546875" customWidth="1"/>
    <col min="8204" max="8204" width="11.28515625" customWidth="1"/>
    <col min="8205" max="8445" width="8.85546875"/>
    <col min="8446" max="8446" width="11.5703125" customWidth="1"/>
    <col min="8447" max="8447" width="17" customWidth="1"/>
    <col min="8448" max="8448" width="8.85546875"/>
    <col min="8449" max="8449" width="2.85546875" customWidth="1"/>
    <col min="8450" max="8450" width="14.140625" customWidth="1"/>
    <col min="8451" max="8451" width="15.42578125" customWidth="1"/>
    <col min="8452" max="8452" width="13.5703125" customWidth="1"/>
    <col min="8453" max="8453" width="13.85546875" customWidth="1"/>
    <col min="8454" max="8454" width="13.140625" customWidth="1"/>
    <col min="8455" max="8455" width="14.85546875" bestFit="1" customWidth="1"/>
    <col min="8456" max="8456" width="2.7109375" customWidth="1"/>
    <col min="8457" max="8457" width="8.85546875"/>
    <col min="8458" max="8458" width="10.85546875" customWidth="1"/>
    <col min="8459" max="8459" width="7.85546875" customWidth="1"/>
    <col min="8460" max="8460" width="11.28515625" customWidth="1"/>
    <col min="8461" max="8701" width="8.85546875"/>
    <col min="8702" max="8702" width="11.5703125" customWidth="1"/>
    <col min="8703" max="8703" width="17" customWidth="1"/>
    <col min="8704" max="8704" width="8.85546875"/>
    <col min="8705" max="8705" width="2.85546875" customWidth="1"/>
    <col min="8706" max="8706" width="14.140625" customWidth="1"/>
    <col min="8707" max="8707" width="15.42578125" customWidth="1"/>
    <col min="8708" max="8708" width="13.5703125" customWidth="1"/>
    <col min="8709" max="8709" width="13.85546875" customWidth="1"/>
    <col min="8710" max="8710" width="13.140625" customWidth="1"/>
    <col min="8711" max="8711" width="14.85546875" bestFit="1" customWidth="1"/>
    <col min="8712" max="8712" width="2.7109375" customWidth="1"/>
    <col min="8713" max="8713" width="8.85546875"/>
    <col min="8714" max="8714" width="10.85546875" customWidth="1"/>
    <col min="8715" max="8715" width="7.85546875" customWidth="1"/>
    <col min="8716" max="8716" width="11.28515625" customWidth="1"/>
    <col min="8717" max="8957" width="8.85546875"/>
    <col min="8958" max="8958" width="11.5703125" customWidth="1"/>
    <col min="8959" max="8959" width="17" customWidth="1"/>
    <col min="8960" max="8960" width="8.85546875"/>
    <col min="8961" max="8961" width="2.85546875" customWidth="1"/>
    <col min="8962" max="8962" width="14.140625" customWidth="1"/>
    <col min="8963" max="8963" width="15.42578125" customWidth="1"/>
    <col min="8964" max="8964" width="13.5703125" customWidth="1"/>
    <col min="8965" max="8965" width="13.85546875" customWidth="1"/>
    <col min="8966" max="8966" width="13.140625" customWidth="1"/>
    <col min="8967" max="8967" width="14.85546875" bestFit="1" customWidth="1"/>
    <col min="8968" max="8968" width="2.7109375" customWidth="1"/>
    <col min="8969" max="8969" width="8.85546875"/>
    <col min="8970" max="8970" width="10.85546875" customWidth="1"/>
    <col min="8971" max="8971" width="7.85546875" customWidth="1"/>
    <col min="8972" max="8972" width="11.28515625" customWidth="1"/>
    <col min="8973" max="9213" width="8.85546875"/>
    <col min="9214" max="9214" width="11.5703125" customWidth="1"/>
    <col min="9215" max="9215" width="17" customWidth="1"/>
    <col min="9216" max="9216" width="8.85546875"/>
    <col min="9217" max="9217" width="2.85546875" customWidth="1"/>
    <col min="9218" max="9218" width="14.140625" customWidth="1"/>
    <col min="9219" max="9219" width="15.42578125" customWidth="1"/>
    <col min="9220" max="9220" width="13.5703125" customWidth="1"/>
    <col min="9221" max="9221" width="13.85546875" customWidth="1"/>
    <col min="9222" max="9222" width="13.140625" customWidth="1"/>
    <col min="9223" max="9223" width="14.85546875" bestFit="1" customWidth="1"/>
    <col min="9224" max="9224" width="2.7109375" customWidth="1"/>
    <col min="9225" max="9225" width="8.85546875"/>
    <col min="9226" max="9226" width="10.85546875" customWidth="1"/>
    <col min="9227" max="9227" width="7.85546875" customWidth="1"/>
    <col min="9228" max="9228" width="11.28515625" customWidth="1"/>
    <col min="9229" max="9469" width="8.85546875"/>
    <col min="9470" max="9470" width="11.5703125" customWidth="1"/>
    <col min="9471" max="9471" width="17" customWidth="1"/>
    <col min="9472" max="9472" width="8.85546875"/>
    <col min="9473" max="9473" width="2.85546875" customWidth="1"/>
    <col min="9474" max="9474" width="14.140625" customWidth="1"/>
    <col min="9475" max="9475" width="15.42578125" customWidth="1"/>
    <col min="9476" max="9476" width="13.5703125" customWidth="1"/>
    <col min="9477" max="9477" width="13.85546875" customWidth="1"/>
    <col min="9478" max="9478" width="13.140625" customWidth="1"/>
    <col min="9479" max="9479" width="14.85546875" bestFit="1" customWidth="1"/>
    <col min="9480" max="9480" width="2.7109375" customWidth="1"/>
    <col min="9481" max="9481" width="8.85546875"/>
    <col min="9482" max="9482" width="10.85546875" customWidth="1"/>
    <col min="9483" max="9483" width="7.85546875" customWidth="1"/>
    <col min="9484" max="9484" width="11.28515625" customWidth="1"/>
    <col min="9485" max="9725" width="8.85546875"/>
    <col min="9726" max="9726" width="11.5703125" customWidth="1"/>
    <col min="9727" max="9727" width="17" customWidth="1"/>
    <col min="9728" max="9728" width="8.85546875"/>
    <col min="9729" max="9729" width="2.85546875" customWidth="1"/>
    <col min="9730" max="9730" width="14.140625" customWidth="1"/>
    <col min="9731" max="9731" width="15.42578125" customWidth="1"/>
    <col min="9732" max="9732" width="13.5703125" customWidth="1"/>
    <col min="9733" max="9733" width="13.85546875" customWidth="1"/>
    <col min="9734" max="9734" width="13.140625" customWidth="1"/>
    <col min="9735" max="9735" width="14.85546875" bestFit="1" customWidth="1"/>
    <col min="9736" max="9736" width="2.7109375" customWidth="1"/>
    <col min="9737" max="9737" width="8.85546875"/>
    <col min="9738" max="9738" width="10.85546875" customWidth="1"/>
    <col min="9739" max="9739" width="7.85546875" customWidth="1"/>
    <col min="9740" max="9740" width="11.28515625" customWidth="1"/>
    <col min="9741" max="9981" width="8.85546875"/>
    <col min="9982" max="9982" width="11.5703125" customWidth="1"/>
    <col min="9983" max="9983" width="17" customWidth="1"/>
    <col min="9984" max="9984" width="8.85546875"/>
    <col min="9985" max="9985" width="2.85546875" customWidth="1"/>
    <col min="9986" max="9986" width="14.140625" customWidth="1"/>
    <col min="9987" max="9987" width="15.42578125" customWidth="1"/>
    <col min="9988" max="9988" width="13.5703125" customWidth="1"/>
    <col min="9989" max="9989" width="13.85546875" customWidth="1"/>
    <col min="9990" max="9990" width="13.140625" customWidth="1"/>
    <col min="9991" max="9991" width="14.85546875" bestFit="1" customWidth="1"/>
    <col min="9992" max="9992" width="2.7109375" customWidth="1"/>
    <col min="9993" max="9993" width="8.85546875"/>
    <col min="9994" max="9994" width="10.85546875" customWidth="1"/>
    <col min="9995" max="9995" width="7.85546875" customWidth="1"/>
    <col min="9996" max="9996" width="11.28515625" customWidth="1"/>
    <col min="9997" max="10237" width="8.85546875"/>
    <col min="10238" max="10238" width="11.5703125" customWidth="1"/>
    <col min="10239" max="10239" width="17" customWidth="1"/>
    <col min="10240" max="10240" width="8.85546875"/>
    <col min="10241" max="10241" width="2.85546875" customWidth="1"/>
    <col min="10242" max="10242" width="14.140625" customWidth="1"/>
    <col min="10243" max="10243" width="15.42578125" customWidth="1"/>
    <col min="10244" max="10244" width="13.5703125" customWidth="1"/>
    <col min="10245" max="10245" width="13.85546875" customWidth="1"/>
    <col min="10246" max="10246" width="13.140625" customWidth="1"/>
    <col min="10247" max="10247" width="14.85546875" bestFit="1" customWidth="1"/>
    <col min="10248" max="10248" width="2.7109375" customWidth="1"/>
    <col min="10249" max="10249" width="8.85546875"/>
    <col min="10250" max="10250" width="10.85546875" customWidth="1"/>
    <col min="10251" max="10251" width="7.85546875" customWidth="1"/>
    <col min="10252" max="10252" width="11.28515625" customWidth="1"/>
    <col min="10253" max="10493" width="8.85546875"/>
    <col min="10494" max="10494" width="11.5703125" customWidth="1"/>
    <col min="10495" max="10495" width="17" customWidth="1"/>
    <col min="10496" max="10496" width="8.85546875"/>
    <col min="10497" max="10497" width="2.85546875" customWidth="1"/>
    <col min="10498" max="10498" width="14.140625" customWidth="1"/>
    <col min="10499" max="10499" width="15.42578125" customWidth="1"/>
    <col min="10500" max="10500" width="13.5703125" customWidth="1"/>
    <col min="10501" max="10501" width="13.85546875" customWidth="1"/>
    <col min="10502" max="10502" width="13.140625" customWidth="1"/>
    <col min="10503" max="10503" width="14.85546875" bestFit="1" customWidth="1"/>
    <col min="10504" max="10504" width="2.7109375" customWidth="1"/>
    <col min="10505" max="10505" width="8.85546875"/>
    <col min="10506" max="10506" width="10.85546875" customWidth="1"/>
    <col min="10507" max="10507" width="7.85546875" customWidth="1"/>
    <col min="10508" max="10508" width="11.28515625" customWidth="1"/>
    <col min="10509" max="10749" width="8.85546875"/>
    <col min="10750" max="10750" width="11.5703125" customWidth="1"/>
    <col min="10751" max="10751" width="17" customWidth="1"/>
    <col min="10752" max="10752" width="8.85546875"/>
    <col min="10753" max="10753" width="2.85546875" customWidth="1"/>
    <col min="10754" max="10754" width="14.140625" customWidth="1"/>
    <col min="10755" max="10755" width="15.42578125" customWidth="1"/>
    <col min="10756" max="10756" width="13.5703125" customWidth="1"/>
    <col min="10757" max="10757" width="13.85546875" customWidth="1"/>
    <col min="10758" max="10758" width="13.140625" customWidth="1"/>
    <col min="10759" max="10759" width="14.85546875" bestFit="1" customWidth="1"/>
    <col min="10760" max="10760" width="2.7109375" customWidth="1"/>
    <col min="10761" max="10761" width="8.85546875"/>
    <col min="10762" max="10762" width="10.85546875" customWidth="1"/>
    <col min="10763" max="10763" width="7.85546875" customWidth="1"/>
    <col min="10764" max="10764" width="11.28515625" customWidth="1"/>
    <col min="10765" max="11005" width="8.85546875"/>
    <col min="11006" max="11006" width="11.5703125" customWidth="1"/>
    <col min="11007" max="11007" width="17" customWidth="1"/>
    <col min="11008" max="11008" width="8.85546875"/>
    <col min="11009" max="11009" width="2.85546875" customWidth="1"/>
    <col min="11010" max="11010" width="14.140625" customWidth="1"/>
    <col min="11011" max="11011" width="15.42578125" customWidth="1"/>
    <col min="11012" max="11012" width="13.5703125" customWidth="1"/>
    <col min="11013" max="11013" width="13.85546875" customWidth="1"/>
    <col min="11014" max="11014" width="13.140625" customWidth="1"/>
    <col min="11015" max="11015" width="14.85546875" bestFit="1" customWidth="1"/>
    <col min="11016" max="11016" width="2.7109375" customWidth="1"/>
    <col min="11017" max="11017" width="8.85546875"/>
    <col min="11018" max="11018" width="10.85546875" customWidth="1"/>
    <col min="11019" max="11019" width="7.85546875" customWidth="1"/>
    <col min="11020" max="11020" width="11.28515625" customWidth="1"/>
    <col min="11021" max="11261" width="8.85546875"/>
    <col min="11262" max="11262" width="11.5703125" customWidth="1"/>
    <col min="11263" max="11263" width="17" customWidth="1"/>
    <col min="11264" max="11264" width="8.85546875"/>
    <col min="11265" max="11265" width="2.85546875" customWidth="1"/>
    <col min="11266" max="11266" width="14.140625" customWidth="1"/>
    <col min="11267" max="11267" width="15.42578125" customWidth="1"/>
    <col min="11268" max="11268" width="13.5703125" customWidth="1"/>
    <col min="11269" max="11269" width="13.85546875" customWidth="1"/>
    <col min="11270" max="11270" width="13.140625" customWidth="1"/>
    <col min="11271" max="11271" width="14.85546875" bestFit="1" customWidth="1"/>
    <col min="11272" max="11272" width="2.7109375" customWidth="1"/>
    <col min="11273" max="11273" width="8.85546875"/>
    <col min="11274" max="11274" width="10.85546875" customWidth="1"/>
    <col min="11275" max="11275" width="7.85546875" customWidth="1"/>
    <col min="11276" max="11276" width="11.28515625" customWidth="1"/>
    <col min="11277" max="11517" width="8.85546875"/>
    <col min="11518" max="11518" width="11.5703125" customWidth="1"/>
    <col min="11519" max="11519" width="17" customWidth="1"/>
    <col min="11520" max="11520" width="8.85546875"/>
    <col min="11521" max="11521" width="2.85546875" customWidth="1"/>
    <col min="11522" max="11522" width="14.140625" customWidth="1"/>
    <col min="11523" max="11523" width="15.42578125" customWidth="1"/>
    <col min="11524" max="11524" width="13.5703125" customWidth="1"/>
    <col min="11525" max="11525" width="13.85546875" customWidth="1"/>
    <col min="11526" max="11526" width="13.140625" customWidth="1"/>
    <col min="11527" max="11527" width="14.85546875" bestFit="1" customWidth="1"/>
    <col min="11528" max="11528" width="2.7109375" customWidth="1"/>
    <col min="11529" max="11529" width="8.85546875"/>
    <col min="11530" max="11530" width="10.85546875" customWidth="1"/>
    <col min="11531" max="11531" width="7.85546875" customWidth="1"/>
    <col min="11532" max="11532" width="11.28515625" customWidth="1"/>
    <col min="11533" max="11773" width="8.85546875"/>
    <col min="11774" max="11774" width="11.5703125" customWidth="1"/>
    <col min="11775" max="11775" width="17" customWidth="1"/>
    <col min="11776" max="11776" width="8.85546875"/>
    <col min="11777" max="11777" width="2.85546875" customWidth="1"/>
    <col min="11778" max="11778" width="14.140625" customWidth="1"/>
    <col min="11779" max="11779" width="15.42578125" customWidth="1"/>
    <col min="11780" max="11780" width="13.5703125" customWidth="1"/>
    <col min="11781" max="11781" width="13.85546875" customWidth="1"/>
    <col min="11782" max="11782" width="13.140625" customWidth="1"/>
    <col min="11783" max="11783" width="14.85546875" bestFit="1" customWidth="1"/>
    <col min="11784" max="11784" width="2.7109375" customWidth="1"/>
    <col min="11785" max="11785" width="8.85546875"/>
    <col min="11786" max="11786" width="10.85546875" customWidth="1"/>
    <col min="11787" max="11787" width="7.85546875" customWidth="1"/>
    <col min="11788" max="11788" width="11.28515625" customWidth="1"/>
    <col min="11789" max="12029" width="8.85546875"/>
    <col min="12030" max="12030" width="11.5703125" customWidth="1"/>
    <col min="12031" max="12031" width="17" customWidth="1"/>
    <col min="12032" max="12032" width="8.85546875"/>
    <col min="12033" max="12033" width="2.85546875" customWidth="1"/>
    <col min="12034" max="12034" width="14.140625" customWidth="1"/>
    <col min="12035" max="12035" width="15.42578125" customWidth="1"/>
    <col min="12036" max="12036" width="13.5703125" customWidth="1"/>
    <col min="12037" max="12037" width="13.85546875" customWidth="1"/>
    <col min="12038" max="12038" width="13.140625" customWidth="1"/>
    <col min="12039" max="12039" width="14.85546875" bestFit="1" customWidth="1"/>
    <col min="12040" max="12040" width="2.7109375" customWidth="1"/>
    <col min="12041" max="12041" width="8.85546875"/>
    <col min="12042" max="12042" width="10.85546875" customWidth="1"/>
    <col min="12043" max="12043" width="7.85546875" customWidth="1"/>
    <col min="12044" max="12044" width="11.28515625" customWidth="1"/>
    <col min="12045" max="12285" width="8.85546875"/>
    <col min="12286" max="12286" width="11.5703125" customWidth="1"/>
    <col min="12287" max="12287" width="17" customWidth="1"/>
    <col min="12288" max="12288" width="8.85546875"/>
    <col min="12289" max="12289" width="2.85546875" customWidth="1"/>
    <col min="12290" max="12290" width="14.140625" customWidth="1"/>
    <col min="12291" max="12291" width="15.42578125" customWidth="1"/>
    <col min="12292" max="12292" width="13.5703125" customWidth="1"/>
    <col min="12293" max="12293" width="13.85546875" customWidth="1"/>
    <col min="12294" max="12294" width="13.140625" customWidth="1"/>
    <col min="12295" max="12295" width="14.85546875" bestFit="1" customWidth="1"/>
    <col min="12296" max="12296" width="2.7109375" customWidth="1"/>
    <col min="12297" max="12297" width="8.85546875"/>
    <col min="12298" max="12298" width="10.85546875" customWidth="1"/>
    <col min="12299" max="12299" width="7.85546875" customWidth="1"/>
    <col min="12300" max="12300" width="11.28515625" customWidth="1"/>
    <col min="12301" max="12541" width="8.85546875"/>
    <col min="12542" max="12542" width="11.5703125" customWidth="1"/>
    <col min="12543" max="12543" width="17" customWidth="1"/>
    <col min="12544" max="12544" width="8.85546875"/>
    <col min="12545" max="12545" width="2.85546875" customWidth="1"/>
    <col min="12546" max="12546" width="14.140625" customWidth="1"/>
    <col min="12547" max="12547" width="15.42578125" customWidth="1"/>
    <col min="12548" max="12548" width="13.5703125" customWidth="1"/>
    <col min="12549" max="12549" width="13.85546875" customWidth="1"/>
    <col min="12550" max="12550" width="13.140625" customWidth="1"/>
    <col min="12551" max="12551" width="14.85546875" bestFit="1" customWidth="1"/>
    <col min="12552" max="12552" width="2.7109375" customWidth="1"/>
    <col min="12553" max="12553" width="8.85546875"/>
    <col min="12554" max="12554" width="10.85546875" customWidth="1"/>
    <col min="12555" max="12555" width="7.85546875" customWidth="1"/>
    <col min="12556" max="12556" width="11.28515625" customWidth="1"/>
    <col min="12557" max="12797" width="8.85546875"/>
    <col min="12798" max="12798" width="11.5703125" customWidth="1"/>
    <col min="12799" max="12799" width="17" customWidth="1"/>
    <col min="12800" max="12800" width="8.85546875"/>
    <col min="12801" max="12801" width="2.85546875" customWidth="1"/>
    <col min="12802" max="12802" width="14.140625" customWidth="1"/>
    <col min="12803" max="12803" width="15.42578125" customWidth="1"/>
    <col min="12804" max="12804" width="13.5703125" customWidth="1"/>
    <col min="12805" max="12805" width="13.85546875" customWidth="1"/>
    <col min="12806" max="12806" width="13.140625" customWidth="1"/>
    <col min="12807" max="12807" width="14.85546875" bestFit="1" customWidth="1"/>
    <col min="12808" max="12808" width="2.7109375" customWidth="1"/>
    <col min="12809" max="12809" width="8.85546875"/>
    <col min="12810" max="12810" width="10.85546875" customWidth="1"/>
    <col min="12811" max="12811" width="7.85546875" customWidth="1"/>
    <col min="12812" max="12812" width="11.28515625" customWidth="1"/>
    <col min="12813" max="13053" width="8.85546875"/>
    <col min="13054" max="13054" width="11.5703125" customWidth="1"/>
    <col min="13055" max="13055" width="17" customWidth="1"/>
    <col min="13056" max="13056" width="8.85546875"/>
    <col min="13057" max="13057" width="2.85546875" customWidth="1"/>
    <col min="13058" max="13058" width="14.140625" customWidth="1"/>
    <col min="13059" max="13059" width="15.42578125" customWidth="1"/>
    <col min="13060" max="13060" width="13.5703125" customWidth="1"/>
    <col min="13061" max="13061" width="13.85546875" customWidth="1"/>
    <col min="13062" max="13062" width="13.140625" customWidth="1"/>
    <col min="13063" max="13063" width="14.85546875" bestFit="1" customWidth="1"/>
    <col min="13064" max="13064" width="2.7109375" customWidth="1"/>
    <col min="13065" max="13065" width="8.85546875"/>
    <col min="13066" max="13066" width="10.85546875" customWidth="1"/>
    <col min="13067" max="13067" width="7.85546875" customWidth="1"/>
    <col min="13068" max="13068" width="11.28515625" customWidth="1"/>
    <col min="13069" max="13309" width="8.85546875"/>
    <col min="13310" max="13310" width="11.5703125" customWidth="1"/>
    <col min="13311" max="13311" width="17" customWidth="1"/>
    <col min="13312" max="13312" width="8.85546875"/>
    <col min="13313" max="13313" width="2.85546875" customWidth="1"/>
    <col min="13314" max="13314" width="14.140625" customWidth="1"/>
    <col min="13315" max="13315" width="15.42578125" customWidth="1"/>
    <col min="13316" max="13316" width="13.5703125" customWidth="1"/>
    <col min="13317" max="13317" width="13.85546875" customWidth="1"/>
    <col min="13318" max="13318" width="13.140625" customWidth="1"/>
    <col min="13319" max="13319" width="14.85546875" bestFit="1" customWidth="1"/>
    <col min="13320" max="13320" width="2.7109375" customWidth="1"/>
    <col min="13321" max="13321" width="8.85546875"/>
    <col min="13322" max="13322" width="10.85546875" customWidth="1"/>
    <col min="13323" max="13323" width="7.85546875" customWidth="1"/>
    <col min="13324" max="13324" width="11.28515625" customWidth="1"/>
    <col min="13325" max="13565" width="8.85546875"/>
    <col min="13566" max="13566" width="11.5703125" customWidth="1"/>
    <col min="13567" max="13567" width="17" customWidth="1"/>
    <col min="13568" max="13568" width="8.85546875"/>
    <col min="13569" max="13569" width="2.85546875" customWidth="1"/>
    <col min="13570" max="13570" width="14.140625" customWidth="1"/>
    <col min="13571" max="13571" width="15.42578125" customWidth="1"/>
    <col min="13572" max="13572" width="13.5703125" customWidth="1"/>
    <col min="13573" max="13573" width="13.85546875" customWidth="1"/>
    <col min="13574" max="13574" width="13.140625" customWidth="1"/>
    <col min="13575" max="13575" width="14.85546875" bestFit="1" customWidth="1"/>
    <col min="13576" max="13576" width="2.7109375" customWidth="1"/>
    <col min="13577" max="13577" width="8.85546875"/>
    <col min="13578" max="13578" width="10.85546875" customWidth="1"/>
    <col min="13579" max="13579" width="7.85546875" customWidth="1"/>
    <col min="13580" max="13580" width="11.28515625" customWidth="1"/>
    <col min="13581" max="13821" width="8.85546875"/>
    <col min="13822" max="13822" width="11.5703125" customWidth="1"/>
    <col min="13823" max="13823" width="17" customWidth="1"/>
    <col min="13824" max="13824" width="8.85546875"/>
    <col min="13825" max="13825" width="2.85546875" customWidth="1"/>
    <col min="13826" max="13826" width="14.140625" customWidth="1"/>
    <col min="13827" max="13827" width="15.42578125" customWidth="1"/>
    <col min="13828" max="13828" width="13.5703125" customWidth="1"/>
    <col min="13829" max="13829" width="13.85546875" customWidth="1"/>
    <col min="13830" max="13830" width="13.140625" customWidth="1"/>
    <col min="13831" max="13831" width="14.85546875" bestFit="1" customWidth="1"/>
    <col min="13832" max="13832" width="2.7109375" customWidth="1"/>
    <col min="13833" max="13833" width="8.85546875"/>
    <col min="13834" max="13834" width="10.85546875" customWidth="1"/>
    <col min="13835" max="13835" width="7.85546875" customWidth="1"/>
    <col min="13836" max="13836" width="11.28515625" customWidth="1"/>
    <col min="13837" max="14077" width="8.85546875"/>
    <col min="14078" max="14078" width="11.5703125" customWidth="1"/>
    <col min="14079" max="14079" width="17" customWidth="1"/>
    <col min="14080" max="14080" width="8.85546875"/>
    <col min="14081" max="14081" width="2.85546875" customWidth="1"/>
    <col min="14082" max="14082" width="14.140625" customWidth="1"/>
    <col min="14083" max="14083" width="15.42578125" customWidth="1"/>
    <col min="14084" max="14084" width="13.5703125" customWidth="1"/>
    <col min="14085" max="14085" width="13.85546875" customWidth="1"/>
    <col min="14086" max="14086" width="13.140625" customWidth="1"/>
    <col min="14087" max="14087" width="14.85546875" bestFit="1" customWidth="1"/>
    <col min="14088" max="14088" width="2.7109375" customWidth="1"/>
    <col min="14089" max="14089" width="8.85546875"/>
    <col min="14090" max="14090" width="10.85546875" customWidth="1"/>
    <col min="14091" max="14091" width="7.85546875" customWidth="1"/>
    <col min="14092" max="14092" width="11.28515625" customWidth="1"/>
    <col min="14093" max="14333" width="8.85546875"/>
    <col min="14334" max="14334" width="11.5703125" customWidth="1"/>
    <col min="14335" max="14335" width="17" customWidth="1"/>
    <col min="14336" max="14336" width="8.85546875"/>
    <col min="14337" max="14337" width="2.85546875" customWidth="1"/>
    <col min="14338" max="14338" width="14.140625" customWidth="1"/>
    <col min="14339" max="14339" width="15.42578125" customWidth="1"/>
    <col min="14340" max="14340" width="13.5703125" customWidth="1"/>
    <col min="14341" max="14341" width="13.85546875" customWidth="1"/>
    <col min="14342" max="14342" width="13.140625" customWidth="1"/>
    <col min="14343" max="14343" width="14.85546875" bestFit="1" customWidth="1"/>
    <col min="14344" max="14344" width="2.7109375" customWidth="1"/>
    <col min="14345" max="14345" width="8.85546875"/>
    <col min="14346" max="14346" width="10.85546875" customWidth="1"/>
    <col min="14347" max="14347" width="7.85546875" customWidth="1"/>
    <col min="14348" max="14348" width="11.28515625" customWidth="1"/>
    <col min="14349" max="14589" width="8.85546875"/>
    <col min="14590" max="14590" width="11.5703125" customWidth="1"/>
    <col min="14591" max="14591" width="17" customWidth="1"/>
    <col min="14592" max="14592" width="8.85546875"/>
    <col min="14593" max="14593" width="2.85546875" customWidth="1"/>
    <col min="14594" max="14594" width="14.140625" customWidth="1"/>
    <col min="14595" max="14595" width="15.42578125" customWidth="1"/>
    <col min="14596" max="14596" width="13.5703125" customWidth="1"/>
    <col min="14597" max="14597" width="13.85546875" customWidth="1"/>
    <col min="14598" max="14598" width="13.140625" customWidth="1"/>
    <col min="14599" max="14599" width="14.85546875" bestFit="1" customWidth="1"/>
    <col min="14600" max="14600" width="2.7109375" customWidth="1"/>
    <col min="14601" max="14601" width="8.85546875"/>
    <col min="14602" max="14602" width="10.85546875" customWidth="1"/>
    <col min="14603" max="14603" width="7.85546875" customWidth="1"/>
    <col min="14604" max="14604" width="11.28515625" customWidth="1"/>
    <col min="14605" max="14845" width="8.85546875"/>
    <col min="14846" max="14846" width="11.5703125" customWidth="1"/>
    <col min="14847" max="14847" width="17" customWidth="1"/>
    <col min="14848" max="14848" width="8.85546875"/>
    <col min="14849" max="14849" width="2.85546875" customWidth="1"/>
    <col min="14850" max="14850" width="14.140625" customWidth="1"/>
    <col min="14851" max="14851" width="15.42578125" customWidth="1"/>
    <col min="14852" max="14852" width="13.5703125" customWidth="1"/>
    <col min="14853" max="14853" width="13.85546875" customWidth="1"/>
    <col min="14854" max="14854" width="13.140625" customWidth="1"/>
    <col min="14855" max="14855" width="14.85546875" bestFit="1" customWidth="1"/>
    <col min="14856" max="14856" width="2.7109375" customWidth="1"/>
    <col min="14857" max="14857" width="8.85546875"/>
    <col min="14858" max="14858" width="10.85546875" customWidth="1"/>
    <col min="14859" max="14859" width="7.85546875" customWidth="1"/>
    <col min="14860" max="14860" width="11.28515625" customWidth="1"/>
    <col min="14861" max="15101" width="8.85546875"/>
    <col min="15102" max="15102" width="11.5703125" customWidth="1"/>
    <col min="15103" max="15103" width="17" customWidth="1"/>
    <col min="15104" max="15104" width="8.85546875"/>
    <col min="15105" max="15105" width="2.85546875" customWidth="1"/>
    <col min="15106" max="15106" width="14.140625" customWidth="1"/>
    <col min="15107" max="15107" width="15.42578125" customWidth="1"/>
    <col min="15108" max="15108" width="13.5703125" customWidth="1"/>
    <col min="15109" max="15109" width="13.85546875" customWidth="1"/>
    <col min="15110" max="15110" width="13.140625" customWidth="1"/>
    <col min="15111" max="15111" width="14.85546875" bestFit="1" customWidth="1"/>
    <col min="15112" max="15112" width="2.7109375" customWidth="1"/>
    <col min="15113" max="15113" width="8.85546875"/>
    <col min="15114" max="15114" width="10.85546875" customWidth="1"/>
    <col min="15115" max="15115" width="7.85546875" customWidth="1"/>
    <col min="15116" max="15116" width="11.28515625" customWidth="1"/>
    <col min="15117" max="15357" width="8.85546875"/>
    <col min="15358" max="15358" width="11.5703125" customWidth="1"/>
    <col min="15359" max="15359" width="17" customWidth="1"/>
    <col min="15360" max="15360" width="8.85546875"/>
    <col min="15361" max="15361" width="2.85546875" customWidth="1"/>
    <col min="15362" max="15362" width="14.140625" customWidth="1"/>
    <col min="15363" max="15363" width="15.42578125" customWidth="1"/>
    <col min="15364" max="15364" width="13.5703125" customWidth="1"/>
    <col min="15365" max="15365" width="13.85546875" customWidth="1"/>
    <col min="15366" max="15366" width="13.140625" customWidth="1"/>
    <col min="15367" max="15367" width="14.85546875" bestFit="1" customWidth="1"/>
    <col min="15368" max="15368" width="2.7109375" customWidth="1"/>
    <col min="15369" max="15369" width="8.85546875"/>
    <col min="15370" max="15370" width="10.85546875" customWidth="1"/>
    <col min="15371" max="15371" width="7.85546875" customWidth="1"/>
    <col min="15372" max="15372" width="11.28515625" customWidth="1"/>
    <col min="15373" max="15613" width="8.85546875"/>
    <col min="15614" max="15614" width="11.5703125" customWidth="1"/>
    <col min="15615" max="15615" width="17" customWidth="1"/>
    <col min="15616" max="15616" width="8.85546875"/>
    <col min="15617" max="15617" width="2.85546875" customWidth="1"/>
    <col min="15618" max="15618" width="14.140625" customWidth="1"/>
    <col min="15619" max="15619" width="15.42578125" customWidth="1"/>
    <col min="15620" max="15620" width="13.5703125" customWidth="1"/>
    <col min="15621" max="15621" width="13.85546875" customWidth="1"/>
    <col min="15622" max="15622" width="13.140625" customWidth="1"/>
    <col min="15623" max="15623" width="14.85546875" bestFit="1" customWidth="1"/>
    <col min="15624" max="15624" width="2.7109375" customWidth="1"/>
    <col min="15625" max="15625" width="8.85546875"/>
    <col min="15626" max="15626" width="10.85546875" customWidth="1"/>
    <col min="15627" max="15627" width="7.85546875" customWidth="1"/>
    <col min="15628" max="15628" width="11.28515625" customWidth="1"/>
    <col min="15629" max="15869" width="8.85546875"/>
    <col min="15870" max="15870" width="11.5703125" customWidth="1"/>
    <col min="15871" max="15871" width="17" customWidth="1"/>
    <col min="15872" max="15872" width="8.85546875"/>
    <col min="15873" max="15873" width="2.85546875" customWidth="1"/>
    <col min="15874" max="15874" width="14.140625" customWidth="1"/>
    <col min="15875" max="15875" width="15.42578125" customWidth="1"/>
    <col min="15876" max="15876" width="13.5703125" customWidth="1"/>
    <col min="15877" max="15877" width="13.85546875" customWidth="1"/>
    <col min="15878" max="15878" width="13.140625" customWidth="1"/>
    <col min="15879" max="15879" width="14.85546875" bestFit="1" customWidth="1"/>
    <col min="15880" max="15880" width="2.7109375" customWidth="1"/>
    <col min="15881" max="15881" width="8.85546875"/>
    <col min="15882" max="15882" width="10.85546875" customWidth="1"/>
    <col min="15883" max="15883" width="7.85546875" customWidth="1"/>
    <col min="15884" max="15884" width="11.28515625" customWidth="1"/>
    <col min="15885" max="16125" width="8.85546875"/>
    <col min="16126" max="16126" width="11.5703125" customWidth="1"/>
    <col min="16127" max="16127" width="17" customWidth="1"/>
    <col min="16128" max="16128" width="8.85546875"/>
    <col min="16129" max="16129" width="2.85546875" customWidth="1"/>
    <col min="16130" max="16130" width="14.140625" customWidth="1"/>
    <col min="16131" max="16131" width="15.42578125" customWidth="1"/>
    <col min="16132" max="16132" width="13.5703125" customWidth="1"/>
    <col min="16133" max="16133" width="13.85546875" customWidth="1"/>
    <col min="16134" max="16134" width="13.140625" customWidth="1"/>
    <col min="16135" max="16135" width="14.85546875" bestFit="1" customWidth="1"/>
    <col min="16136" max="16136" width="2.7109375" customWidth="1"/>
    <col min="16137" max="16137" width="8.85546875"/>
    <col min="16138" max="16138" width="10.85546875" customWidth="1"/>
    <col min="16139" max="16139" width="7.85546875" customWidth="1"/>
    <col min="16140" max="16140" width="11.28515625" customWidth="1"/>
    <col min="16141" max="16384" width="8.85546875"/>
  </cols>
  <sheetData>
    <row r="1" spans="1:7" ht="23.25" x14ac:dyDescent="0.35">
      <c r="A1" s="65" t="s">
        <v>18</v>
      </c>
      <c r="B1" s="67"/>
      <c r="C1" s="69"/>
    </row>
    <row r="2" spans="1:7" ht="18.75" x14ac:dyDescent="0.3">
      <c r="B2" s="67"/>
      <c r="C2" s="69"/>
    </row>
    <row r="3" spans="1:7" x14ac:dyDescent="0.25">
      <c r="A3" s="454">
        <f>+waarderingsrapport!B17</f>
        <v>0</v>
      </c>
      <c r="B3" s="455"/>
      <c r="C3" s="455"/>
    </row>
    <row r="4" spans="1:7" ht="18.75" x14ac:dyDescent="0.25">
      <c r="A4" s="64"/>
      <c r="B4" s="66"/>
      <c r="C4" s="66"/>
    </row>
    <row r="5" spans="1:7" ht="15.75" x14ac:dyDescent="0.25">
      <c r="A5" s="61" t="s">
        <v>264</v>
      </c>
      <c r="B5" s="69"/>
      <c r="C5" s="69"/>
      <c r="D5" s="69"/>
      <c r="E5" s="69"/>
      <c r="F5" s="69"/>
      <c r="G5" s="69"/>
    </row>
    <row r="6" spans="1:7" x14ac:dyDescent="0.25">
      <c r="A6" s="447" t="s">
        <v>237</v>
      </c>
      <c r="B6" s="447"/>
      <c r="C6" s="447"/>
      <c r="D6" s="447"/>
      <c r="E6" s="447"/>
      <c r="F6" s="447"/>
      <c r="G6" s="447"/>
    </row>
    <row r="7" spans="1:7" ht="24.75" customHeight="1" x14ac:dyDescent="0.25">
      <c r="A7" s="447"/>
      <c r="B7" s="447"/>
      <c r="C7" s="447"/>
      <c r="D7" s="447"/>
      <c r="E7" s="447"/>
      <c r="F7" s="447"/>
      <c r="G7" s="447"/>
    </row>
    <row r="8" spans="1:7" ht="15" customHeight="1" x14ac:dyDescent="0.25">
      <c r="A8" s="447"/>
      <c r="B8" s="447"/>
      <c r="C8" s="447"/>
      <c r="D8" s="447"/>
      <c r="E8" s="447"/>
      <c r="F8" s="447"/>
      <c r="G8" s="447"/>
    </row>
    <row r="9" spans="1:7" ht="15" customHeight="1" x14ac:dyDescent="0.25">
      <c r="A9" s="447"/>
      <c r="B9" s="447"/>
      <c r="C9" s="447"/>
      <c r="D9" s="447"/>
      <c r="E9" s="447"/>
      <c r="F9" s="447"/>
      <c r="G9" s="447"/>
    </row>
    <row r="10" spans="1:7" ht="15" customHeight="1" x14ac:dyDescent="0.25">
      <c r="A10" s="447"/>
      <c r="B10" s="447"/>
      <c r="C10" s="447"/>
      <c r="D10" s="447"/>
      <c r="E10" s="447"/>
      <c r="F10" s="447"/>
      <c r="G10" s="447"/>
    </row>
    <row r="11" spans="1:7" ht="15" customHeight="1" x14ac:dyDescent="0.25">
      <c r="C11" t="s">
        <v>238</v>
      </c>
      <c r="E11"/>
    </row>
    <row r="12" spans="1:7" ht="15" customHeight="1" x14ac:dyDescent="0.25">
      <c r="E12"/>
    </row>
    <row r="13" spans="1:7" ht="15" customHeight="1" x14ac:dyDescent="0.25">
      <c r="B13" t="s">
        <v>239</v>
      </c>
      <c r="E13"/>
    </row>
    <row r="14" spans="1:7" ht="15" customHeight="1" x14ac:dyDescent="0.25">
      <c r="B14" t="s">
        <v>240</v>
      </c>
      <c r="E14"/>
    </row>
    <row r="15" spans="1:7" ht="15" customHeight="1" x14ac:dyDescent="0.25">
      <c r="B15" t="s">
        <v>241</v>
      </c>
      <c r="E15"/>
    </row>
    <row r="16" spans="1:7" ht="15" customHeight="1" x14ac:dyDescent="0.25">
      <c r="B16" t="s">
        <v>242</v>
      </c>
      <c r="E16"/>
    </row>
    <row r="17" spans="2:6" ht="15" customHeight="1" x14ac:dyDescent="0.25">
      <c r="B17" t="s">
        <v>243</v>
      </c>
      <c r="E17"/>
    </row>
    <row r="18" spans="2:6" ht="15" customHeight="1" x14ac:dyDescent="0.25">
      <c r="B18" t="s">
        <v>244</v>
      </c>
      <c r="E18"/>
    </row>
    <row r="19" spans="2:6" ht="15" customHeight="1" x14ac:dyDescent="0.25">
      <c r="E19"/>
    </row>
    <row r="20" spans="2:6" ht="15" customHeight="1" x14ac:dyDescent="0.25">
      <c r="B20" s="4" t="s">
        <v>245</v>
      </c>
      <c r="D20" s="241">
        <f>+variabelen!E92</f>
        <v>7.5000000000000011E-2</v>
      </c>
      <c r="E20"/>
    </row>
    <row r="21" spans="2:6" ht="15" customHeight="1" x14ac:dyDescent="0.25">
      <c r="E21"/>
    </row>
    <row r="22" spans="2:6" ht="15" customHeight="1" x14ac:dyDescent="0.25">
      <c r="B22" s="4" t="s">
        <v>246</v>
      </c>
      <c r="E22"/>
    </row>
    <row r="23" spans="2:6" ht="15" customHeight="1" x14ac:dyDescent="0.25">
      <c r="B23" t="s">
        <v>247</v>
      </c>
      <c r="E23" s="186">
        <f>+Prognose!I112</f>
        <v>9007.9447500000024</v>
      </c>
    </row>
    <row r="24" spans="2:6" ht="15" customHeight="1" x14ac:dyDescent="0.25">
      <c r="B24" t="s">
        <v>248</v>
      </c>
      <c r="E24" s="186">
        <f>+Prognose!I74+Prognose!I68</f>
        <v>955951.69</v>
      </c>
    </row>
    <row r="25" spans="2:6" ht="15" customHeight="1" x14ac:dyDescent="0.25">
      <c r="B25" t="s">
        <v>249</v>
      </c>
      <c r="E25" s="114">
        <f>+E23/E24</f>
        <v>9.423012526919643E-3</v>
      </c>
    </row>
    <row r="26" spans="2:6" ht="15" customHeight="1" x14ac:dyDescent="0.25">
      <c r="B26" t="s">
        <v>265</v>
      </c>
      <c r="E26" s="114">
        <f>+variabelen!D185</f>
        <v>0.25</v>
      </c>
    </row>
    <row r="27" spans="2:6" x14ac:dyDescent="0.25">
      <c r="E27"/>
    </row>
    <row r="28" spans="2:6" ht="15" customHeight="1" x14ac:dyDescent="0.25">
      <c r="B28" t="s">
        <v>251</v>
      </c>
      <c r="E28" s="118">
        <f>+E25*(1-E26)</f>
        <v>7.0672593951897327E-3</v>
      </c>
    </row>
    <row r="29" spans="2:6" ht="15" customHeight="1" x14ac:dyDescent="0.25">
      <c r="E29"/>
    </row>
    <row r="30" spans="2:6" x14ac:dyDescent="0.25">
      <c r="B30" s="4" t="s">
        <v>252</v>
      </c>
      <c r="E30"/>
    </row>
    <row r="31" spans="2:6" ht="15" customHeight="1" x14ac:dyDescent="0.25">
      <c r="B31" t="s">
        <v>253</v>
      </c>
      <c r="E31"/>
    </row>
    <row r="32" spans="2:6" ht="15" customHeight="1" x14ac:dyDescent="0.25">
      <c r="C32" t="s">
        <v>254</v>
      </c>
      <c r="E32"/>
      <c r="F32" s="199">
        <f>+F35</f>
        <v>537093.15874999994</v>
      </c>
    </row>
    <row r="33" spans="2:7" ht="15" customHeight="1" x14ac:dyDescent="0.25">
      <c r="E33"/>
    </row>
    <row r="34" spans="2:7" ht="15" customHeight="1" x14ac:dyDescent="0.25">
      <c r="B34" t="s">
        <v>255</v>
      </c>
      <c r="E34"/>
    </row>
    <row r="35" spans="2:7" ht="15" customHeight="1" x14ac:dyDescent="0.25">
      <c r="C35" t="s">
        <v>256</v>
      </c>
      <c r="E35"/>
      <c r="F35" s="186">
        <f>+'Eigen vermogenswaarde'!K65</f>
        <v>537093.15874999994</v>
      </c>
    </row>
    <row r="36" spans="2:7" ht="15" customHeight="1" x14ac:dyDescent="0.25">
      <c r="C36" t="s">
        <v>248</v>
      </c>
      <c r="E36"/>
      <c r="F36" s="186">
        <f>+E24</f>
        <v>955951.69</v>
      </c>
    </row>
    <row r="37" spans="2:7" ht="15" customHeight="1" x14ac:dyDescent="0.25">
      <c r="C37" t="s">
        <v>257</v>
      </c>
      <c r="E37"/>
      <c r="F37" s="186">
        <f>SUM(F35:F36)</f>
        <v>1493044.8487499999</v>
      </c>
    </row>
    <row r="38" spans="2:7" ht="15" customHeight="1" x14ac:dyDescent="0.25">
      <c r="E38"/>
    </row>
    <row r="39" spans="2:7" ht="15" customHeight="1" x14ac:dyDescent="0.25">
      <c r="B39" t="s">
        <v>258</v>
      </c>
      <c r="E39"/>
    </row>
    <row r="40" spans="2:7" ht="15" customHeight="1" x14ac:dyDescent="0.25">
      <c r="C40" t="s">
        <v>259</v>
      </c>
      <c r="E40"/>
      <c r="F40" s="114">
        <f>+F35/F37</f>
        <v>0.3597300906263215</v>
      </c>
    </row>
    <row r="41" spans="2:7" ht="15" customHeight="1" x14ac:dyDescent="0.25">
      <c r="C41" t="s">
        <v>260</v>
      </c>
      <c r="E41"/>
      <c r="F41" s="114">
        <f>+F36/F37</f>
        <v>0.64026990937367845</v>
      </c>
    </row>
    <row r="42" spans="2:7" ht="15" customHeight="1" x14ac:dyDescent="0.25">
      <c r="C42" t="s">
        <v>257</v>
      </c>
      <c r="E42"/>
      <c r="F42" s="118">
        <v>1</v>
      </c>
    </row>
    <row r="43" spans="2:7" ht="15" customHeight="1" x14ac:dyDescent="0.25">
      <c r="E43"/>
      <c r="F43" s="118"/>
    </row>
    <row r="44" spans="2:7" ht="15" customHeight="1" x14ac:dyDescent="0.25">
      <c r="B44" s="4" t="s">
        <v>261</v>
      </c>
      <c r="E44"/>
      <c r="F44" s="118"/>
      <c r="G44" s="246">
        <f>(F40*D20)+(F41*E28)</f>
        <v>3.1504710329452526E-2</v>
      </c>
    </row>
    <row r="45" spans="2:7" s="27" customFormat="1" ht="15" customHeight="1" x14ac:dyDescent="0.2">
      <c r="E45" s="99"/>
      <c r="F45" s="28"/>
      <c r="G45" s="28"/>
    </row>
    <row r="49" spans="8:8" x14ac:dyDescent="0.25">
      <c r="H49" s="273">
        <v>13</v>
      </c>
    </row>
  </sheetData>
  <mergeCells count="2">
    <mergeCell ref="A3:C3"/>
    <mergeCell ref="A6:G10"/>
  </mergeCell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&amp;R&amp;D</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B1:M82"/>
  <sheetViews>
    <sheetView showGridLines="0" view="pageLayout" topLeftCell="A51" zoomScaleNormal="85" workbookViewId="0">
      <selection activeCell="H19" sqref="H19"/>
    </sheetView>
  </sheetViews>
  <sheetFormatPr defaultRowHeight="15" x14ac:dyDescent="0.25"/>
  <cols>
    <col min="2" max="2" width="8.5703125" customWidth="1"/>
    <col min="3" max="3" width="12.5703125" customWidth="1"/>
    <col min="4" max="4" width="16.140625" customWidth="1"/>
    <col min="5" max="5" width="8.85546875" customWidth="1"/>
    <col min="6" max="6" width="14.140625" customWidth="1"/>
    <col min="7" max="7" width="14.28515625" bestFit="1" customWidth="1"/>
    <col min="8" max="8" width="13.5703125" bestFit="1" customWidth="1"/>
    <col min="9" max="9" width="12.85546875" customWidth="1"/>
    <col min="10" max="10" width="9.85546875" bestFit="1" customWidth="1"/>
    <col min="11" max="11" width="13.5703125" customWidth="1"/>
    <col min="12" max="12" width="11.85546875" customWidth="1"/>
    <col min="13" max="13" width="8.7109375" bestFit="1" customWidth="1"/>
    <col min="14" max="14" width="6.42578125" customWidth="1"/>
    <col min="15" max="15" width="15.140625" customWidth="1"/>
    <col min="16" max="16" width="12.140625" customWidth="1"/>
    <col min="17" max="257" width="8.85546875"/>
    <col min="258" max="258" width="11.5703125" customWidth="1"/>
    <col min="259" max="259" width="17" customWidth="1"/>
    <col min="260" max="260" width="8.85546875"/>
    <col min="261" max="261" width="2.85546875" customWidth="1"/>
    <col min="262" max="262" width="14.140625" customWidth="1"/>
    <col min="263" max="263" width="15.42578125" customWidth="1"/>
    <col min="264" max="264" width="13.5703125" customWidth="1"/>
    <col min="265" max="265" width="13.85546875" customWidth="1"/>
    <col min="266" max="266" width="13.140625" customWidth="1"/>
    <col min="267" max="267" width="14.85546875" bestFit="1" customWidth="1"/>
    <col min="268" max="268" width="2.7109375" customWidth="1"/>
    <col min="269" max="269" width="8.85546875"/>
    <col min="270" max="270" width="10.85546875" customWidth="1"/>
    <col min="271" max="271" width="7.85546875" customWidth="1"/>
    <col min="272" max="272" width="11.28515625" customWidth="1"/>
    <col min="273" max="513" width="8.85546875"/>
    <col min="514" max="514" width="11.5703125" customWidth="1"/>
    <col min="515" max="515" width="17" customWidth="1"/>
    <col min="516" max="516" width="8.85546875"/>
    <col min="517" max="517" width="2.85546875" customWidth="1"/>
    <col min="518" max="518" width="14.140625" customWidth="1"/>
    <col min="519" max="519" width="15.42578125" customWidth="1"/>
    <col min="520" max="520" width="13.5703125" customWidth="1"/>
    <col min="521" max="521" width="13.85546875" customWidth="1"/>
    <col min="522" max="522" width="13.140625" customWidth="1"/>
    <col min="523" max="523" width="14.85546875" bestFit="1" customWidth="1"/>
    <col min="524" max="524" width="2.7109375" customWidth="1"/>
    <col min="525" max="525" width="8.85546875"/>
    <col min="526" max="526" width="10.85546875" customWidth="1"/>
    <col min="527" max="527" width="7.85546875" customWidth="1"/>
    <col min="528" max="528" width="11.28515625" customWidth="1"/>
    <col min="529" max="769" width="8.85546875"/>
    <col min="770" max="770" width="11.5703125" customWidth="1"/>
    <col min="771" max="771" width="17" customWidth="1"/>
    <col min="772" max="772" width="8.85546875"/>
    <col min="773" max="773" width="2.85546875" customWidth="1"/>
    <col min="774" max="774" width="14.140625" customWidth="1"/>
    <col min="775" max="775" width="15.42578125" customWidth="1"/>
    <col min="776" max="776" width="13.5703125" customWidth="1"/>
    <col min="777" max="777" width="13.85546875" customWidth="1"/>
    <col min="778" max="778" width="13.140625" customWidth="1"/>
    <col min="779" max="779" width="14.85546875" bestFit="1" customWidth="1"/>
    <col min="780" max="780" width="2.7109375" customWidth="1"/>
    <col min="781" max="781" width="8.85546875"/>
    <col min="782" max="782" width="10.85546875" customWidth="1"/>
    <col min="783" max="783" width="7.85546875" customWidth="1"/>
    <col min="784" max="784" width="11.28515625" customWidth="1"/>
    <col min="785" max="1025" width="8.85546875"/>
    <col min="1026" max="1026" width="11.5703125" customWidth="1"/>
    <col min="1027" max="1027" width="17" customWidth="1"/>
    <col min="1028" max="1028" width="8.85546875"/>
    <col min="1029" max="1029" width="2.85546875" customWidth="1"/>
    <col min="1030" max="1030" width="14.140625" customWidth="1"/>
    <col min="1031" max="1031" width="15.42578125" customWidth="1"/>
    <col min="1032" max="1032" width="13.5703125" customWidth="1"/>
    <col min="1033" max="1033" width="13.85546875" customWidth="1"/>
    <col min="1034" max="1034" width="13.140625" customWidth="1"/>
    <col min="1035" max="1035" width="14.85546875" bestFit="1" customWidth="1"/>
    <col min="1036" max="1036" width="2.7109375" customWidth="1"/>
    <col min="1037" max="1037" width="8.85546875"/>
    <col min="1038" max="1038" width="10.85546875" customWidth="1"/>
    <col min="1039" max="1039" width="7.85546875" customWidth="1"/>
    <col min="1040" max="1040" width="11.28515625" customWidth="1"/>
    <col min="1041" max="1281" width="8.85546875"/>
    <col min="1282" max="1282" width="11.5703125" customWidth="1"/>
    <col min="1283" max="1283" width="17" customWidth="1"/>
    <col min="1284" max="1284" width="8.85546875"/>
    <col min="1285" max="1285" width="2.85546875" customWidth="1"/>
    <col min="1286" max="1286" width="14.140625" customWidth="1"/>
    <col min="1287" max="1287" width="15.42578125" customWidth="1"/>
    <col min="1288" max="1288" width="13.5703125" customWidth="1"/>
    <col min="1289" max="1289" width="13.85546875" customWidth="1"/>
    <col min="1290" max="1290" width="13.140625" customWidth="1"/>
    <col min="1291" max="1291" width="14.85546875" bestFit="1" customWidth="1"/>
    <col min="1292" max="1292" width="2.7109375" customWidth="1"/>
    <col min="1293" max="1293" width="8.85546875"/>
    <col min="1294" max="1294" width="10.85546875" customWidth="1"/>
    <col min="1295" max="1295" width="7.85546875" customWidth="1"/>
    <col min="1296" max="1296" width="11.28515625" customWidth="1"/>
    <col min="1297" max="1537" width="8.85546875"/>
    <col min="1538" max="1538" width="11.5703125" customWidth="1"/>
    <col min="1539" max="1539" width="17" customWidth="1"/>
    <col min="1540" max="1540" width="8.85546875"/>
    <col min="1541" max="1541" width="2.85546875" customWidth="1"/>
    <col min="1542" max="1542" width="14.140625" customWidth="1"/>
    <col min="1543" max="1543" width="15.42578125" customWidth="1"/>
    <col min="1544" max="1544" width="13.5703125" customWidth="1"/>
    <col min="1545" max="1545" width="13.85546875" customWidth="1"/>
    <col min="1546" max="1546" width="13.140625" customWidth="1"/>
    <col min="1547" max="1547" width="14.85546875" bestFit="1" customWidth="1"/>
    <col min="1548" max="1548" width="2.7109375" customWidth="1"/>
    <col min="1549" max="1549" width="8.85546875"/>
    <col min="1550" max="1550" width="10.85546875" customWidth="1"/>
    <col min="1551" max="1551" width="7.85546875" customWidth="1"/>
    <col min="1552" max="1552" width="11.28515625" customWidth="1"/>
    <col min="1553" max="1793" width="8.85546875"/>
    <col min="1794" max="1794" width="11.5703125" customWidth="1"/>
    <col min="1795" max="1795" width="17" customWidth="1"/>
    <col min="1796" max="1796" width="8.85546875"/>
    <col min="1797" max="1797" width="2.85546875" customWidth="1"/>
    <col min="1798" max="1798" width="14.140625" customWidth="1"/>
    <col min="1799" max="1799" width="15.42578125" customWidth="1"/>
    <col min="1800" max="1800" width="13.5703125" customWidth="1"/>
    <col min="1801" max="1801" width="13.85546875" customWidth="1"/>
    <col min="1802" max="1802" width="13.140625" customWidth="1"/>
    <col min="1803" max="1803" width="14.85546875" bestFit="1" customWidth="1"/>
    <col min="1804" max="1804" width="2.7109375" customWidth="1"/>
    <col min="1805" max="1805" width="8.85546875"/>
    <col min="1806" max="1806" width="10.85546875" customWidth="1"/>
    <col min="1807" max="1807" width="7.85546875" customWidth="1"/>
    <col min="1808" max="1808" width="11.28515625" customWidth="1"/>
    <col min="1809" max="2049" width="8.85546875"/>
    <col min="2050" max="2050" width="11.5703125" customWidth="1"/>
    <col min="2051" max="2051" width="17" customWidth="1"/>
    <col min="2052" max="2052" width="8.85546875"/>
    <col min="2053" max="2053" width="2.85546875" customWidth="1"/>
    <col min="2054" max="2054" width="14.140625" customWidth="1"/>
    <col min="2055" max="2055" width="15.42578125" customWidth="1"/>
    <col min="2056" max="2056" width="13.5703125" customWidth="1"/>
    <col min="2057" max="2057" width="13.85546875" customWidth="1"/>
    <col min="2058" max="2058" width="13.140625" customWidth="1"/>
    <col min="2059" max="2059" width="14.85546875" bestFit="1" customWidth="1"/>
    <col min="2060" max="2060" width="2.7109375" customWidth="1"/>
    <col min="2061" max="2061" width="8.85546875"/>
    <col min="2062" max="2062" width="10.85546875" customWidth="1"/>
    <col min="2063" max="2063" width="7.85546875" customWidth="1"/>
    <col min="2064" max="2064" width="11.28515625" customWidth="1"/>
    <col min="2065" max="2305" width="8.85546875"/>
    <col min="2306" max="2306" width="11.5703125" customWidth="1"/>
    <col min="2307" max="2307" width="17" customWidth="1"/>
    <col min="2308" max="2308" width="8.85546875"/>
    <col min="2309" max="2309" width="2.85546875" customWidth="1"/>
    <col min="2310" max="2310" width="14.140625" customWidth="1"/>
    <col min="2311" max="2311" width="15.42578125" customWidth="1"/>
    <col min="2312" max="2312" width="13.5703125" customWidth="1"/>
    <col min="2313" max="2313" width="13.85546875" customWidth="1"/>
    <col min="2314" max="2314" width="13.140625" customWidth="1"/>
    <col min="2315" max="2315" width="14.85546875" bestFit="1" customWidth="1"/>
    <col min="2316" max="2316" width="2.7109375" customWidth="1"/>
    <col min="2317" max="2317" width="8.85546875"/>
    <col min="2318" max="2318" width="10.85546875" customWidth="1"/>
    <col min="2319" max="2319" width="7.85546875" customWidth="1"/>
    <col min="2320" max="2320" width="11.28515625" customWidth="1"/>
    <col min="2321" max="2561" width="8.85546875"/>
    <col min="2562" max="2562" width="11.5703125" customWidth="1"/>
    <col min="2563" max="2563" width="17" customWidth="1"/>
    <col min="2564" max="2564" width="8.85546875"/>
    <col min="2565" max="2565" width="2.85546875" customWidth="1"/>
    <col min="2566" max="2566" width="14.140625" customWidth="1"/>
    <col min="2567" max="2567" width="15.42578125" customWidth="1"/>
    <col min="2568" max="2568" width="13.5703125" customWidth="1"/>
    <col min="2569" max="2569" width="13.85546875" customWidth="1"/>
    <col min="2570" max="2570" width="13.140625" customWidth="1"/>
    <col min="2571" max="2571" width="14.85546875" bestFit="1" customWidth="1"/>
    <col min="2572" max="2572" width="2.7109375" customWidth="1"/>
    <col min="2573" max="2573" width="8.85546875"/>
    <col min="2574" max="2574" width="10.85546875" customWidth="1"/>
    <col min="2575" max="2575" width="7.85546875" customWidth="1"/>
    <col min="2576" max="2576" width="11.28515625" customWidth="1"/>
    <col min="2577" max="2817" width="8.85546875"/>
    <col min="2818" max="2818" width="11.5703125" customWidth="1"/>
    <col min="2819" max="2819" width="17" customWidth="1"/>
    <col min="2820" max="2820" width="8.85546875"/>
    <col min="2821" max="2821" width="2.85546875" customWidth="1"/>
    <col min="2822" max="2822" width="14.140625" customWidth="1"/>
    <col min="2823" max="2823" width="15.42578125" customWidth="1"/>
    <col min="2824" max="2824" width="13.5703125" customWidth="1"/>
    <col min="2825" max="2825" width="13.85546875" customWidth="1"/>
    <col min="2826" max="2826" width="13.140625" customWidth="1"/>
    <col min="2827" max="2827" width="14.85546875" bestFit="1" customWidth="1"/>
    <col min="2828" max="2828" width="2.7109375" customWidth="1"/>
    <col min="2829" max="2829" width="8.85546875"/>
    <col min="2830" max="2830" width="10.85546875" customWidth="1"/>
    <col min="2831" max="2831" width="7.85546875" customWidth="1"/>
    <col min="2832" max="2832" width="11.28515625" customWidth="1"/>
    <col min="2833" max="3073" width="8.85546875"/>
    <col min="3074" max="3074" width="11.5703125" customWidth="1"/>
    <col min="3075" max="3075" width="17" customWidth="1"/>
    <col min="3076" max="3076" width="8.85546875"/>
    <col min="3077" max="3077" width="2.85546875" customWidth="1"/>
    <col min="3078" max="3078" width="14.140625" customWidth="1"/>
    <col min="3079" max="3079" width="15.42578125" customWidth="1"/>
    <col min="3080" max="3080" width="13.5703125" customWidth="1"/>
    <col min="3081" max="3081" width="13.85546875" customWidth="1"/>
    <col min="3082" max="3082" width="13.140625" customWidth="1"/>
    <col min="3083" max="3083" width="14.85546875" bestFit="1" customWidth="1"/>
    <col min="3084" max="3084" width="2.7109375" customWidth="1"/>
    <col min="3085" max="3085" width="8.85546875"/>
    <col min="3086" max="3086" width="10.85546875" customWidth="1"/>
    <col min="3087" max="3087" width="7.85546875" customWidth="1"/>
    <col min="3088" max="3088" width="11.28515625" customWidth="1"/>
    <col min="3089" max="3329" width="8.85546875"/>
    <col min="3330" max="3330" width="11.5703125" customWidth="1"/>
    <col min="3331" max="3331" width="17" customWidth="1"/>
    <col min="3332" max="3332" width="8.85546875"/>
    <col min="3333" max="3333" width="2.85546875" customWidth="1"/>
    <col min="3334" max="3334" width="14.140625" customWidth="1"/>
    <col min="3335" max="3335" width="15.42578125" customWidth="1"/>
    <col min="3336" max="3336" width="13.5703125" customWidth="1"/>
    <col min="3337" max="3337" width="13.85546875" customWidth="1"/>
    <col min="3338" max="3338" width="13.140625" customWidth="1"/>
    <col min="3339" max="3339" width="14.85546875" bestFit="1" customWidth="1"/>
    <col min="3340" max="3340" width="2.7109375" customWidth="1"/>
    <col min="3341" max="3341" width="8.85546875"/>
    <col min="3342" max="3342" width="10.85546875" customWidth="1"/>
    <col min="3343" max="3343" width="7.85546875" customWidth="1"/>
    <col min="3344" max="3344" width="11.28515625" customWidth="1"/>
    <col min="3345" max="3585" width="8.85546875"/>
    <col min="3586" max="3586" width="11.5703125" customWidth="1"/>
    <col min="3587" max="3587" width="17" customWidth="1"/>
    <col min="3588" max="3588" width="8.85546875"/>
    <col min="3589" max="3589" width="2.85546875" customWidth="1"/>
    <col min="3590" max="3590" width="14.140625" customWidth="1"/>
    <col min="3591" max="3591" width="15.42578125" customWidth="1"/>
    <col min="3592" max="3592" width="13.5703125" customWidth="1"/>
    <col min="3593" max="3593" width="13.85546875" customWidth="1"/>
    <col min="3594" max="3594" width="13.140625" customWidth="1"/>
    <col min="3595" max="3595" width="14.85546875" bestFit="1" customWidth="1"/>
    <col min="3596" max="3596" width="2.7109375" customWidth="1"/>
    <col min="3597" max="3597" width="8.85546875"/>
    <col min="3598" max="3598" width="10.85546875" customWidth="1"/>
    <col min="3599" max="3599" width="7.85546875" customWidth="1"/>
    <col min="3600" max="3600" width="11.28515625" customWidth="1"/>
    <col min="3601" max="3841" width="8.85546875"/>
    <col min="3842" max="3842" width="11.5703125" customWidth="1"/>
    <col min="3843" max="3843" width="17" customWidth="1"/>
    <col min="3844" max="3844" width="8.85546875"/>
    <col min="3845" max="3845" width="2.85546875" customWidth="1"/>
    <col min="3846" max="3846" width="14.140625" customWidth="1"/>
    <col min="3847" max="3847" width="15.42578125" customWidth="1"/>
    <col min="3848" max="3848" width="13.5703125" customWidth="1"/>
    <col min="3849" max="3849" width="13.85546875" customWidth="1"/>
    <col min="3850" max="3850" width="13.140625" customWidth="1"/>
    <col min="3851" max="3851" width="14.85546875" bestFit="1" customWidth="1"/>
    <col min="3852" max="3852" width="2.7109375" customWidth="1"/>
    <col min="3853" max="3853" width="8.85546875"/>
    <col min="3854" max="3854" width="10.85546875" customWidth="1"/>
    <col min="3855" max="3855" width="7.85546875" customWidth="1"/>
    <col min="3856" max="3856" width="11.28515625" customWidth="1"/>
    <col min="3857" max="4097" width="8.85546875"/>
    <col min="4098" max="4098" width="11.5703125" customWidth="1"/>
    <col min="4099" max="4099" width="17" customWidth="1"/>
    <col min="4100" max="4100" width="8.85546875"/>
    <col min="4101" max="4101" width="2.85546875" customWidth="1"/>
    <col min="4102" max="4102" width="14.140625" customWidth="1"/>
    <col min="4103" max="4103" width="15.42578125" customWidth="1"/>
    <col min="4104" max="4104" width="13.5703125" customWidth="1"/>
    <col min="4105" max="4105" width="13.85546875" customWidth="1"/>
    <col min="4106" max="4106" width="13.140625" customWidth="1"/>
    <col min="4107" max="4107" width="14.85546875" bestFit="1" customWidth="1"/>
    <col min="4108" max="4108" width="2.7109375" customWidth="1"/>
    <col min="4109" max="4109" width="8.85546875"/>
    <col min="4110" max="4110" width="10.85546875" customWidth="1"/>
    <col min="4111" max="4111" width="7.85546875" customWidth="1"/>
    <col min="4112" max="4112" width="11.28515625" customWidth="1"/>
    <col min="4113" max="4353" width="8.85546875"/>
    <col min="4354" max="4354" width="11.5703125" customWidth="1"/>
    <col min="4355" max="4355" width="17" customWidth="1"/>
    <col min="4356" max="4356" width="8.85546875"/>
    <col min="4357" max="4357" width="2.85546875" customWidth="1"/>
    <col min="4358" max="4358" width="14.140625" customWidth="1"/>
    <col min="4359" max="4359" width="15.42578125" customWidth="1"/>
    <col min="4360" max="4360" width="13.5703125" customWidth="1"/>
    <col min="4361" max="4361" width="13.85546875" customWidth="1"/>
    <col min="4362" max="4362" width="13.140625" customWidth="1"/>
    <col min="4363" max="4363" width="14.85546875" bestFit="1" customWidth="1"/>
    <col min="4364" max="4364" width="2.7109375" customWidth="1"/>
    <col min="4365" max="4365" width="8.85546875"/>
    <col min="4366" max="4366" width="10.85546875" customWidth="1"/>
    <col min="4367" max="4367" width="7.85546875" customWidth="1"/>
    <col min="4368" max="4368" width="11.28515625" customWidth="1"/>
    <col min="4369" max="4609" width="8.85546875"/>
    <col min="4610" max="4610" width="11.5703125" customWidth="1"/>
    <col min="4611" max="4611" width="17" customWidth="1"/>
    <col min="4612" max="4612" width="8.85546875"/>
    <col min="4613" max="4613" width="2.85546875" customWidth="1"/>
    <col min="4614" max="4614" width="14.140625" customWidth="1"/>
    <col min="4615" max="4615" width="15.42578125" customWidth="1"/>
    <col min="4616" max="4616" width="13.5703125" customWidth="1"/>
    <col min="4617" max="4617" width="13.85546875" customWidth="1"/>
    <col min="4618" max="4618" width="13.140625" customWidth="1"/>
    <col min="4619" max="4619" width="14.85546875" bestFit="1" customWidth="1"/>
    <col min="4620" max="4620" width="2.7109375" customWidth="1"/>
    <col min="4621" max="4621" width="8.85546875"/>
    <col min="4622" max="4622" width="10.85546875" customWidth="1"/>
    <col min="4623" max="4623" width="7.85546875" customWidth="1"/>
    <col min="4624" max="4624" width="11.28515625" customWidth="1"/>
    <col min="4625" max="4865" width="8.85546875"/>
    <col min="4866" max="4866" width="11.5703125" customWidth="1"/>
    <col min="4867" max="4867" width="17" customWidth="1"/>
    <col min="4868" max="4868" width="8.85546875"/>
    <col min="4869" max="4869" width="2.85546875" customWidth="1"/>
    <col min="4870" max="4870" width="14.140625" customWidth="1"/>
    <col min="4871" max="4871" width="15.42578125" customWidth="1"/>
    <col min="4872" max="4872" width="13.5703125" customWidth="1"/>
    <col min="4873" max="4873" width="13.85546875" customWidth="1"/>
    <col min="4874" max="4874" width="13.140625" customWidth="1"/>
    <col min="4875" max="4875" width="14.85546875" bestFit="1" customWidth="1"/>
    <col min="4876" max="4876" width="2.7109375" customWidth="1"/>
    <col min="4877" max="4877" width="8.85546875"/>
    <col min="4878" max="4878" width="10.85546875" customWidth="1"/>
    <col min="4879" max="4879" width="7.85546875" customWidth="1"/>
    <col min="4880" max="4880" width="11.28515625" customWidth="1"/>
    <col min="4881" max="5121" width="8.85546875"/>
    <col min="5122" max="5122" width="11.5703125" customWidth="1"/>
    <col min="5123" max="5123" width="17" customWidth="1"/>
    <col min="5124" max="5124" width="8.85546875"/>
    <col min="5125" max="5125" width="2.85546875" customWidth="1"/>
    <col min="5126" max="5126" width="14.140625" customWidth="1"/>
    <col min="5127" max="5127" width="15.42578125" customWidth="1"/>
    <col min="5128" max="5128" width="13.5703125" customWidth="1"/>
    <col min="5129" max="5129" width="13.85546875" customWidth="1"/>
    <col min="5130" max="5130" width="13.140625" customWidth="1"/>
    <col min="5131" max="5131" width="14.85546875" bestFit="1" customWidth="1"/>
    <col min="5132" max="5132" width="2.7109375" customWidth="1"/>
    <col min="5133" max="5133" width="8.85546875"/>
    <col min="5134" max="5134" width="10.85546875" customWidth="1"/>
    <col min="5135" max="5135" width="7.85546875" customWidth="1"/>
    <col min="5136" max="5136" width="11.28515625" customWidth="1"/>
    <col min="5137" max="5377" width="8.85546875"/>
    <col min="5378" max="5378" width="11.5703125" customWidth="1"/>
    <col min="5379" max="5379" width="17" customWidth="1"/>
    <col min="5380" max="5380" width="8.85546875"/>
    <col min="5381" max="5381" width="2.85546875" customWidth="1"/>
    <col min="5382" max="5382" width="14.140625" customWidth="1"/>
    <col min="5383" max="5383" width="15.42578125" customWidth="1"/>
    <col min="5384" max="5384" width="13.5703125" customWidth="1"/>
    <col min="5385" max="5385" width="13.85546875" customWidth="1"/>
    <col min="5386" max="5386" width="13.140625" customWidth="1"/>
    <col min="5387" max="5387" width="14.85546875" bestFit="1" customWidth="1"/>
    <col min="5388" max="5388" width="2.7109375" customWidth="1"/>
    <col min="5389" max="5389" width="8.85546875"/>
    <col min="5390" max="5390" width="10.85546875" customWidth="1"/>
    <col min="5391" max="5391" width="7.85546875" customWidth="1"/>
    <col min="5392" max="5392" width="11.28515625" customWidth="1"/>
    <col min="5393" max="5633" width="8.85546875"/>
    <col min="5634" max="5634" width="11.5703125" customWidth="1"/>
    <col min="5635" max="5635" width="17" customWidth="1"/>
    <col min="5636" max="5636" width="8.85546875"/>
    <col min="5637" max="5637" width="2.85546875" customWidth="1"/>
    <col min="5638" max="5638" width="14.140625" customWidth="1"/>
    <col min="5639" max="5639" width="15.42578125" customWidth="1"/>
    <col min="5640" max="5640" width="13.5703125" customWidth="1"/>
    <col min="5641" max="5641" width="13.85546875" customWidth="1"/>
    <col min="5642" max="5642" width="13.140625" customWidth="1"/>
    <col min="5643" max="5643" width="14.85546875" bestFit="1" customWidth="1"/>
    <col min="5644" max="5644" width="2.7109375" customWidth="1"/>
    <col min="5645" max="5645" width="8.85546875"/>
    <col min="5646" max="5646" width="10.85546875" customWidth="1"/>
    <col min="5647" max="5647" width="7.85546875" customWidth="1"/>
    <col min="5648" max="5648" width="11.28515625" customWidth="1"/>
    <col min="5649" max="5889" width="8.85546875"/>
    <col min="5890" max="5890" width="11.5703125" customWidth="1"/>
    <col min="5891" max="5891" width="17" customWidth="1"/>
    <col min="5892" max="5892" width="8.85546875"/>
    <col min="5893" max="5893" width="2.85546875" customWidth="1"/>
    <col min="5894" max="5894" width="14.140625" customWidth="1"/>
    <col min="5895" max="5895" width="15.42578125" customWidth="1"/>
    <col min="5896" max="5896" width="13.5703125" customWidth="1"/>
    <col min="5897" max="5897" width="13.85546875" customWidth="1"/>
    <col min="5898" max="5898" width="13.140625" customWidth="1"/>
    <col min="5899" max="5899" width="14.85546875" bestFit="1" customWidth="1"/>
    <col min="5900" max="5900" width="2.7109375" customWidth="1"/>
    <col min="5901" max="5901" width="8.85546875"/>
    <col min="5902" max="5902" width="10.85546875" customWidth="1"/>
    <col min="5903" max="5903" width="7.85546875" customWidth="1"/>
    <col min="5904" max="5904" width="11.28515625" customWidth="1"/>
    <col min="5905" max="6145" width="8.85546875"/>
    <col min="6146" max="6146" width="11.5703125" customWidth="1"/>
    <col min="6147" max="6147" width="17" customWidth="1"/>
    <col min="6148" max="6148" width="8.85546875"/>
    <col min="6149" max="6149" width="2.85546875" customWidth="1"/>
    <col min="6150" max="6150" width="14.140625" customWidth="1"/>
    <col min="6151" max="6151" width="15.42578125" customWidth="1"/>
    <col min="6152" max="6152" width="13.5703125" customWidth="1"/>
    <col min="6153" max="6153" width="13.85546875" customWidth="1"/>
    <col min="6154" max="6154" width="13.140625" customWidth="1"/>
    <col min="6155" max="6155" width="14.85546875" bestFit="1" customWidth="1"/>
    <col min="6156" max="6156" width="2.7109375" customWidth="1"/>
    <col min="6157" max="6157" width="8.85546875"/>
    <col min="6158" max="6158" width="10.85546875" customWidth="1"/>
    <col min="6159" max="6159" width="7.85546875" customWidth="1"/>
    <col min="6160" max="6160" width="11.28515625" customWidth="1"/>
    <col min="6161" max="6401" width="8.85546875"/>
    <col min="6402" max="6402" width="11.5703125" customWidth="1"/>
    <col min="6403" max="6403" width="17" customWidth="1"/>
    <col min="6404" max="6404" width="8.85546875"/>
    <col min="6405" max="6405" width="2.85546875" customWidth="1"/>
    <col min="6406" max="6406" width="14.140625" customWidth="1"/>
    <col min="6407" max="6407" width="15.42578125" customWidth="1"/>
    <col min="6408" max="6408" width="13.5703125" customWidth="1"/>
    <col min="6409" max="6409" width="13.85546875" customWidth="1"/>
    <col min="6410" max="6410" width="13.140625" customWidth="1"/>
    <col min="6411" max="6411" width="14.85546875" bestFit="1" customWidth="1"/>
    <col min="6412" max="6412" width="2.7109375" customWidth="1"/>
    <col min="6413" max="6413" width="8.85546875"/>
    <col min="6414" max="6414" width="10.85546875" customWidth="1"/>
    <col min="6415" max="6415" width="7.85546875" customWidth="1"/>
    <col min="6416" max="6416" width="11.28515625" customWidth="1"/>
    <col min="6417" max="6657" width="8.85546875"/>
    <col min="6658" max="6658" width="11.5703125" customWidth="1"/>
    <col min="6659" max="6659" width="17" customWidth="1"/>
    <col min="6660" max="6660" width="8.85546875"/>
    <col min="6661" max="6661" width="2.85546875" customWidth="1"/>
    <col min="6662" max="6662" width="14.140625" customWidth="1"/>
    <col min="6663" max="6663" width="15.42578125" customWidth="1"/>
    <col min="6664" max="6664" width="13.5703125" customWidth="1"/>
    <col min="6665" max="6665" width="13.85546875" customWidth="1"/>
    <col min="6666" max="6666" width="13.140625" customWidth="1"/>
    <col min="6667" max="6667" width="14.85546875" bestFit="1" customWidth="1"/>
    <col min="6668" max="6668" width="2.7109375" customWidth="1"/>
    <col min="6669" max="6669" width="8.85546875"/>
    <col min="6670" max="6670" width="10.85546875" customWidth="1"/>
    <col min="6671" max="6671" width="7.85546875" customWidth="1"/>
    <col min="6672" max="6672" width="11.28515625" customWidth="1"/>
    <col min="6673" max="6913" width="8.85546875"/>
    <col min="6914" max="6914" width="11.5703125" customWidth="1"/>
    <col min="6915" max="6915" width="17" customWidth="1"/>
    <col min="6916" max="6916" width="8.85546875"/>
    <col min="6917" max="6917" width="2.85546875" customWidth="1"/>
    <col min="6918" max="6918" width="14.140625" customWidth="1"/>
    <col min="6919" max="6919" width="15.42578125" customWidth="1"/>
    <col min="6920" max="6920" width="13.5703125" customWidth="1"/>
    <col min="6921" max="6921" width="13.85546875" customWidth="1"/>
    <col min="6922" max="6922" width="13.140625" customWidth="1"/>
    <col min="6923" max="6923" width="14.85546875" bestFit="1" customWidth="1"/>
    <col min="6924" max="6924" width="2.7109375" customWidth="1"/>
    <col min="6925" max="6925" width="8.85546875"/>
    <col min="6926" max="6926" width="10.85546875" customWidth="1"/>
    <col min="6927" max="6927" width="7.85546875" customWidth="1"/>
    <col min="6928" max="6928" width="11.28515625" customWidth="1"/>
    <col min="6929" max="7169" width="8.85546875"/>
    <col min="7170" max="7170" width="11.5703125" customWidth="1"/>
    <col min="7171" max="7171" width="17" customWidth="1"/>
    <col min="7172" max="7172" width="8.85546875"/>
    <col min="7173" max="7173" width="2.85546875" customWidth="1"/>
    <col min="7174" max="7174" width="14.140625" customWidth="1"/>
    <col min="7175" max="7175" width="15.42578125" customWidth="1"/>
    <col min="7176" max="7176" width="13.5703125" customWidth="1"/>
    <col min="7177" max="7177" width="13.85546875" customWidth="1"/>
    <col min="7178" max="7178" width="13.140625" customWidth="1"/>
    <col min="7179" max="7179" width="14.85546875" bestFit="1" customWidth="1"/>
    <col min="7180" max="7180" width="2.7109375" customWidth="1"/>
    <col min="7181" max="7181" width="8.85546875"/>
    <col min="7182" max="7182" width="10.85546875" customWidth="1"/>
    <col min="7183" max="7183" width="7.85546875" customWidth="1"/>
    <col min="7184" max="7184" width="11.28515625" customWidth="1"/>
    <col min="7185" max="7425" width="8.85546875"/>
    <col min="7426" max="7426" width="11.5703125" customWidth="1"/>
    <col min="7427" max="7427" width="17" customWidth="1"/>
    <col min="7428" max="7428" width="8.85546875"/>
    <col min="7429" max="7429" width="2.85546875" customWidth="1"/>
    <col min="7430" max="7430" width="14.140625" customWidth="1"/>
    <col min="7431" max="7431" width="15.42578125" customWidth="1"/>
    <col min="7432" max="7432" width="13.5703125" customWidth="1"/>
    <col min="7433" max="7433" width="13.85546875" customWidth="1"/>
    <col min="7434" max="7434" width="13.140625" customWidth="1"/>
    <col min="7435" max="7435" width="14.85546875" bestFit="1" customWidth="1"/>
    <col min="7436" max="7436" width="2.7109375" customWidth="1"/>
    <col min="7437" max="7437" width="8.85546875"/>
    <col min="7438" max="7438" width="10.85546875" customWidth="1"/>
    <col min="7439" max="7439" width="7.85546875" customWidth="1"/>
    <col min="7440" max="7440" width="11.28515625" customWidth="1"/>
    <col min="7441" max="7681" width="8.85546875"/>
    <col min="7682" max="7682" width="11.5703125" customWidth="1"/>
    <col min="7683" max="7683" width="17" customWidth="1"/>
    <col min="7684" max="7684" width="8.85546875"/>
    <col min="7685" max="7685" width="2.85546875" customWidth="1"/>
    <col min="7686" max="7686" width="14.140625" customWidth="1"/>
    <col min="7687" max="7687" width="15.42578125" customWidth="1"/>
    <col min="7688" max="7688" width="13.5703125" customWidth="1"/>
    <col min="7689" max="7689" width="13.85546875" customWidth="1"/>
    <col min="7690" max="7690" width="13.140625" customWidth="1"/>
    <col min="7691" max="7691" width="14.85546875" bestFit="1" customWidth="1"/>
    <col min="7692" max="7692" width="2.7109375" customWidth="1"/>
    <col min="7693" max="7693" width="8.85546875"/>
    <col min="7694" max="7694" width="10.85546875" customWidth="1"/>
    <col min="7695" max="7695" width="7.85546875" customWidth="1"/>
    <col min="7696" max="7696" width="11.28515625" customWidth="1"/>
    <col min="7697" max="7937" width="8.85546875"/>
    <col min="7938" max="7938" width="11.5703125" customWidth="1"/>
    <col min="7939" max="7939" width="17" customWidth="1"/>
    <col min="7940" max="7940" width="8.85546875"/>
    <col min="7941" max="7941" width="2.85546875" customWidth="1"/>
    <col min="7942" max="7942" width="14.140625" customWidth="1"/>
    <col min="7943" max="7943" width="15.42578125" customWidth="1"/>
    <col min="7944" max="7944" width="13.5703125" customWidth="1"/>
    <col min="7945" max="7945" width="13.85546875" customWidth="1"/>
    <col min="7946" max="7946" width="13.140625" customWidth="1"/>
    <col min="7947" max="7947" width="14.85546875" bestFit="1" customWidth="1"/>
    <col min="7948" max="7948" width="2.7109375" customWidth="1"/>
    <col min="7949" max="7949" width="8.85546875"/>
    <col min="7950" max="7950" width="10.85546875" customWidth="1"/>
    <col min="7951" max="7951" width="7.85546875" customWidth="1"/>
    <col min="7952" max="7952" width="11.28515625" customWidth="1"/>
    <col min="7953" max="8193" width="8.85546875"/>
    <col min="8194" max="8194" width="11.5703125" customWidth="1"/>
    <col min="8195" max="8195" width="17" customWidth="1"/>
    <col min="8196" max="8196" width="8.85546875"/>
    <col min="8197" max="8197" width="2.85546875" customWidth="1"/>
    <col min="8198" max="8198" width="14.140625" customWidth="1"/>
    <col min="8199" max="8199" width="15.42578125" customWidth="1"/>
    <col min="8200" max="8200" width="13.5703125" customWidth="1"/>
    <col min="8201" max="8201" width="13.85546875" customWidth="1"/>
    <col min="8202" max="8202" width="13.140625" customWidth="1"/>
    <col min="8203" max="8203" width="14.85546875" bestFit="1" customWidth="1"/>
    <col min="8204" max="8204" width="2.7109375" customWidth="1"/>
    <col min="8205" max="8205" width="8.85546875"/>
    <col min="8206" max="8206" width="10.85546875" customWidth="1"/>
    <col min="8207" max="8207" width="7.85546875" customWidth="1"/>
    <col min="8208" max="8208" width="11.28515625" customWidth="1"/>
    <col min="8209" max="8449" width="8.85546875"/>
    <col min="8450" max="8450" width="11.5703125" customWidth="1"/>
    <col min="8451" max="8451" width="17" customWidth="1"/>
    <col min="8452" max="8452" width="8.85546875"/>
    <col min="8453" max="8453" width="2.85546875" customWidth="1"/>
    <col min="8454" max="8454" width="14.140625" customWidth="1"/>
    <col min="8455" max="8455" width="15.42578125" customWidth="1"/>
    <col min="8456" max="8456" width="13.5703125" customWidth="1"/>
    <col min="8457" max="8457" width="13.85546875" customWidth="1"/>
    <col min="8458" max="8458" width="13.140625" customWidth="1"/>
    <col min="8459" max="8459" width="14.85546875" bestFit="1" customWidth="1"/>
    <col min="8460" max="8460" width="2.7109375" customWidth="1"/>
    <col min="8461" max="8461" width="8.85546875"/>
    <col min="8462" max="8462" width="10.85546875" customWidth="1"/>
    <col min="8463" max="8463" width="7.85546875" customWidth="1"/>
    <col min="8464" max="8464" width="11.28515625" customWidth="1"/>
    <col min="8465" max="8705" width="8.85546875"/>
    <col min="8706" max="8706" width="11.5703125" customWidth="1"/>
    <col min="8707" max="8707" width="17" customWidth="1"/>
    <col min="8708" max="8708" width="8.85546875"/>
    <col min="8709" max="8709" width="2.85546875" customWidth="1"/>
    <col min="8710" max="8710" width="14.140625" customWidth="1"/>
    <col min="8711" max="8711" width="15.42578125" customWidth="1"/>
    <col min="8712" max="8712" width="13.5703125" customWidth="1"/>
    <col min="8713" max="8713" width="13.85546875" customWidth="1"/>
    <col min="8714" max="8714" width="13.140625" customWidth="1"/>
    <col min="8715" max="8715" width="14.85546875" bestFit="1" customWidth="1"/>
    <col min="8716" max="8716" width="2.7109375" customWidth="1"/>
    <col min="8717" max="8717" width="8.85546875"/>
    <col min="8718" max="8718" width="10.85546875" customWidth="1"/>
    <col min="8719" max="8719" width="7.85546875" customWidth="1"/>
    <col min="8720" max="8720" width="11.28515625" customWidth="1"/>
    <col min="8721" max="8961" width="8.85546875"/>
    <col min="8962" max="8962" width="11.5703125" customWidth="1"/>
    <col min="8963" max="8963" width="17" customWidth="1"/>
    <col min="8964" max="8964" width="8.85546875"/>
    <col min="8965" max="8965" width="2.85546875" customWidth="1"/>
    <col min="8966" max="8966" width="14.140625" customWidth="1"/>
    <col min="8967" max="8967" width="15.42578125" customWidth="1"/>
    <col min="8968" max="8968" width="13.5703125" customWidth="1"/>
    <col min="8969" max="8969" width="13.85546875" customWidth="1"/>
    <col min="8970" max="8970" width="13.140625" customWidth="1"/>
    <col min="8971" max="8971" width="14.85546875" bestFit="1" customWidth="1"/>
    <col min="8972" max="8972" width="2.7109375" customWidth="1"/>
    <col min="8973" max="8973" width="8.85546875"/>
    <col min="8974" max="8974" width="10.85546875" customWidth="1"/>
    <col min="8975" max="8975" width="7.85546875" customWidth="1"/>
    <col min="8976" max="8976" width="11.28515625" customWidth="1"/>
    <col min="8977" max="9217" width="8.85546875"/>
    <col min="9218" max="9218" width="11.5703125" customWidth="1"/>
    <col min="9219" max="9219" width="17" customWidth="1"/>
    <col min="9220" max="9220" width="8.85546875"/>
    <col min="9221" max="9221" width="2.85546875" customWidth="1"/>
    <col min="9222" max="9222" width="14.140625" customWidth="1"/>
    <col min="9223" max="9223" width="15.42578125" customWidth="1"/>
    <col min="9224" max="9224" width="13.5703125" customWidth="1"/>
    <col min="9225" max="9225" width="13.85546875" customWidth="1"/>
    <col min="9226" max="9226" width="13.140625" customWidth="1"/>
    <col min="9227" max="9227" width="14.85546875" bestFit="1" customWidth="1"/>
    <col min="9228" max="9228" width="2.7109375" customWidth="1"/>
    <col min="9229" max="9229" width="8.85546875"/>
    <col min="9230" max="9230" width="10.85546875" customWidth="1"/>
    <col min="9231" max="9231" width="7.85546875" customWidth="1"/>
    <col min="9232" max="9232" width="11.28515625" customWidth="1"/>
    <col min="9233" max="9473" width="8.85546875"/>
    <col min="9474" max="9474" width="11.5703125" customWidth="1"/>
    <col min="9475" max="9475" width="17" customWidth="1"/>
    <col min="9476" max="9476" width="8.85546875"/>
    <col min="9477" max="9477" width="2.85546875" customWidth="1"/>
    <col min="9478" max="9478" width="14.140625" customWidth="1"/>
    <col min="9479" max="9479" width="15.42578125" customWidth="1"/>
    <col min="9480" max="9480" width="13.5703125" customWidth="1"/>
    <col min="9481" max="9481" width="13.85546875" customWidth="1"/>
    <col min="9482" max="9482" width="13.140625" customWidth="1"/>
    <col min="9483" max="9483" width="14.85546875" bestFit="1" customWidth="1"/>
    <col min="9484" max="9484" width="2.7109375" customWidth="1"/>
    <col min="9485" max="9485" width="8.85546875"/>
    <col min="9486" max="9486" width="10.85546875" customWidth="1"/>
    <col min="9487" max="9487" width="7.85546875" customWidth="1"/>
    <col min="9488" max="9488" width="11.28515625" customWidth="1"/>
    <col min="9489" max="9729" width="8.85546875"/>
    <col min="9730" max="9730" width="11.5703125" customWidth="1"/>
    <col min="9731" max="9731" width="17" customWidth="1"/>
    <col min="9732" max="9732" width="8.85546875"/>
    <col min="9733" max="9733" width="2.85546875" customWidth="1"/>
    <col min="9734" max="9734" width="14.140625" customWidth="1"/>
    <col min="9735" max="9735" width="15.42578125" customWidth="1"/>
    <col min="9736" max="9736" width="13.5703125" customWidth="1"/>
    <col min="9737" max="9737" width="13.85546875" customWidth="1"/>
    <col min="9738" max="9738" width="13.140625" customWidth="1"/>
    <col min="9739" max="9739" width="14.85546875" bestFit="1" customWidth="1"/>
    <col min="9740" max="9740" width="2.7109375" customWidth="1"/>
    <col min="9741" max="9741" width="8.85546875"/>
    <col min="9742" max="9742" width="10.85546875" customWidth="1"/>
    <col min="9743" max="9743" width="7.85546875" customWidth="1"/>
    <col min="9744" max="9744" width="11.28515625" customWidth="1"/>
    <col min="9745" max="9985" width="8.85546875"/>
    <col min="9986" max="9986" width="11.5703125" customWidth="1"/>
    <col min="9987" max="9987" width="17" customWidth="1"/>
    <col min="9988" max="9988" width="8.85546875"/>
    <col min="9989" max="9989" width="2.85546875" customWidth="1"/>
    <col min="9990" max="9990" width="14.140625" customWidth="1"/>
    <col min="9991" max="9991" width="15.42578125" customWidth="1"/>
    <col min="9992" max="9992" width="13.5703125" customWidth="1"/>
    <col min="9993" max="9993" width="13.85546875" customWidth="1"/>
    <col min="9994" max="9994" width="13.140625" customWidth="1"/>
    <col min="9995" max="9995" width="14.85546875" bestFit="1" customWidth="1"/>
    <col min="9996" max="9996" width="2.7109375" customWidth="1"/>
    <col min="9997" max="9997" width="8.85546875"/>
    <col min="9998" max="9998" width="10.85546875" customWidth="1"/>
    <col min="9999" max="9999" width="7.85546875" customWidth="1"/>
    <col min="10000" max="10000" width="11.28515625" customWidth="1"/>
    <col min="10001" max="10241" width="8.85546875"/>
    <col min="10242" max="10242" width="11.5703125" customWidth="1"/>
    <col min="10243" max="10243" width="17" customWidth="1"/>
    <col min="10244" max="10244" width="8.85546875"/>
    <col min="10245" max="10245" width="2.85546875" customWidth="1"/>
    <col min="10246" max="10246" width="14.140625" customWidth="1"/>
    <col min="10247" max="10247" width="15.42578125" customWidth="1"/>
    <col min="10248" max="10248" width="13.5703125" customWidth="1"/>
    <col min="10249" max="10249" width="13.85546875" customWidth="1"/>
    <col min="10250" max="10250" width="13.140625" customWidth="1"/>
    <col min="10251" max="10251" width="14.85546875" bestFit="1" customWidth="1"/>
    <col min="10252" max="10252" width="2.7109375" customWidth="1"/>
    <col min="10253" max="10253" width="8.85546875"/>
    <col min="10254" max="10254" width="10.85546875" customWidth="1"/>
    <col min="10255" max="10255" width="7.85546875" customWidth="1"/>
    <col min="10256" max="10256" width="11.28515625" customWidth="1"/>
    <col min="10257" max="10497" width="8.85546875"/>
    <col min="10498" max="10498" width="11.5703125" customWidth="1"/>
    <col min="10499" max="10499" width="17" customWidth="1"/>
    <col min="10500" max="10500" width="8.85546875"/>
    <col min="10501" max="10501" width="2.85546875" customWidth="1"/>
    <col min="10502" max="10502" width="14.140625" customWidth="1"/>
    <col min="10503" max="10503" width="15.42578125" customWidth="1"/>
    <col min="10504" max="10504" width="13.5703125" customWidth="1"/>
    <col min="10505" max="10505" width="13.85546875" customWidth="1"/>
    <col min="10506" max="10506" width="13.140625" customWidth="1"/>
    <col min="10507" max="10507" width="14.85546875" bestFit="1" customWidth="1"/>
    <col min="10508" max="10508" width="2.7109375" customWidth="1"/>
    <col min="10509" max="10509" width="8.85546875"/>
    <col min="10510" max="10510" width="10.85546875" customWidth="1"/>
    <col min="10511" max="10511" width="7.85546875" customWidth="1"/>
    <col min="10512" max="10512" width="11.28515625" customWidth="1"/>
    <col min="10513" max="10753" width="8.85546875"/>
    <col min="10754" max="10754" width="11.5703125" customWidth="1"/>
    <col min="10755" max="10755" width="17" customWidth="1"/>
    <col min="10756" max="10756" width="8.85546875"/>
    <col min="10757" max="10757" width="2.85546875" customWidth="1"/>
    <col min="10758" max="10758" width="14.140625" customWidth="1"/>
    <col min="10759" max="10759" width="15.42578125" customWidth="1"/>
    <col min="10760" max="10760" width="13.5703125" customWidth="1"/>
    <col min="10761" max="10761" width="13.85546875" customWidth="1"/>
    <col min="10762" max="10762" width="13.140625" customWidth="1"/>
    <col min="10763" max="10763" width="14.85546875" bestFit="1" customWidth="1"/>
    <col min="10764" max="10764" width="2.7109375" customWidth="1"/>
    <col min="10765" max="10765" width="8.85546875"/>
    <col min="10766" max="10766" width="10.85546875" customWidth="1"/>
    <col min="10767" max="10767" width="7.85546875" customWidth="1"/>
    <col min="10768" max="10768" width="11.28515625" customWidth="1"/>
    <col min="10769" max="11009" width="8.85546875"/>
    <col min="11010" max="11010" width="11.5703125" customWidth="1"/>
    <col min="11011" max="11011" width="17" customWidth="1"/>
    <col min="11012" max="11012" width="8.85546875"/>
    <col min="11013" max="11013" width="2.85546875" customWidth="1"/>
    <col min="11014" max="11014" width="14.140625" customWidth="1"/>
    <col min="11015" max="11015" width="15.42578125" customWidth="1"/>
    <col min="11016" max="11016" width="13.5703125" customWidth="1"/>
    <col min="11017" max="11017" width="13.85546875" customWidth="1"/>
    <col min="11018" max="11018" width="13.140625" customWidth="1"/>
    <col min="11019" max="11019" width="14.85546875" bestFit="1" customWidth="1"/>
    <col min="11020" max="11020" width="2.7109375" customWidth="1"/>
    <col min="11021" max="11021" width="8.85546875"/>
    <col min="11022" max="11022" width="10.85546875" customWidth="1"/>
    <col min="11023" max="11023" width="7.85546875" customWidth="1"/>
    <col min="11024" max="11024" width="11.28515625" customWidth="1"/>
    <col min="11025" max="11265" width="8.85546875"/>
    <col min="11266" max="11266" width="11.5703125" customWidth="1"/>
    <col min="11267" max="11267" width="17" customWidth="1"/>
    <col min="11268" max="11268" width="8.85546875"/>
    <col min="11269" max="11269" width="2.85546875" customWidth="1"/>
    <col min="11270" max="11270" width="14.140625" customWidth="1"/>
    <col min="11271" max="11271" width="15.42578125" customWidth="1"/>
    <col min="11272" max="11272" width="13.5703125" customWidth="1"/>
    <col min="11273" max="11273" width="13.85546875" customWidth="1"/>
    <col min="11274" max="11274" width="13.140625" customWidth="1"/>
    <col min="11275" max="11275" width="14.85546875" bestFit="1" customWidth="1"/>
    <col min="11276" max="11276" width="2.7109375" customWidth="1"/>
    <col min="11277" max="11277" width="8.85546875"/>
    <col min="11278" max="11278" width="10.85546875" customWidth="1"/>
    <col min="11279" max="11279" width="7.85546875" customWidth="1"/>
    <col min="11280" max="11280" width="11.28515625" customWidth="1"/>
    <col min="11281" max="11521" width="8.85546875"/>
    <col min="11522" max="11522" width="11.5703125" customWidth="1"/>
    <col min="11523" max="11523" width="17" customWidth="1"/>
    <col min="11524" max="11524" width="8.85546875"/>
    <col min="11525" max="11525" width="2.85546875" customWidth="1"/>
    <col min="11526" max="11526" width="14.140625" customWidth="1"/>
    <col min="11527" max="11527" width="15.42578125" customWidth="1"/>
    <col min="11528" max="11528" width="13.5703125" customWidth="1"/>
    <col min="11529" max="11529" width="13.85546875" customWidth="1"/>
    <col min="11530" max="11530" width="13.140625" customWidth="1"/>
    <col min="11531" max="11531" width="14.85546875" bestFit="1" customWidth="1"/>
    <col min="11532" max="11532" width="2.7109375" customWidth="1"/>
    <col min="11533" max="11533" width="8.85546875"/>
    <col min="11534" max="11534" width="10.85546875" customWidth="1"/>
    <col min="11535" max="11535" width="7.85546875" customWidth="1"/>
    <col min="11536" max="11536" width="11.28515625" customWidth="1"/>
    <col min="11537" max="11777" width="8.85546875"/>
    <col min="11778" max="11778" width="11.5703125" customWidth="1"/>
    <col min="11779" max="11779" width="17" customWidth="1"/>
    <col min="11780" max="11780" width="8.85546875"/>
    <col min="11781" max="11781" width="2.85546875" customWidth="1"/>
    <col min="11782" max="11782" width="14.140625" customWidth="1"/>
    <col min="11783" max="11783" width="15.42578125" customWidth="1"/>
    <col min="11784" max="11784" width="13.5703125" customWidth="1"/>
    <col min="11785" max="11785" width="13.85546875" customWidth="1"/>
    <col min="11786" max="11786" width="13.140625" customWidth="1"/>
    <col min="11787" max="11787" width="14.85546875" bestFit="1" customWidth="1"/>
    <col min="11788" max="11788" width="2.7109375" customWidth="1"/>
    <col min="11789" max="11789" width="8.85546875"/>
    <col min="11790" max="11790" width="10.85546875" customWidth="1"/>
    <col min="11791" max="11791" width="7.85546875" customWidth="1"/>
    <col min="11792" max="11792" width="11.28515625" customWidth="1"/>
    <col min="11793" max="12033" width="8.85546875"/>
    <col min="12034" max="12034" width="11.5703125" customWidth="1"/>
    <col min="12035" max="12035" width="17" customWidth="1"/>
    <col min="12036" max="12036" width="8.85546875"/>
    <col min="12037" max="12037" width="2.85546875" customWidth="1"/>
    <col min="12038" max="12038" width="14.140625" customWidth="1"/>
    <col min="12039" max="12039" width="15.42578125" customWidth="1"/>
    <col min="12040" max="12040" width="13.5703125" customWidth="1"/>
    <col min="12041" max="12041" width="13.85546875" customWidth="1"/>
    <col min="12042" max="12042" width="13.140625" customWidth="1"/>
    <col min="12043" max="12043" width="14.85546875" bestFit="1" customWidth="1"/>
    <col min="12044" max="12044" width="2.7109375" customWidth="1"/>
    <col min="12045" max="12045" width="8.85546875"/>
    <col min="12046" max="12046" width="10.85546875" customWidth="1"/>
    <col min="12047" max="12047" width="7.85546875" customWidth="1"/>
    <col min="12048" max="12048" width="11.28515625" customWidth="1"/>
    <col min="12049" max="12289" width="8.85546875"/>
    <col min="12290" max="12290" width="11.5703125" customWidth="1"/>
    <col min="12291" max="12291" width="17" customWidth="1"/>
    <col min="12292" max="12292" width="8.85546875"/>
    <col min="12293" max="12293" width="2.85546875" customWidth="1"/>
    <col min="12294" max="12294" width="14.140625" customWidth="1"/>
    <col min="12295" max="12295" width="15.42578125" customWidth="1"/>
    <col min="12296" max="12296" width="13.5703125" customWidth="1"/>
    <col min="12297" max="12297" width="13.85546875" customWidth="1"/>
    <col min="12298" max="12298" width="13.140625" customWidth="1"/>
    <col min="12299" max="12299" width="14.85546875" bestFit="1" customWidth="1"/>
    <col min="12300" max="12300" width="2.7109375" customWidth="1"/>
    <col min="12301" max="12301" width="8.85546875"/>
    <col min="12302" max="12302" width="10.85546875" customWidth="1"/>
    <col min="12303" max="12303" width="7.85546875" customWidth="1"/>
    <col min="12304" max="12304" width="11.28515625" customWidth="1"/>
    <col min="12305" max="12545" width="8.85546875"/>
    <col min="12546" max="12546" width="11.5703125" customWidth="1"/>
    <col min="12547" max="12547" width="17" customWidth="1"/>
    <col min="12548" max="12548" width="8.85546875"/>
    <col min="12549" max="12549" width="2.85546875" customWidth="1"/>
    <col min="12550" max="12550" width="14.140625" customWidth="1"/>
    <col min="12551" max="12551" width="15.42578125" customWidth="1"/>
    <col min="12552" max="12552" width="13.5703125" customWidth="1"/>
    <col min="12553" max="12553" width="13.85546875" customWidth="1"/>
    <col min="12554" max="12554" width="13.140625" customWidth="1"/>
    <col min="12555" max="12555" width="14.85546875" bestFit="1" customWidth="1"/>
    <col min="12556" max="12556" width="2.7109375" customWidth="1"/>
    <col min="12557" max="12557" width="8.85546875"/>
    <col min="12558" max="12558" width="10.85546875" customWidth="1"/>
    <col min="12559" max="12559" width="7.85546875" customWidth="1"/>
    <col min="12560" max="12560" width="11.28515625" customWidth="1"/>
    <col min="12561" max="12801" width="8.85546875"/>
    <col min="12802" max="12802" width="11.5703125" customWidth="1"/>
    <col min="12803" max="12803" width="17" customWidth="1"/>
    <col min="12804" max="12804" width="8.85546875"/>
    <col min="12805" max="12805" width="2.85546875" customWidth="1"/>
    <col min="12806" max="12806" width="14.140625" customWidth="1"/>
    <col min="12807" max="12807" width="15.42578125" customWidth="1"/>
    <col min="12808" max="12808" width="13.5703125" customWidth="1"/>
    <col min="12809" max="12809" width="13.85546875" customWidth="1"/>
    <col min="12810" max="12810" width="13.140625" customWidth="1"/>
    <col min="12811" max="12811" width="14.85546875" bestFit="1" customWidth="1"/>
    <col min="12812" max="12812" width="2.7109375" customWidth="1"/>
    <col min="12813" max="12813" width="8.85546875"/>
    <col min="12814" max="12814" width="10.85546875" customWidth="1"/>
    <col min="12815" max="12815" width="7.85546875" customWidth="1"/>
    <col min="12816" max="12816" width="11.28515625" customWidth="1"/>
    <col min="12817" max="13057" width="8.85546875"/>
    <col min="13058" max="13058" width="11.5703125" customWidth="1"/>
    <col min="13059" max="13059" width="17" customWidth="1"/>
    <col min="13060" max="13060" width="8.85546875"/>
    <col min="13061" max="13061" width="2.85546875" customWidth="1"/>
    <col min="13062" max="13062" width="14.140625" customWidth="1"/>
    <col min="13063" max="13063" width="15.42578125" customWidth="1"/>
    <col min="13064" max="13064" width="13.5703125" customWidth="1"/>
    <col min="13065" max="13065" width="13.85546875" customWidth="1"/>
    <col min="13066" max="13066" width="13.140625" customWidth="1"/>
    <col min="13067" max="13067" width="14.85546875" bestFit="1" customWidth="1"/>
    <col min="13068" max="13068" width="2.7109375" customWidth="1"/>
    <col min="13069" max="13069" width="8.85546875"/>
    <col min="13070" max="13070" width="10.85546875" customWidth="1"/>
    <col min="13071" max="13071" width="7.85546875" customWidth="1"/>
    <col min="13072" max="13072" width="11.28515625" customWidth="1"/>
    <col min="13073" max="13313" width="8.85546875"/>
    <col min="13314" max="13314" width="11.5703125" customWidth="1"/>
    <col min="13315" max="13315" width="17" customWidth="1"/>
    <col min="13316" max="13316" width="8.85546875"/>
    <col min="13317" max="13317" width="2.85546875" customWidth="1"/>
    <col min="13318" max="13318" width="14.140625" customWidth="1"/>
    <col min="13319" max="13319" width="15.42578125" customWidth="1"/>
    <col min="13320" max="13320" width="13.5703125" customWidth="1"/>
    <col min="13321" max="13321" width="13.85546875" customWidth="1"/>
    <col min="13322" max="13322" width="13.140625" customWidth="1"/>
    <col min="13323" max="13323" width="14.85546875" bestFit="1" customWidth="1"/>
    <col min="13324" max="13324" width="2.7109375" customWidth="1"/>
    <col min="13325" max="13325" width="8.85546875"/>
    <col min="13326" max="13326" width="10.85546875" customWidth="1"/>
    <col min="13327" max="13327" width="7.85546875" customWidth="1"/>
    <col min="13328" max="13328" width="11.28515625" customWidth="1"/>
    <col min="13329" max="13569" width="8.85546875"/>
    <col min="13570" max="13570" width="11.5703125" customWidth="1"/>
    <col min="13571" max="13571" width="17" customWidth="1"/>
    <col min="13572" max="13572" width="8.85546875"/>
    <col min="13573" max="13573" width="2.85546875" customWidth="1"/>
    <col min="13574" max="13574" width="14.140625" customWidth="1"/>
    <col min="13575" max="13575" width="15.42578125" customWidth="1"/>
    <col min="13576" max="13576" width="13.5703125" customWidth="1"/>
    <col min="13577" max="13577" width="13.85546875" customWidth="1"/>
    <col min="13578" max="13578" width="13.140625" customWidth="1"/>
    <col min="13579" max="13579" width="14.85546875" bestFit="1" customWidth="1"/>
    <col min="13580" max="13580" width="2.7109375" customWidth="1"/>
    <col min="13581" max="13581" width="8.85546875"/>
    <col min="13582" max="13582" width="10.85546875" customWidth="1"/>
    <col min="13583" max="13583" width="7.85546875" customWidth="1"/>
    <col min="13584" max="13584" width="11.28515625" customWidth="1"/>
    <col min="13585" max="13825" width="8.85546875"/>
    <col min="13826" max="13826" width="11.5703125" customWidth="1"/>
    <col min="13827" max="13827" width="17" customWidth="1"/>
    <col min="13828" max="13828" width="8.85546875"/>
    <col min="13829" max="13829" width="2.85546875" customWidth="1"/>
    <col min="13830" max="13830" width="14.140625" customWidth="1"/>
    <col min="13831" max="13831" width="15.42578125" customWidth="1"/>
    <col min="13832" max="13832" width="13.5703125" customWidth="1"/>
    <col min="13833" max="13833" width="13.85546875" customWidth="1"/>
    <col min="13834" max="13834" width="13.140625" customWidth="1"/>
    <col min="13835" max="13835" width="14.85546875" bestFit="1" customWidth="1"/>
    <col min="13836" max="13836" width="2.7109375" customWidth="1"/>
    <col min="13837" max="13837" width="8.85546875"/>
    <col min="13838" max="13838" width="10.85546875" customWidth="1"/>
    <col min="13839" max="13839" width="7.85546875" customWidth="1"/>
    <col min="13840" max="13840" width="11.28515625" customWidth="1"/>
    <col min="13841" max="14081" width="8.85546875"/>
    <col min="14082" max="14082" width="11.5703125" customWidth="1"/>
    <col min="14083" max="14083" width="17" customWidth="1"/>
    <col min="14084" max="14084" width="8.85546875"/>
    <col min="14085" max="14085" width="2.85546875" customWidth="1"/>
    <col min="14086" max="14086" width="14.140625" customWidth="1"/>
    <col min="14087" max="14087" width="15.42578125" customWidth="1"/>
    <col min="14088" max="14088" width="13.5703125" customWidth="1"/>
    <col min="14089" max="14089" width="13.85546875" customWidth="1"/>
    <col min="14090" max="14090" width="13.140625" customWidth="1"/>
    <col min="14091" max="14091" width="14.85546875" bestFit="1" customWidth="1"/>
    <col min="14092" max="14092" width="2.7109375" customWidth="1"/>
    <col min="14093" max="14093" width="8.85546875"/>
    <col min="14094" max="14094" width="10.85546875" customWidth="1"/>
    <col min="14095" max="14095" width="7.85546875" customWidth="1"/>
    <col min="14096" max="14096" width="11.28515625" customWidth="1"/>
    <col min="14097" max="14337" width="8.85546875"/>
    <col min="14338" max="14338" width="11.5703125" customWidth="1"/>
    <col min="14339" max="14339" width="17" customWidth="1"/>
    <col min="14340" max="14340" width="8.85546875"/>
    <col min="14341" max="14341" width="2.85546875" customWidth="1"/>
    <col min="14342" max="14342" width="14.140625" customWidth="1"/>
    <col min="14343" max="14343" width="15.42578125" customWidth="1"/>
    <col min="14344" max="14344" width="13.5703125" customWidth="1"/>
    <col min="14345" max="14345" width="13.85546875" customWidth="1"/>
    <col min="14346" max="14346" width="13.140625" customWidth="1"/>
    <col min="14347" max="14347" width="14.85546875" bestFit="1" customWidth="1"/>
    <col min="14348" max="14348" width="2.7109375" customWidth="1"/>
    <col min="14349" max="14349" width="8.85546875"/>
    <col min="14350" max="14350" width="10.85546875" customWidth="1"/>
    <col min="14351" max="14351" width="7.85546875" customWidth="1"/>
    <col min="14352" max="14352" width="11.28515625" customWidth="1"/>
    <col min="14353" max="14593" width="8.85546875"/>
    <col min="14594" max="14594" width="11.5703125" customWidth="1"/>
    <col min="14595" max="14595" width="17" customWidth="1"/>
    <col min="14596" max="14596" width="8.85546875"/>
    <col min="14597" max="14597" width="2.85546875" customWidth="1"/>
    <col min="14598" max="14598" width="14.140625" customWidth="1"/>
    <col min="14599" max="14599" width="15.42578125" customWidth="1"/>
    <col min="14600" max="14600" width="13.5703125" customWidth="1"/>
    <col min="14601" max="14601" width="13.85546875" customWidth="1"/>
    <col min="14602" max="14602" width="13.140625" customWidth="1"/>
    <col min="14603" max="14603" width="14.85546875" bestFit="1" customWidth="1"/>
    <col min="14604" max="14604" width="2.7109375" customWidth="1"/>
    <col min="14605" max="14605" width="8.85546875"/>
    <col min="14606" max="14606" width="10.85546875" customWidth="1"/>
    <col min="14607" max="14607" width="7.85546875" customWidth="1"/>
    <col min="14608" max="14608" width="11.28515625" customWidth="1"/>
    <col min="14609" max="14849" width="8.85546875"/>
    <col min="14850" max="14850" width="11.5703125" customWidth="1"/>
    <col min="14851" max="14851" width="17" customWidth="1"/>
    <col min="14852" max="14852" width="8.85546875"/>
    <col min="14853" max="14853" width="2.85546875" customWidth="1"/>
    <col min="14854" max="14854" width="14.140625" customWidth="1"/>
    <col min="14855" max="14855" width="15.42578125" customWidth="1"/>
    <col min="14856" max="14856" width="13.5703125" customWidth="1"/>
    <col min="14857" max="14857" width="13.85546875" customWidth="1"/>
    <col min="14858" max="14858" width="13.140625" customWidth="1"/>
    <col min="14859" max="14859" width="14.85546875" bestFit="1" customWidth="1"/>
    <col min="14860" max="14860" width="2.7109375" customWidth="1"/>
    <col min="14861" max="14861" width="8.85546875"/>
    <col min="14862" max="14862" width="10.85546875" customWidth="1"/>
    <col min="14863" max="14863" width="7.85546875" customWidth="1"/>
    <col min="14864" max="14864" width="11.28515625" customWidth="1"/>
    <col min="14865" max="15105" width="8.85546875"/>
    <col min="15106" max="15106" width="11.5703125" customWidth="1"/>
    <col min="15107" max="15107" width="17" customWidth="1"/>
    <col min="15108" max="15108" width="8.85546875"/>
    <col min="15109" max="15109" width="2.85546875" customWidth="1"/>
    <col min="15110" max="15110" width="14.140625" customWidth="1"/>
    <col min="15111" max="15111" width="15.42578125" customWidth="1"/>
    <col min="15112" max="15112" width="13.5703125" customWidth="1"/>
    <col min="15113" max="15113" width="13.85546875" customWidth="1"/>
    <col min="15114" max="15114" width="13.140625" customWidth="1"/>
    <col min="15115" max="15115" width="14.85546875" bestFit="1" customWidth="1"/>
    <col min="15116" max="15116" width="2.7109375" customWidth="1"/>
    <col min="15117" max="15117" width="8.85546875"/>
    <col min="15118" max="15118" width="10.85546875" customWidth="1"/>
    <col min="15119" max="15119" width="7.85546875" customWidth="1"/>
    <col min="15120" max="15120" width="11.28515625" customWidth="1"/>
    <col min="15121" max="15361" width="8.85546875"/>
    <col min="15362" max="15362" width="11.5703125" customWidth="1"/>
    <col min="15363" max="15363" width="17" customWidth="1"/>
    <col min="15364" max="15364" width="8.85546875"/>
    <col min="15365" max="15365" width="2.85546875" customWidth="1"/>
    <col min="15366" max="15366" width="14.140625" customWidth="1"/>
    <col min="15367" max="15367" width="15.42578125" customWidth="1"/>
    <col min="15368" max="15368" width="13.5703125" customWidth="1"/>
    <col min="15369" max="15369" width="13.85546875" customWidth="1"/>
    <col min="15370" max="15370" width="13.140625" customWidth="1"/>
    <col min="15371" max="15371" width="14.85546875" bestFit="1" customWidth="1"/>
    <col min="15372" max="15372" width="2.7109375" customWidth="1"/>
    <col min="15373" max="15373" width="8.85546875"/>
    <col min="15374" max="15374" width="10.85546875" customWidth="1"/>
    <col min="15375" max="15375" width="7.85546875" customWidth="1"/>
    <col min="15376" max="15376" width="11.28515625" customWidth="1"/>
    <col min="15377" max="15617" width="8.85546875"/>
    <col min="15618" max="15618" width="11.5703125" customWidth="1"/>
    <col min="15619" max="15619" width="17" customWidth="1"/>
    <col min="15620" max="15620" width="8.85546875"/>
    <col min="15621" max="15621" width="2.85546875" customWidth="1"/>
    <col min="15622" max="15622" width="14.140625" customWidth="1"/>
    <col min="15623" max="15623" width="15.42578125" customWidth="1"/>
    <col min="15624" max="15624" width="13.5703125" customWidth="1"/>
    <col min="15625" max="15625" width="13.85546875" customWidth="1"/>
    <col min="15626" max="15626" width="13.140625" customWidth="1"/>
    <col min="15627" max="15627" width="14.85546875" bestFit="1" customWidth="1"/>
    <col min="15628" max="15628" width="2.7109375" customWidth="1"/>
    <col min="15629" max="15629" width="8.85546875"/>
    <col min="15630" max="15630" width="10.85546875" customWidth="1"/>
    <col min="15631" max="15631" width="7.85546875" customWidth="1"/>
    <col min="15632" max="15632" width="11.28515625" customWidth="1"/>
    <col min="15633" max="15873" width="8.85546875"/>
    <col min="15874" max="15874" width="11.5703125" customWidth="1"/>
    <col min="15875" max="15875" width="17" customWidth="1"/>
    <col min="15876" max="15876" width="8.85546875"/>
    <col min="15877" max="15877" width="2.85546875" customWidth="1"/>
    <col min="15878" max="15878" width="14.140625" customWidth="1"/>
    <col min="15879" max="15879" width="15.42578125" customWidth="1"/>
    <col min="15880" max="15880" width="13.5703125" customWidth="1"/>
    <col min="15881" max="15881" width="13.85546875" customWidth="1"/>
    <col min="15882" max="15882" width="13.140625" customWidth="1"/>
    <col min="15883" max="15883" width="14.85546875" bestFit="1" customWidth="1"/>
    <col min="15884" max="15884" width="2.7109375" customWidth="1"/>
    <col min="15885" max="15885" width="8.85546875"/>
    <col min="15886" max="15886" width="10.85546875" customWidth="1"/>
    <col min="15887" max="15887" width="7.85546875" customWidth="1"/>
    <col min="15888" max="15888" width="11.28515625" customWidth="1"/>
    <col min="15889" max="16129" width="8.85546875"/>
    <col min="16130" max="16130" width="11.5703125" customWidth="1"/>
    <col min="16131" max="16131" width="17" customWidth="1"/>
    <col min="16132" max="16132" width="8.85546875"/>
    <col min="16133" max="16133" width="2.85546875" customWidth="1"/>
    <col min="16134" max="16134" width="14.140625" customWidth="1"/>
    <col min="16135" max="16135" width="15.42578125" customWidth="1"/>
    <col min="16136" max="16136" width="13.5703125" customWidth="1"/>
    <col min="16137" max="16137" width="13.85546875" customWidth="1"/>
    <col min="16138" max="16138" width="13.140625" customWidth="1"/>
    <col min="16139" max="16139" width="14.85546875" bestFit="1" customWidth="1"/>
    <col min="16140" max="16140" width="2.7109375" customWidth="1"/>
    <col min="16141" max="16141" width="8.85546875"/>
    <col min="16142" max="16142" width="10.85546875" customWidth="1"/>
    <col min="16143" max="16143" width="7.85546875" customWidth="1"/>
    <col min="16144" max="16144" width="11.28515625" customWidth="1"/>
    <col min="16145" max="16384" width="8.85546875"/>
  </cols>
  <sheetData>
    <row r="1" spans="2:11" ht="23.25" x14ac:dyDescent="0.35">
      <c r="B1" s="65" t="s">
        <v>24</v>
      </c>
      <c r="C1" s="67"/>
      <c r="D1" s="69"/>
    </row>
    <row r="2" spans="2:11" ht="18.75" x14ac:dyDescent="0.3">
      <c r="C2" s="67"/>
      <c r="D2" s="69"/>
    </row>
    <row r="3" spans="2:11" x14ac:dyDescent="0.25">
      <c r="B3" s="447" t="s">
        <v>266</v>
      </c>
      <c r="C3" s="457"/>
      <c r="D3" s="457"/>
      <c r="E3" s="457"/>
      <c r="F3" s="457"/>
      <c r="G3" s="457"/>
      <c r="H3" s="457"/>
      <c r="I3" s="457"/>
      <c r="J3" s="457"/>
      <c r="K3" s="457"/>
    </row>
    <row r="4" spans="2:11" x14ac:dyDescent="0.25">
      <c r="B4" s="457"/>
      <c r="C4" s="457"/>
      <c r="D4" s="457"/>
      <c r="E4" s="457"/>
      <c r="F4" s="457"/>
      <c r="G4" s="457"/>
      <c r="H4" s="457"/>
      <c r="I4" s="457"/>
      <c r="J4" s="457"/>
      <c r="K4" s="457"/>
    </row>
    <row r="5" spans="2:11" x14ac:dyDescent="0.25">
      <c r="B5" s="457"/>
      <c r="C5" s="457"/>
      <c r="D5" s="457"/>
      <c r="E5" s="457"/>
      <c r="F5" s="457"/>
      <c r="G5" s="457"/>
      <c r="H5" s="457"/>
      <c r="I5" s="457"/>
      <c r="J5" s="457"/>
      <c r="K5" s="457"/>
    </row>
    <row r="6" spans="2:11" x14ac:dyDescent="0.25">
      <c r="B6" s="59"/>
      <c r="C6" s="59"/>
      <c r="D6" s="59"/>
      <c r="E6" s="59"/>
      <c r="F6" s="59"/>
      <c r="G6" s="59"/>
      <c r="H6" s="59"/>
      <c r="I6" s="59"/>
    </row>
    <row r="7" spans="2:11" hidden="1" x14ac:dyDescent="0.25">
      <c r="B7" s="59"/>
      <c r="C7" s="59"/>
      <c r="D7" s="59"/>
      <c r="E7" s="59"/>
      <c r="F7" s="59"/>
      <c r="G7" s="59"/>
      <c r="H7" s="59"/>
      <c r="I7" s="59"/>
    </row>
    <row r="8" spans="2:11" hidden="1" x14ac:dyDescent="0.25">
      <c r="B8" s="59"/>
      <c r="C8" s="59"/>
      <c r="D8" s="59"/>
      <c r="E8" s="59"/>
      <c r="F8" s="59"/>
      <c r="G8" s="59"/>
      <c r="H8" s="59"/>
      <c r="I8" s="59"/>
    </row>
    <row r="9" spans="2:11" hidden="1" x14ac:dyDescent="0.25"/>
    <row r="10" spans="2:11" hidden="1" x14ac:dyDescent="0.25"/>
    <row r="11" spans="2:11" ht="18.75" hidden="1" x14ac:dyDescent="0.3">
      <c r="B11" s="6"/>
    </row>
    <row r="12" spans="2:11" ht="15" hidden="1" customHeight="1" x14ac:dyDescent="0.25"/>
    <row r="13" spans="2:11" ht="15" customHeight="1" x14ac:dyDescent="0.25">
      <c r="B13" s="11" t="s">
        <v>267</v>
      </c>
    </row>
    <row r="14" spans="2:11" ht="15" customHeight="1" x14ac:dyDescent="0.25"/>
    <row r="15" spans="2:11" ht="15" customHeight="1" x14ac:dyDescent="0.25">
      <c r="B15" s="12" t="s">
        <v>268</v>
      </c>
      <c r="C15" s="13" t="s">
        <v>269</v>
      </c>
      <c r="D15" s="13"/>
      <c r="E15" s="13"/>
      <c r="F15" s="14" t="s">
        <v>270</v>
      </c>
      <c r="G15" s="14" t="s">
        <v>271</v>
      </c>
      <c r="H15" s="14" t="s">
        <v>272</v>
      </c>
      <c r="I15" s="14" t="s">
        <v>273</v>
      </c>
      <c r="J15" s="15" t="s">
        <v>274</v>
      </c>
      <c r="K15" s="16" t="s">
        <v>275</v>
      </c>
    </row>
    <row r="16" spans="2:11" ht="15" customHeight="1" x14ac:dyDescent="0.25">
      <c r="B16" s="17"/>
      <c r="C16" s="18"/>
      <c r="D16" s="18"/>
      <c r="E16" s="18"/>
      <c r="F16" s="19" t="s">
        <v>276</v>
      </c>
      <c r="G16" s="19" t="s">
        <v>533</v>
      </c>
      <c r="H16" s="19" t="s">
        <v>276</v>
      </c>
      <c r="I16" s="19" t="s">
        <v>277</v>
      </c>
      <c r="J16" s="20" t="s">
        <v>278</v>
      </c>
      <c r="K16" s="21" t="s">
        <v>276</v>
      </c>
    </row>
    <row r="17" spans="2:11" ht="15" customHeight="1" x14ac:dyDescent="0.25">
      <c r="B17" s="10"/>
      <c r="F17" s="22"/>
      <c r="G17" s="22"/>
      <c r="H17" s="22"/>
      <c r="I17" s="22"/>
      <c r="J17" s="23"/>
      <c r="K17" s="23"/>
    </row>
    <row r="18" spans="2:11" ht="15" customHeight="1" x14ac:dyDescent="0.25">
      <c r="B18" s="10" t="s">
        <v>57</v>
      </c>
      <c r="C18" t="s">
        <v>58</v>
      </c>
      <c r="F18" s="195">
        <v>0</v>
      </c>
      <c r="G18" s="195">
        <f>'Balans &amp; Res.rek'!I6</f>
        <v>9500</v>
      </c>
      <c r="H18" s="195">
        <f>+G18</f>
        <v>9500</v>
      </c>
      <c r="I18" s="195"/>
      <c r="J18" s="201"/>
      <c r="K18" s="201">
        <f>+H18+J18</f>
        <v>9500</v>
      </c>
    </row>
    <row r="19" spans="2:11" ht="15" customHeight="1" x14ac:dyDescent="0.25">
      <c r="B19" s="10"/>
      <c r="F19" s="195"/>
      <c r="G19" s="195"/>
      <c r="H19" s="277"/>
      <c r="I19" s="195"/>
      <c r="J19" s="201"/>
      <c r="K19" s="201"/>
    </row>
    <row r="20" spans="2:11" ht="15" customHeight="1" x14ac:dyDescent="0.25">
      <c r="B20" s="10" t="s">
        <v>279</v>
      </c>
      <c r="C20" t="s">
        <v>63</v>
      </c>
      <c r="F20" s="195">
        <v>0</v>
      </c>
      <c r="G20" s="195">
        <f>'Balans &amp; Res.rek'!I9</f>
        <v>1335175.92</v>
      </c>
      <c r="H20" s="282">
        <v>1389959.45</v>
      </c>
      <c r="I20" s="195">
        <f>+H20-G20</f>
        <v>54783.530000000028</v>
      </c>
      <c r="J20" s="278">
        <f>+I20*0.125*-1</f>
        <v>-6847.9412500000035</v>
      </c>
      <c r="K20" s="201">
        <f t="shared" ref="K20:K28" si="0">+H20+J20</f>
        <v>1383111.50875</v>
      </c>
    </row>
    <row r="21" spans="2:11" ht="15" customHeight="1" x14ac:dyDescent="0.25">
      <c r="B21" s="10"/>
      <c r="F21" s="195"/>
      <c r="G21" s="195"/>
      <c r="H21" s="277"/>
      <c r="I21" s="195"/>
      <c r="J21" s="201"/>
      <c r="K21" s="201">
        <f t="shared" si="0"/>
        <v>0</v>
      </c>
    </row>
    <row r="22" spans="2:11" ht="15" customHeight="1" x14ac:dyDescent="0.25">
      <c r="B22" s="10" t="s">
        <v>280</v>
      </c>
      <c r="C22" s="24" t="s">
        <v>65</v>
      </c>
      <c r="F22" s="195">
        <v>0</v>
      </c>
      <c r="G22" s="195">
        <f>'Balans &amp; Res.rek'!I10</f>
        <v>52054.18</v>
      </c>
      <c r="H22" s="277">
        <f>G22</f>
        <v>52054.18</v>
      </c>
      <c r="I22" s="195">
        <f>+H22-G22</f>
        <v>0</v>
      </c>
      <c r="J22" s="278">
        <f>+I22*0.1*-1</f>
        <v>0</v>
      </c>
      <c r="K22" s="201">
        <f t="shared" si="0"/>
        <v>52054.18</v>
      </c>
    </row>
    <row r="23" spans="2:11" ht="15" customHeight="1" x14ac:dyDescent="0.25">
      <c r="B23" s="10"/>
      <c r="C23" s="24"/>
      <c r="F23" s="195"/>
      <c r="G23" s="195"/>
      <c r="H23" s="277"/>
      <c r="I23" s="195"/>
      <c r="J23" s="278"/>
      <c r="K23" s="201">
        <f t="shared" si="0"/>
        <v>0</v>
      </c>
    </row>
    <row r="24" spans="2:11" ht="15" customHeight="1" x14ac:dyDescent="0.25">
      <c r="B24" s="10" t="s">
        <v>281</v>
      </c>
      <c r="C24" s="24" t="s">
        <v>67</v>
      </c>
      <c r="F24" s="195">
        <v>0</v>
      </c>
      <c r="G24" s="195">
        <f>'Balans &amp; Res.rek'!I11</f>
        <v>7760.09</v>
      </c>
      <c r="H24" s="277">
        <f>+G24</f>
        <v>7760.09</v>
      </c>
      <c r="I24" s="195">
        <f>+H24-G24</f>
        <v>0</v>
      </c>
      <c r="J24" s="278">
        <f>+I24*0.17*-1</f>
        <v>0</v>
      </c>
      <c r="K24" s="201">
        <f t="shared" si="0"/>
        <v>7760.09</v>
      </c>
    </row>
    <row r="25" spans="2:11" ht="15" customHeight="1" x14ac:dyDescent="0.25">
      <c r="B25" s="10"/>
      <c r="C25" s="24"/>
      <c r="F25" s="195"/>
      <c r="G25" s="195"/>
      <c r="H25" s="277"/>
      <c r="I25" s="195"/>
      <c r="J25" s="278"/>
      <c r="K25" s="201"/>
    </row>
    <row r="26" spans="2:11" ht="15" customHeight="1" x14ac:dyDescent="0.25">
      <c r="B26" s="10" t="s">
        <v>282</v>
      </c>
      <c r="C26" s="24" t="s">
        <v>69</v>
      </c>
      <c r="F26" s="195">
        <v>0</v>
      </c>
      <c r="G26" s="195">
        <v>0</v>
      </c>
      <c r="H26" s="277">
        <f>G26</f>
        <v>0</v>
      </c>
      <c r="I26" s="195"/>
      <c r="J26" s="278"/>
      <c r="K26" s="201">
        <f t="shared" si="0"/>
        <v>0</v>
      </c>
    </row>
    <row r="27" spans="2:11" ht="15" customHeight="1" x14ac:dyDescent="0.25">
      <c r="B27" s="10"/>
      <c r="C27" s="24"/>
      <c r="F27" s="195"/>
      <c r="G27" s="195"/>
      <c r="H27" s="277"/>
      <c r="I27" s="195"/>
      <c r="J27" s="278"/>
      <c r="K27" s="201"/>
    </row>
    <row r="28" spans="2:11" ht="15" customHeight="1" x14ac:dyDescent="0.25">
      <c r="B28" s="10" t="s">
        <v>283</v>
      </c>
      <c r="C28" s="24" t="s">
        <v>284</v>
      </c>
      <c r="F28" s="282">
        <v>0</v>
      </c>
      <c r="G28" s="282">
        <v>0</v>
      </c>
      <c r="H28" s="282">
        <f>G28</f>
        <v>0</v>
      </c>
      <c r="I28" s="282">
        <f>+H28-G28</f>
        <v>0</v>
      </c>
      <c r="J28" s="414">
        <f>+I28*0.1*-1</f>
        <v>0</v>
      </c>
      <c r="K28" s="415">
        <f t="shared" si="0"/>
        <v>0</v>
      </c>
    </row>
    <row r="29" spans="2:11" ht="15" customHeight="1" x14ac:dyDescent="0.25">
      <c r="B29" s="10"/>
      <c r="C29" s="24"/>
      <c r="F29" s="282"/>
      <c r="G29" s="282"/>
      <c r="H29" s="282"/>
      <c r="I29" s="282"/>
      <c r="J29" s="414"/>
      <c r="K29" s="415"/>
    </row>
    <row r="30" spans="2:11" s="4" customFormat="1" ht="15" customHeight="1" x14ac:dyDescent="0.25">
      <c r="B30" s="10" t="s">
        <v>285</v>
      </c>
      <c r="C30" s="24" t="s">
        <v>71</v>
      </c>
      <c r="D30"/>
      <c r="E30"/>
      <c r="F30" s="282">
        <v>0</v>
      </c>
      <c r="G30" s="282">
        <v>0</v>
      </c>
      <c r="H30" s="282">
        <v>0</v>
      </c>
      <c r="I30" s="282">
        <f>+H30-G30</f>
        <v>0</v>
      </c>
      <c r="J30" s="414">
        <v>0</v>
      </c>
      <c r="K30" s="415">
        <f t="shared" ref="K30:K40" si="1">+H30+J30</f>
        <v>0</v>
      </c>
    </row>
    <row r="31" spans="2:11" ht="15" customHeight="1" x14ac:dyDescent="0.25">
      <c r="B31" s="10"/>
      <c r="C31" s="24"/>
      <c r="F31" s="195"/>
      <c r="G31" s="195"/>
      <c r="H31" s="277"/>
      <c r="I31" s="195"/>
      <c r="J31" s="278"/>
      <c r="K31" s="201"/>
    </row>
    <row r="32" spans="2:11" ht="15" customHeight="1" x14ac:dyDescent="0.25">
      <c r="B32" s="10" t="s">
        <v>286</v>
      </c>
      <c r="C32" s="24" t="s">
        <v>80</v>
      </c>
      <c r="F32" s="195">
        <f>+Prognose!I22</f>
        <v>0</v>
      </c>
      <c r="G32" s="195">
        <f>+Prognose!I22</f>
        <v>0</v>
      </c>
      <c r="H32" s="277">
        <f>+G32</f>
        <v>0</v>
      </c>
      <c r="I32" s="195"/>
      <c r="J32" s="278"/>
      <c r="K32" s="201">
        <f t="shared" si="1"/>
        <v>0</v>
      </c>
    </row>
    <row r="33" spans="2:11" ht="15" customHeight="1" x14ac:dyDescent="0.25">
      <c r="B33" s="10"/>
      <c r="C33" s="24"/>
      <c r="F33" s="195"/>
      <c r="G33" s="195"/>
      <c r="H33" s="277"/>
      <c r="I33" s="195"/>
      <c r="J33" s="278"/>
      <c r="K33" s="201"/>
    </row>
    <row r="34" spans="2:11" x14ac:dyDescent="0.25">
      <c r="B34" s="10" t="s">
        <v>287</v>
      </c>
      <c r="C34" s="24" t="s">
        <v>85</v>
      </c>
      <c r="F34" s="282">
        <v>0</v>
      </c>
      <c r="G34" s="282">
        <v>0</v>
      </c>
      <c r="H34" s="282">
        <v>0</v>
      </c>
      <c r="I34" s="196"/>
      <c r="J34" s="414"/>
      <c r="K34" s="415">
        <f t="shared" si="1"/>
        <v>0</v>
      </c>
    </row>
    <row r="35" spans="2:11" ht="15" customHeight="1" x14ac:dyDescent="0.25">
      <c r="B35" s="10"/>
      <c r="C35" s="24"/>
      <c r="F35" s="195"/>
      <c r="G35" s="195"/>
      <c r="H35" s="277"/>
      <c r="I35" s="195"/>
      <c r="J35" s="278"/>
      <c r="K35" s="201"/>
    </row>
    <row r="36" spans="2:11" x14ac:dyDescent="0.25">
      <c r="B36" s="10" t="s">
        <v>288</v>
      </c>
      <c r="C36" t="s">
        <v>81</v>
      </c>
      <c r="F36" s="195">
        <v>0</v>
      </c>
      <c r="G36" s="195">
        <f>'Balans &amp; Res.rek'!I30</f>
        <v>6104.19</v>
      </c>
      <c r="H36" s="195">
        <f>+G36</f>
        <v>6104.19</v>
      </c>
      <c r="I36" s="195"/>
      <c r="J36" s="201"/>
      <c r="K36" s="201">
        <f t="shared" si="1"/>
        <v>6104.19</v>
      </c>
    </row>
    <row r="37" spans="2:11" ht="15" customHeight="1" x14ac:dyDescent="0.25">
      <c r="B37" s="10"/>
      <c r="F37" s="195"/>
      <c r="G37" s="195"/>
      <c r="H37" s="195"/>
      <c r="I37" s="195"/>
      <c r="J37" s="201"/>
      <c r="K37" s="201"/>
    </row>
    <row r="38" spans="2:11" ht="15" customHeight="1" x14ac:dyDescent="0.25">
      <c r="B38" s="10" t="s">
        <v>289</v>
      </c>
      <c r="C38" t="s">
        <v>82</v>
      </c>
      <c r="F38" s="195">
        <v>0</v>
      </c>
      <c r="G38" s="195">
        <f>'Balans &amp; Res.rek'!I31</f>
        <v>41115.39</v>
      </c>
      <c r="H38" s="195">
        <f>+G38</f>
        <v>41115.39</v>
      </c>
      <c r="I38" s="195"/>
      <c r="J38" s="201"/>
      <c r="K38" s="201">
        <f t="shared" si="1"/>
        <v>41115.39</v>
      </c>
    </row>
    <row r="39" spans="2:11" ht="15" customHeight="1" x14ac:dyDescent="0.25">
      <c r="B39" s="10"/>
      <c r="F39" s="195"/>
      <c r="G39" s="195"/>
      <c r="H39" s="195"/>
      <c r="I39" s="195"/>
      <c r="J39" s="201"/>
      <c r="K39" s="201"/>
    </row>
    <row r="40" spans="2:11" ht="15" customHeight="1" x14ac:dyDescent="0.25">
      <c r="B40" s="10" t="s">
        <v>290</v>
      </c>
      <c r="C40" t="s">
        <v>291</v>
      </c>
      <c r="F40" s="195">
        <v>0</v>
      </c>
      <c r="G40" s="195">
        <f>'Balans &amp; Res.rek'!I35</f>
        <v>8844.27</v>
      </c>
      <c r="H40" s="195">
        <f>+G40</f>
        <v>8844.27</v>
      </c>
      <c r="I40" s="195"/>
      <c r="J40" s="201"/>
      <c r="K40" s="201">
        <f t="shared" si="1"/>
        <v>8844.27</v>
      </c>
    </row>
    <row r="41" spans="2:11" ht="15" customHeight="1" x14ac:dyDescent="0.25">
      <c r="B41" s="10"/>
      <c r="F41" s="195"/>
      <c r="G41" s="195"/>
      <c r="H41" s="195"/>
      <c r="I41" s="195"/>
      <c r="J41" s="201"/>
      <c r="K41" s="201"/>
    </row>
    <row r="42" spans="2:11" ht="15" customHeight="1" x14ac:dyDescent="0.25">
      <c r="B42" s="10" t="s">
        <v>97</v>
      </c>
      <c r="C42" t="s">
        <v>292</v>
      </c>
      <c r="F42" s="195">
        <v>0</v>
      </c>
      <c r="G42" s="195">
        <f>'Balans &amp; Res.rek'!I37</f>
        <v>7138.99</v>
      </c>
      <c r="H42" s="195">
        <f>+G42</f>
        <v>7138.99</v>
      </c>
      <c r="I42" s="195"/>
      <c r="J42" s="201"/>
      <c r="K42" s="201">
        <f>H42+J42</f>
        <v>7138.99</v>
      </c>
    </row>
    <row r="43" spans="2:11" ht="15" customHeight="1" x14ac:dyDescent="0.25">
      <c r="B43" s="10"/>
      <c r="F43" s="195"/>
      <c r="G43" s="195"/>
      <c r="H43" s="195"/>
      <c r="I43" s="195"/>
      <c r="J43" s="201"/>
      <c r="K43" s="201"/>
    </row>
    <row r="44" spans="2:11" s="27" customFormat="1" ht="15" customHeight="1" x14ac:dyDescent="0.2">
      <c r="B44" s="25" t="s">
        <v>293</v>
      </c>
      <c r="C44" s="26"/>
      <c r="D44" s="26"/>
      <c r="E44" s="26"/>
      <c r="F44" s="283">
        <f>SUM(F17:F43)</f>
        <v>0</v>
      </c>
      <c r="G44" s="283">
        <f>SUM(G17:G43)</f>
        <v>1467693.0299999998</v>
      </c>
      <c r="H44" s="283">
        <f>SUM(H17:H43)</f>
        <v>1522476.5599999998</v>
      </c>
      <c r="I44" s="283"/>
      <c r="J44" s="283"/>
      <c r="K44" s="283">
        <f>SUM(K17:K43)</f>
        <v>1515628.6187499999</v>
      </c>
    </row>
    <row r="45" spans="2:11" s="27" customFormat="1" ht="15" customHeight="1" x14ac:dyDescent="0.2">
      <c r="F45" s="284"/>
      <c r="G45" s="284"/>
      <c r="H45" s="284"/>
      <c r="I45" s="284"/>
      <c r="J45" s="284"/>
      <c r="K45" s="284"/>
    </row>
    <row r="46" spans="2:11" ht="15" customHeight="1" x14ac:dyDescent="0.25">
      <c r="B46" s="12" t="s">
        <v>268</v>
      </c>
      <c r="C46" s="13" t="s">
        <v>269</v>
      </c>
      <c r="D46" s="13"/>
      <c r="E46" s="13"/>
      <c r="F46" s="14" t="s">
        <v>270</v>
      </c>
      <c r="G46" s="14" t="s">
        <v>271</v>
      </c>
      <c r="H46" s="14" t="s">
        <v>272</v>
      </c>
      <c r="I46" s="14" t="s">
        <v>273</v>
      </c>
      <c r="J46" s="15" t="s">
        <v>274</v>
      </c>
      <c r="K46" s="15" t="s">
        <v>275</v>
      </c>
    </row>
    <row r="47" spans="2:11" ht="15" customHeight="1" x14ac:dyDescent="0.25">
      <c r="B47" s="17"/>
      <c r="C47" s="18"/>
      <c r="D47" s="18"/>
      <c r="E47" s="18"/>
      <c r="F47" s="19" t="s">
        <v>276</v>
      </c>
      <c r="G47" s="19" t="str">
        <f>+G16</f>
        <v>per 30/06/2025</v>
      </c>
      <c r="H47" s="19" t="s">
        <v>276</v>
      </c>
      <c r="I47" s="19" t="s">
        <v>277</v>
      </c>
      <c r="J47" s="20" t="s">
        <v>278</v>
      </c>
      <c r="K47" s="20" t="s">
        <v>276</v>
      </c>
    </row>
    <row r="48" spans="2:11" ht="15" customHeight="1" x14ac:dyDescent="0.25">
      <c r="B48" s="10"/>
      <c r="F48" s="29"/>
      <c r="G48" s="29"/>
      <c r="H48" s="29"/>
      <c r="I48" s="29"/>
      <c r="J48" s="30"/>
      <c r="K48" s="30"/>
    </row>
    <row r="49" spans="2:11" ht="15" customHeight="1" x14ac:dyDescent="0.25">
      <c r="B49" s="10" t="s">
        <v>294</v>
      </c>
      <c r="C49" t="s">
        <v>131</v>
      </c>
      <c r="F49" s="195">
        <v>0</v>
      </c>
      <c r="G49" s="195">
        <f>'Balans &amp; Res.rek'!I67</f>
        <v>950625</v>
      </c>
      <c r="H49" s="195">
        <f>+G49</f>
        <v>950625</v>
      </c>
      <c r="I49" s="195"/>
      <c r="J49" s="201"/>
      <c r="K49" s="201">
        <f>+G49</f>
        <v>950625</v>
      </c>
    </row>
    <row r="50" spans="2:11" ht="15" customHeight="1" x14ac:dyDescent="0.25">
      <c r="B50" s="10"/>
      <c r="F50" s="195"/>
      <c r="G50" s="195"/>
      <c r="H50" s="195"/>
      <c r="I50" s="195"/>
      <c r="J50" s="201"/>
      <c r="K50" s="201"/>
    </row>
    <row r="51" spans="2:11" ht="15" customHeight="1" x14ac:dyDescent="0.25">
      <c r="B51" s="10" t="s">
        <v>295</v>
      </c>
      <c r="C51" t="s">
        <v>296</v>
      </c>
      <c r="F51" s="195">
        <v>0</v>
      </c>
      <c r="G51" s="195">
        <f>'Balans &amp; Res.rek'!I73</f>
        <v>5326.69</v>
      </c>
      <c r="H51" s="195">
        <f>+G51</f>
        <v>5326.69</v>
      </c>
      <c r="I51" s="195"/>
      <c r="J51" s="201"/>
      <c r="K51" s="201">
        <f>H51+I51-J51</f>
        <v>5326.69</v>
      </c>
    </row>
    <row r="52" spans="2:11" ht="15" customHeight="1" x14ac:dyDescent="0.25">
      <c r="B52" s="10"/>
      <c r="F52" s="195"/>
      <c r="G52" s="195"/>
      <c r="H52" s="200"/>
      <c r="I52" s="195"/>
      <c r="J52" s="201"/>
      <c r="K52" s="201"/>
    </row>
    <row r="53" spans="2:11" ht="15" customHeight="1" x14ac:dyDescent="0.25">
      <c r="B53" s="10" t="s">
        <v>297</v>
      </c>
      <c r="C53" t="s">
        <v>132</v>
      </c>
      <c r="F53" s="195">
        <v>0</v>
      </c>
      <c r="G53" s="195">
        <f>+'Balans &amp; Res.rek'!I74</f>
        <v>0</v>
      </c>
      <c r="H53" s="200">
        <f>+G53</f>
        <v>0</v>
      </c>
      <c r="I53" s="195"/>
      <c r="J53" s="201"/>
      <c r="K53" s="201">
        <f>H53+I53-J53</f>
        <v>0</v>
      </c>
    </row>
    <row r="54" spans="2:11" ht="15" customHeight="1" x14ac:dyDescent="0.25">
      <c r="B54" s="10"/>
      <c r="F54" s="195"/>
      <c r="G54" s="195"/>
      <c r="I54" s="195"/>
      <c r="J54" s="201"/>
      <c r="K54" s="201"/>
    </row>
    <row r="55" spans="2:11" ht="15" customHeight="1" x14ac:dyDescent="0.25">
      <c r="B55" s="10" t="s">
        <v>298</v>
      </c>
      <c r="C55" t="s">
        <v>134</v>
      </c>
      <c r="F55" s="195">
        <v>0</v>
      </c>
      <c r="G55" s="195">
        <f>'Balans &amp; Res.rek'!I75</f>
        <v>17598.86</v>
      </c>
      <c r="H55" s="195">
        <f>+G55</f>
        <v>17598.86</v>
      </c>
      <c r="I55" s="195"/>
      <c r="J55" s="201"/>
      <c r="K55" s="201">
        <f>H55+I55-J55</f>
        <v>17598.86</v>
      </c>
    </row>
    <row r="56" spans="2:11" x14ac:dyDescent="0.25">
      <c r="B56" s="10"/>
      <c r="F56" s="195"/>
      <c r="G56" s="195"/>
      <c r="H56" s="195"/>
      <c r="I56" s="195"/>
      <c r="J56" s="201"/>
      <c r="K56" s="201"/>
    </row>
    <row r="57" spans="2:11" ht="15" customHeight="1" x14ac:dyDescent="0.25">
      <c r="B57" s="10" t="s">
        <v>299</v>
      </c>
      <c r="C57" t="s">
        <v>300</v>
      </c>
      <c r="F57" s="195">
        <v>0</v>
      </c>
      <c r="G57" s="195">
        <f>'Balans &amp; Res.rek'!I77</f>
        <v>1887.91</v>
      </c>
      <c r="H57" s="195">
        <f>+G57</f>
        <v>1887.91</v>
      </c>
      <c r="I57" s="195"/>
      <c r="J57" s="201"/>
      <c r="K57" s="201">
        <f>H57+I57-J57</f>
        <v>1887.91</v>
      </c>
    </row>
    <row r="58" spans="2:11" x14ac:dyDescent="0.25">
      <c r="B58" s="10"/>
      <c r="F58" s="195"/>
      <c r="G58" s="195"/>
      <c r="H58" s="195"/>
      <c r="I58" s="195"/>
      <c r="J58" s="201"/>
      <c r="K58" s="201"/>
    </row>
    <row r="59" spans="2:11" ht="15" customHeight="1" x14ac:dyDescent="0.25">
      <c r="B59" s="10" t="s">
        <v>301</v>
      </c>
      <c r="C59" t="s">
        <v>136</v>
      </c>
      <c r="F59" s="195">
        <v>0</v>
      </c>
      <c r="G59" s="195">
        <f>'Balans &amp; Res.rek'!I78</f>
        <v>3097</v>
      </c>
      <c r="H59" s="195">
        <f>+G59</f>
        <v>3097</v>
      </c>
      <c r="I59" s="195"/>
      <c r="J59" s="201"/>
      <c r="K59" s="201">
        <f>H59+I59-J59</f>
        <v>3097</v>
      </c>
    </row>
    <row r="60" spans="2:11" ht="15" customHeight="1" x14ac:dyDescent="0.25">
      <c r="B60" s="10"/>
      <c r="F60" s="195"/>
      <c r="G60" s="195"/>
      <c r="H60" s="195"/>
      <c r="I60" s="195"/>
      <c r="J60" s="201"/>
      <c r="K60" s="201"/>
    </row>
    <row r="61" spans="2:11" ht="15" customHeight="1" x14ac:dyDescent="0.25">
      <c r="B61" s="10" t="s">
        <v>142</v>
      </c>
      <c r="C61" t="s">
        <v>98</v>
      </c>
      <c r="F61" s="195">
        <v>0</v>
      </c>
      <c r="G61" s="195">
        <f>+'Balans &amp; Res.rek'!I80</f>
        <v>286.12</v>
      </c>
      <c r="H61" s="195">
        <v>0</v>
      </c>
      <c r="I61" s="195"/>
      <c r="J61" s="201"/>
      <c r="K61" s="201">
        <f>H61+I61-J61</f>
        <v>0</v>
      </c>
    </row>
    <row r="62" spans="2:11" ht="15" customHeight="1" x14ac:dyDescent="0.25">
      <c r="B62" s="10"/>
      <c r="F62" s="195"/>
      <c r="G62" s="195"/>
      <c r="H62" s="195"/>
      <c r="I62" s="195"/>
      <c r="J62" s="201"/>
      <c r="K62" s="201"/>
    </row>
    <row r="63" spans="2:11" s="27" customFormat="1" ht="15" customHeight="1" x14ac:dyDescent="0.2">
      <c r="B63" s="25" t="s">
        <v>302</v>
      </c>
      <c r="C63" s="26"/>
      <c r="D63" s="26"/>
      <c r="E63" s="26"/>
      <c r="F63" s="283">
        <v>0</v>
      </c>
      <c r="G63" s="283">
        <f>SUM(G48:G62)</f>
        <v>978821.58</v>
      </c>
      <c r="H63" s="283">
        <f>SUM(H48:H62)</f>
        <v>978535.46</v>
      </c>
      <c r="I63" s="283"/>
      <c r="J63" s="283"/>
      <c r="K63" s="283">
        <f>SUM(K48:K62)</f>
        <v>978535.46</v>
      </c>
    </row>
    <row r="64" spans="2:11" ht="15" customHeight="1" x14ac:dyDescent="0.25">
      <c r="B64" s="10"/>
      <c r="F64" s="195"/>
      <c r="G64" s="195"/>
      <c r="H64" s="195"/>
      <c r="I64" s="195"/>
      <c r="J64" s="201"/>
      <c r="K64" s="201"/>
    </row>
    <row r="65" spans="2:13" x14ac:dyDescent="0.25">
      <c r="B65" s="31" t="s">
        <v>303</v>
      </c>
      <c r="C65" s="137"/>
      <c r="D65" s="137"/>
      <c r="E65" s="137"/>
      <c r="F65" s="228">
        <f t="shared" ref="F65:K65" si="2">F44-F63</f>
        <v>0</v>
      </c>
      <c r="G65" s="228">
        <f t="shared" si="2"/>
        <v>488871.44999999984</v>
      </c>
      <c r="H65" s="228">
        <f t="shared" si="2"/>
        <v>543941.09999999986</v>
      </c>
      <c r="I65" s="228">
        <f t="shared" si="2"/>
        <v>0</v>
      </c>
      <c r="J65" s="250">
        <f t="shared" si="2"/>
        <v>0</v>
      </c>
      <c r="K65" s="285">
        <f t="shared" si="2"/>
        <v>537093.15874999994</v>
      </c>
      <c r="M65" s="199"/>
    </row>
    <row r="66" spans="2:13" ht="15" customHeight="1" x14ac:dyDescent="0.25"/>
    <row r="67" spans="2:13" ht="15" customHeight="1" x14ac:dyDescent="0.25">
      <c r="B67" s="5" t="s">
        <v>304</v>
      </c>
    </row>
    <row r="68" spans="2:13" ht="8.25" hidden="1" customHeight="1" x14ac:dyDescent="0.25"/>
    <row r="69" spans="2:13" ht="15" customHeight="1" x14ac:dyDescent="0.25">
      <c r="B69" s="448"/>
      <c r="C69" s="448"/>
      <c r="D69" s="448"/>
      <c r="E69" s="448"/>
      <c r="F69" s="448"/>
      <c r="G69" s="448"/>
      <c r="H69" s="448"/>
      <c r="I69" s="448"/>
      <c r="J69" s="448"/>
      <c r="K69" s="448"/>
    </row>
    <row r="70" spans="2:13" x14ac:dyDescent="0.25">
      <c r="B70" s="448"/>
      <c r="C70" s="448"/>
      <c r="D70" s="448"/>
      <c r="E70" s="448"/>
      <c r="F70" s="448"/>
      <c r="G70" s="448"/>
      <c r="H70" s="448"/>
      <c r="I70" s="448"/>
      <c r="J70" s="448"/>
      <c r="K70" s="448"/>
    </row>
    <row r="71" spans="2:13" x14ac:dyDescent="0.25">
      <c r="B71" s="306" t="s">
        <v>305</v>
      </c>
      <c r="C71" s="273"/>
      <c r="D71" s="273"/>
      <c r="E71" s="273"/>
      <c r="F71" s="273"/>
      <c r="G71" s="273"/>
      <c r="H71" s="273"/>
      <c r="I71" s="273"/>
      <c r="J71" s="273"/>
    </row>
    <row r="72" spans="2:13" hidden="1" x14ac:dyDescent="0.25">
      <c r="B72" s="436"/>
      <c r="C72" s="436"/>
      <c r="D72" s="436"/>
      <c r="E72" s="436"/>
      <c r="F72" s="436"/>
      <c r="G72" s="436"/>
      <c r="H72" s="436"/>
      <c r="I72" s="436"/>
      <c r="J72" s="273"/>
    </row>
    <row r="73" spans="2:13" x14ac:dyDescent="0.25">
      <c r="B73" s="438" t="s">
        <v>552</v>
      </c>
      <c r="C73" s="273"/>
      <c r="D73" s="273"/>
      <c r="E73" s="273"/>
      <c r="F73" s="273"/>
      <c r="G73" s="273"/>
      <c r="H73" s="273"/>
      <c r="I73" s="273"/>
      <c r="J73" s="273"/>
    </row>
    <row r="74" spans="2:13" ht="35.25" customHeight="1" x14ac:dyDescent="0.25">
      <c r="B74" s="273"/>
      <c r="C74" s="273"/>
      <c r="D74" s="273"/>
      <c r="E74" s="273"/>
      <c r="F74" s="273"/>
      <c r="G74" s="273"/>
      <c r="H74" s="273"/>
      <c r="I74" s="273"/>
      <c r="J74" s="273"/>
    </row>
    <row r="75" spans="2:13" x14ac:dyDescent="0.25">
      <c r="B75" s="273"/>
      <c r="C75" s="273"/>
      <c r="D75" s="273"/>
      <c r="E75" s="273"/>
      <c r="F75" s="273"/>
      <c r="G75" s="273"/>
      <c r="H75" s="273"/>
      <c r="I75" s="273"/>
      <c r="J75" s="273"/>
    </row>
    <row r="76" spans="2:13" ht="13.9" customHeight="1" x14ac:dyDescent="0.25">
      <c r="C76" s="464"/>
      <c r="D76" s="457"/>
      <c r="E76" s="457"/>
      <c r="F76" s="457"/>
      <c r="G76" s="457"/>
      <c r="H76" s="457"/>
      <c r="I76" s="457"/>
      <c r="J76" s="457"/>
      <c r="K76" s="457"/>
    </row>
    <row r="77" spans="2:13" hidden="1" x14ac:dyDescent="0.25">
      <c r="C77" s="457"/>
      <c r="D77" s="457"/>
      <c r="E77" s="457"/>
      <c r="F77" s="457"/>
      <c r="G77" s="457"/>
      <c r="H77" s="457"/>
      <c r="I77" s="457"/>
      <c r="J77" s="457"/>
      <c r="K77" s="457"/>
    </row>
    <row r="79" spans="2:13" x14ac:dyDescent="0.25">
      <c r="B79" s="145"/>
      <c r="C79" s="437"/>
      <c r="F79" s="58" t="s">
        <v>306</v>
      </c>
      <c r="G79" s="357">
        <f>K65</f>
        <v>537093.15874999994</v>
      </c>
      <c r="H79" s="4" t="s">
        <v>307</v>
      </c>
    </row>
    <row r="82" spans="11:11" x14ac:dyDescent="0.25">
      <c r="K82" s="273"/>
    </row>
  </sheetData>
  <mergeCells count="3">
    <mergeCell ref="B69:K70"/>
    <mergeCell ref="B3:K5"/>
    <mergeCell ref="C76:K77"/>
  </mergeCells>
  <pageMargins left="0.70866141732283472" right="0.70866141732283472" top="0.74803149606299213" bottom="0.74803149606299213" header="0.31496062992125984" footer="0.31496062992125984"/>
  <pageSetup paperSize="9" scale="66" firstPageNumber="23" fitToHeight="0" orientation="portrait" useFirstPageNumber="1" r:id="rId1"/>
  <headerFooter>
    <oddHeader>&amp;R&amp;D</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pageSetUpPr fitToPage="1"/>
  </sheetPr>
  <dimension ref="B1:J60"/>
  <sheetViews>
    <sheetView showGridLines="0" view="pageLayout" topLeftCell="A7" zoomScaleNormal="85" workbookViewId="0">
      <selection activeCell="H19" sqref="H19"/>
    </sheetView>
  </sheetViews>
  <sheetFormatPr defaultRowHeight="15" x14ac:dyDescent="0.25"/>
  <cols>
    <col min="2" max="2" width="8.5703125" customWidth="1"/>
    <col min="3" max="3" width="12.5703125" customWidth="1"/>
    <col min="4" max="4" width="16.140625" customWidth="1"/>
    <col min="5" max="5" width="14.140625" customWidth="1"/>
    <col min="6" max="6" width="12.85546875" hidden="1" customWidth="1"/>
    <col min="7" max="7" width="12.42578125" bestFit="1" customWidth="1"/>
    <col min="8" max="8" width="13.5703125" customWidth="1"/>
    <col min="9" max="9" width="11.42578125" bestFit="1" customWidth="1"/>
    <col min="10" max="10" width="10.7109375" bestFit="1" customWidth="1"/>
    <col min="11" max="11" width="15.140625" customWidth="1"/>
    <col min="12" max="12" width="12.140625" customWidth="1"/>
    <col min="13" max="253" width="8.85546875"/>
    <col min="254" max="254" width="11.5703125" customWidth="1"/>
    <col min="255" max="255" width="17" customWidth="1"/>
    <col min="256" max="256" width="8.85546875"/>
    <col min="257" max="257" width="2.85546875" customWidth="1"/>
    <col min="258" max="258" width="14.140625" customWidth="1"/>
    <col min="259" max="259" width="15.42578125" customWidth="1"/>
    <col min="260" max="260" width="13.5703125" customWidth="1"/>
    <col min="261" max="261" width="13.85546875" customWidth="1"/>
    <col min="262" max="262" width="13.140625" customWidth="1"/>
    <col min="263" max="263" width="14.85546875" bestFit="1" customWidth="1"/>
    <col min="264" max="264" width="2.7109375" customWidth="1"/>
    <col min="265" max="265" width="8.85546875"/>
    <col min="266" max="266" width="10.85546875" customWidth="1"/>
    <col min="267" max="267" width="7.85546875" customWidth="1"/>
    <col min="268" max="268" width="11.28515625" customWidth="1"/>
    <col min="269" max="509" width="8.85546875"/>
    <col min="510" max="510" width="11.5703125" customWidth="1"/>
    <col min="511" max="511" width="17" customWidth="1"/>
    <col min="512" max="512" width="8.85546875"/>
    <col min="513" max="513" width="2.85546875" customWidth="1"/>
    <col min="514" max="514" width="14.140625" customWidth="1"/>
    <col min="515" max="515" width="15.42578125" customWidth="1"/>
    <col min="516" max="516" width="13.5703125" customWidth="1"/>
    <col min="517" max="517" width="13.85546875" customWidth="1"/>
    <col min="518" max="518" width="13.140625" customWidth="1"/>
    <col min="519" max="519" width="14.85546875" bestFit="1" customWidth="1"/>
    <col min="520" max="520" width="2.7109375" customWidth="1"/>
    <col min="521" max="521" width="8.85546875"/>
    <col min="522" max="522" width="10.85546875" customWidth="1"/>
    <col min="523" max="523" width="7.85546875" customWidth="1"/>
    <col min="524" max="524" width="11.28515625" customWidth="1"/>
    <col min="525" max="765" width="8.85546875"/>
    <col min="766" max="766" width="11.5703125" customWidth="1"/>
    <col min="767" max="767" width="17" customWidth="1"/>
    <col min="768" max="768" width="8.85546875"/>
    <col min="769" max="769" width="2.85546875" customWidth="1"/>
    <col min="770" max="770" width="14.140625" customWidth="1"/>
    <col min="771" max="771" width="15.42578125" customWidth="1"/>
    <col min="772" max="772" width="13.5703125" customWidth="1"/>
    <col min="773" max="773" width="13.85546875" customWidth="1"/>
    <col min="774" max="774" width="13.140625" customWidth="1"/>
    <col min="775" max="775" width="14.85546875" bestFit="1" customWidth="1"/>
    <col min="776" max="776" width="2.7109375" customWidth="1"/>
    <col min="777" max="777" width="8.85546875"/>
    <col min="778" max="778" width="10.85546875" customWidth="1"/>
    <col min="779" max="779" width="7.85546875" customWidth="1"/>
    <col min="780" max="780" width="11.28515625" customWidth="1"/>
    <col min="781" max="1021" width="8.85546875"/>
    <col min="1022" max="1022" width="11.5703125" customWidth="1"/>
    <col min="1023" max="1023" width="17" customWidth="1"/>
    <col min="1024" max="1024" width="8.85546875"/>
    <col min="1025" max="1025" width="2.85546875" customWidth="1"/>
    <col min="1026" max="1026" width="14.140625" customWidth="1"/>
    <col min="1027" max="1027" width="15.42578125" customWidth="1"/>
    <col min="1028" max="1028" width="13.5703125" customWidth="1"/>
    <col min="1029" max="1029" width="13.85546875" customWidth="1"/>
    <col min="1030" max="1030" width="13.140625" customWidth="1"/>
    <col min="1031" max="1031" width="14.85546875" bestFit="1" customWidth="1"/>
    <col min="1032" max="1032" width="2.7109375" customWidth="1"/>
    <col min="1033" max="1033" width="8.85546875"/>
    <col min="1034" max="1034" width="10.85546875" customWidth="1"/>
    <col min="1035" max="1035" width="7.85546875" customWidth="1"/>
    <col min="1036" max="1036" width="11.28515625" customWidth="1"/>
    <col min="1037" max="1277" width="8.85546875"/>
    <col min="1278" max="1278" width="11.5703125" customWidth="1"/>
    <col min="1279" max="1279" width="17" customWidth="1"/>
    <col min="1280" max="1280" width="8.85546875"/>
    <col min="1281" max="1281" width="2.85546875" customWidth="1"/>
    <col min="1282" max="1282" width="14.140625" customWidth="1"/>
    <col min="1283" max="1283" width="15.42578125" customWidth="1"/>
    <col min="1284" max="1284" width="13.5703125" customWidth="1"/>
    <col min="1285" max="1285" width="13.85546875" customWidth="1"/>
    <col min="1286" max="1286" width="13.140625" customWidth="1"/>
    <col min="1287" max="1287" width="14.85546875" bestFit="1" customWidth="1"/>
    <col min="1288" max="1288" width="2.7109375" customWidth="1"/>
    <col min="1289" max="1289" width="8.85546875"/>
    <col min="1290" max="1290" width="10.85546875" customWidth="1"/>
    <col min="1291" max="1291" width="7.85546875" customWidth="1"/>
    <col min="1292" max="1292" width="11.28515625" customWidth="1"/>
    <col min="1293" max="1533" width="8.85546875"/>
    <col min="1534" max="1534" width="11.5703125" customWidth="1"/>
    <col min="1535" max="1535" width="17" customWidth="1"/>
    <col min="1536" max="1536" width="8.85546875"/>
    <col min="1537" max="1537" width="2.85546875" customWidth="1"/>
    <col min="1538" max="1538" width="14.140625" customWidth="1"/>
    <col min="1539" max="1539" width="15.42578125" customWidth="1"/>
    <col min="1540" max="1540" width="13.5703125" customWidth="1"/>
    <col min="1541" max="1541" width="13.85546875" customWidth="1"/>
    <col min="1542" max="1542" width="13.140625" customWidth="1"/>
    <col min="1543" max="1543" width="14.85546875" bestFit="1" customWidth="1"/>
    <col min="1544" max="1544" width="2.7109375" customWidth="1"/>
    <col min="1545" max="1545" width="8.85546875"/>
    <col min="1546" max="1546" width="10.85546875" customWidth="1"/>
    <col min="1547" max="1547" width="7.85546875" customWidth="1"/>
    <col min="1548" max="1548" width="11.28515625" customWidth="1"/>
    <col min="1549" max="1789" width="8.85546875"/>
    <col min="1790" max="1790" width="11.5703125" customWidth="1"/>
    <col min="1791" max="1791" width="17" customWidth="1"/>
    <col min="1792" max="1792" width="8.85546875"/>
    <col min="1793" max="1793" width="2.85546875" customWidth="1"/>
    <col min="1794" max="1794" width="14.140625" customWidth="1"/>
    <col min="1795" max="1795" width="15.42578125" customWidth="1"/>
    <col min="1796" max="1796" width="13.5703125" customWidth="1"/>
    <col min="1797" max="1797" width="13.85546875" customWidth="1"/>
    <col min="1798" max="1798" width="13.140625" customWidth="1"/>
    <col min="1799" max="1799" width="14.85546875" bestFit="1" customWidth="1"/>
    <col min="1800" max="1800" width="2.7109375" customWidth="1"/>
    <col min="1801" max="1801" width="8.85546875"/>
    <col min="1802" max="1802" width="10.85546875" customWidth="1"/>
    <col min="1803" max="1803" width="7.85546875" customWidth="1"/>
    <col min="1804" max="1804" width="11.28515625" customWidth="1"/>
    <col min="1805" max="2045" width="8.85546875"/>
    <col min="2046" max="2046" width="11.5703125" customWidth="1"/>
    <col min="2047" max="2047" width="17" customWidth="1"/>
    <col min="2048" max="2048" width="8.85546875"/>
    <col min="2049" max="2049" width="2.85546875" customWidth="1"/>
    <col min="2050" max="2050" width="14.140625" customWidth="1"/>
    <col min="2051" max="2051" width="15.42578125" customWidth="1"/>
    <col min="2052" max="2052" width="13.5703125" customWidth="1"/>
    <col min="2053" max="2053" width="13.85546875" customWidth="1"/>
    <col min="2054" max="2054" width="13.140625" customWidth="1"/>
    <col min="2055" max="2055" width="14.85546875" bestFit="1" customWidth="1"/>
    <col min="2056" max="2056" width="2.7109375" customWidth="1"/>
    <col min="2057" max="2057" width="8.85546875"/>
    <col min="2058" max="2058" width="10.85546875" customWidth="1"/>
    <col min="2059" max="2059" width="7.85546875" customWidth="1"/>
    <col min="2060" max="2060" width="11.28515625" customWidth="1"/>
    <col min="2061" max="2301" width="8.85546875"/>
    <col min="2302" max="2302" width="11.5703125" customWidth="1"/>
    <col min="2303" max="2303" width="17" customWidth="1"/>
    <col min="2304" max="2304" width="8.85546875"/>
    <col min="2305" max="2305" width="2.85546875" customWidth="1"/>
    <col min="2306" max="2306" width="14.140625" customWidth="1"/>
    <col min="2307" max="2307" width="15.42578125" customWidth="1"/>
    <col min="2308" max="2308" width="13.5703125" customWidth="1"/>
    <col min="2309" max="2309" width="13.85546875" customWidth="1"/>
    <col min="2310" max="2310" width="13.140625" customWidth="1"/>
    <col min="2311" max="2311" width="14.85546875" bestFit="1" customWidth="1"/>
    <col min="2312" max="2312" width="2.7109375" customWidth="1"/>
    <col min="2313" max="2313" width="8.85546875"/>
    <col min="2314" max="2314" width="10.85546875" customWidth="1"/>
    <col min="2315" max="2315" width="7.85546875" customWidth="1"/>
    <col min="2316" max="2316" width="11.28515625" customWidth="1"/>
    <col min="2317" max="2557" width="8.85546875"/>
    <col min="2558" max="2558" width="11.5703125" customWidth="1"/>
    <col min="2559" max="2559" width="17" customWidth="1"/>
    <col min="2560" max="2560" width="8.85546875"/>
    <col min="2561" max="2561" width="2.85546875" customWidth="1"/>
    <col min="2562" max="2562" width="14.140625" customWidth="1"/>
    <col min="2563" max="2563" width="15.42578125" customWidth="1"/>
    <col min="2564" max="2564" width="13.5703125" customWidth="1"/>
    <col min="2565" max="2565" width="13.85546875" customWidth="1"/>
    <col min="2566" max="2566" width="13.140625" customWidth="1"/>
    <col min="2567" max="2567" width="14.85546875" bestFit="1" customWidth="1"/>
    <col min="2568" max="2568" width="2.7109375" customWidth="1"/>
    <col min="2569" max="2569" width="8.85546875"/>
    <col min="2570" max="2570" width="10.85546875" customWidth="1"/>
    <col min="2571" max="2571" width="7.85546875" customWidth="1"/>
    <col min="2572" max="2572" width="11.28515625" customWidth="1"/>
    <col min="2573" max="2813" width="8.85546875"/>
    <col min="2814" max="2814" width="11.5703125" customWidth="1"/>
    <col min="2815" max="2815" width="17" customWidth="1"/>
    <col min="2816" max="2816" width="8.85546875"/>
    <col min="2817" max="2817" width="2.85546875" customWidth="1"/>
    <col min="2818" max="2818" width="14.140625" customWidth="1"/>
    <col min="2819" max="2819" width="15.42578125" customWidth="1"/>
    <col min="2820" max="2820" width="13.5703125" customWidth="1"/>
    <col min="2821" max="2821" width="13.85546875" customWidth="1"/>
    <col min="2822" max="2822" width="13.140625" customWidth="1"/>
    <col min="2823" max="2823" width="14.85546875" bestFit="1" customWidth="1"/>
    <col min="2824" max="2824" width="2.7109375" customWidth="1"/>
    <col min="2825" max="2825" width="8.85546875"/>
    <col min="2826" max="2826" width="10.85546875" customWidth="1"/>
    <col min="2827" max="2827" width="7.85546875" customWidth="1"/>
    <col min="2828" max="2828" width="11.28515625" customWidth="1"/>
    <col min="2829" max="3069" width="8.85546875"/>
    <col min="3070" max="3070" width="11.5703125" customWidth="1"/>
    <col min="3071" max="3071" width="17" customWidth="1"/>
    <col min="3072" max="3072" width="8.85546875"/>
    <col min="3073" max="3073" width="2.85546875" customWidth="1"/>
    <col min="3074" max="3074" width="14.140625" customWidth="1"/>
    <col min="3075" max="3075" width="15.42578125" customWidth="1"/>
    <col min="3076" max="3076" width="13.5703125" customWidth="1"/>
    <col min="3077" max="3077" width="13.85546875" customWidth="1"/>
    <col min="3078" max="3078" width="13.140625" customWidth="1"/>
    <col min="3079" max="3079" width="14.85546875" bestFit="1" customWidth="1"/>
    <col min="3080" max="3080" width="2.7109375" customWidth="1"/>
    <col min="3081" max="3081" width="8.85546875"/>
    <col min="3082" max="3082" width="10.85546875" customWidth="1"/>
    <col min="3083" max="3083" width="7.85546875" customWidth="1"/>
    <col min="3084" max="3084" width="11.28515625" customWidth="1"/>
    <col min="3085" max="3325" width="8.85546875"/>
    <col min="3326" max="3326" width="11.5703125" customWidth="1"/>
    <col min="3327" max="3327" width="17" customWidth="1"/>
    <col min="3328" max="3328" width="8.85546875"/>
    <col min="3329" max="3329" width="2.85546875" customWidth="1"/>
    <col min="3330" max="3330" width="14.140625" customWidth="1"/>
    <col min="3331" max="3331" width="15.42578125" customWidth="1"/>
    <col min="3332" max="3332" width="13.5703125" customWidth="1"/>
    <col min="3333" max="3333" width="13.85546875" customWidth="1"/>
    <col min="3334" max="3334" width="13.140625" customWidth="1"/>
    <col min="3335" max="3335" width="14.85546875" bestFit="1" customWidth="1"/>
    <col min="3336" max="3336" width="2.7109375" customWidth="1"/>
    <col min="3337" max="3337" width="8.85546875"/>
    <col min="3338" max="3338" width="10.85546875" customWidth="1"/>
    <col min="3339" max="3339" width="7.85546875" customWidth="1"/>
    <col min="3340" max="3340" width="11.28515625" customWidth="1"/>
    <col min="3341" max="3581" width="8.85546875"/>
    <col min="3582" max="3582" width="11.5703125" customWidth="1"/>
    <col min="3583" max="3583" width="17" customWidth="1"/>
    <col min="3584" max="3584" width="8.85546875"/>
    <col min="3585" max="3585" width="2.85546875" customWidth="1"/>
    <col min="3586" max="3586" width="14.140625" customWidth="1"/>
    <col min="3587" max="3587" width="15.42578125" customWidth="1"/>
    <col min="3588" max="3588" width="13.5703125" customWidth="1"/>
    <col min="3589" max="3589" width="13.85546875" customWidth="1"/>
    <col min="3590" max="3590" width="13.140625" customWidth="1"/>
    <col min="3591" max="3591" width="14.85546875" bestFit="1" customWidth="1"/>
    <col min="3592" max="3592" width="2.7109375" customWidth="1"/>
    <col min="3593" max="3593" width="8.85546875"/>
    <col min="3594" max="3594" width="10.85546875" customWidth="1"/>
    <col min="3595" max="3595" width="7.85546875" customWidth="1"/>
    <col min="3596" max="3596" width="11.28515625" customWidth="1"/>
    <col min="3597" max="3837" width="8.85546875"/>
    <col min="3838" max="3838" width="11.5703125" customWidth="1"/>
    <col min="3839" max="3839" width="17" customWidth="1"/>
    <col min="3840" max="3840" width="8.85546875"/>
    <col min="3841" max="3841" width="2.85546875" customWidth="1"/>
    <col min="3842" max="3842" width="14.140625" customWidth="1"/>
    <col min="3843" max="3843" width="15.42578125" customWidth="1"/>
    <col min="3844" max="3844" width="13.5703125" customWidth="1"/>
    <col min="3845" max="3845" width="13.85546875" customWidth="1"/>
    <col min="3846" max="3846" width="13.140625" customWidth="1"/>
    <col min="3847" max="3847" width="14.85546875" bestFit="1" customWidth="1"/>
    <col min="3848" max="3848" width="2.7109375" customWidth="1"/>
    <col min="3849" max="3849" width="8.85546875"/>
    <col min="3850" max="3850" width="10.85546875" customWidth="1"/>
    <col min="3851" max="3851" width="7.85546875" customWidth="1"/>
    <col min="3852" max="3852" width="11.28515625" customWidth="1"/>
    <col min="3853" max="4093" width="8.85546875"/>
    <col min="4094" max="4094" width="11.5703125" customWidth="1"/>
    <col min="4095" max="4095" width="17" customWidth="1"/>
    <col min="4096" max="4096" width="8.85546875"/>
    <col min="4097" max="4097" width="2.85546875" customWidth="1"/>
    <col min="4098" max="4098" width="14.140625" customWidth="1"/>
    <col min="4099" max="4099" width="15.42578125" customWidth="1"/>
    <col min="4100" max="4100" width="13.5703125" customWidth="1"/>
    <col min="4101" max="4101" width="13.85546875" customWidth="1"/>
    <col min="4102" max="4102" width="13.140625" customWidth="1"/>
    <col min="4103" max="4103" width="14.85546875" bestFit="1" customWidth="1"/>
    <col min="4104" max="4104" width="2.7109375" customWidth="1"/>
    <col min="4105" max="4105" width="8.85546875"/>
    <col min="4106" max="4106" width="10.85546875" customWidth="1"/>
    <col min="4107" max="4107" width="7.85546875" customWidth="1"/>
    <col min="4108" max="4108" width="11.28515625" customWidth="1"/>
    <col min="4109" max="4349" width="8.85546875"/>
    <col min="4350" max="4350" width="11.5703125" customWidth="1"/>
    <col min="4351" max="4351" width="17" customWidth="1"/>
    <col min="4352" max="4352" width="8.85546875"/>
    <col min="4353" max="4353" width="2.85546875" customWidth="1"/>
    <col min="4354" max="4354" width="14.140625" customWidth="1"/>
    <col min="4355" max="4355" width="15.42578125" customWidth="1"/>
    <col min="4356" max="4356" width="13.5703125" customWidth="1"/>
    <col min="4357" max="4357" width="13.85546875" customWidth="1"/>
    <col min="4358" max="4358" width="13.140625" customWidth="1"/>
    <col min="4359" max="4359" width="14.85546875" bestFit="1" customWidth="1"/>
    <col min="4360" max="4360" width="2.7109375" customWidth="1"/>
    <col min="4361" max="4361" width="8.85546875"/>
    <col min="4362" max="4362" width="10.85546875" customWidth="1"/>
    <col min="4363" max="4363" width="7.85546875" customWidth="1"/>
    <col min="4364" max="4364" width="11.28515625" customWidth="1"/>
    <col min="4365" max="4605" width="8.85546875"/>
    <col min="4606" max="4606" width="11.5703125" customWidth="1"/>
    <col min="4607" max="4607" width="17" customWidth="1"/>
    <col min="4608" max="4608" width="8.85546875"/>
    <col min="4609" max="4609" width="2.85546875" customWidth="1"/>
    <col min="4610" max="4610" width="14.140625" customWidth="1"/>
    <col min="4611" max="4611" width="15.42578125" customWidth="1"/>
    <col min="4612" max="4612" width="13.5703125" customWidth="1"/>
    <col min="4613" max="4613" width="13.85546875" customWidth="1"/>
    <col min="4614" max="4614" width="13.140625" customWidth="1"/>
    <col min="4615" max="4615" width="14.85546875" bestFit="1" customWidth="1"/>
    <col min="4616" max="4616" width="2.7109375" customWidth="1"/>
    <col min="4617" max="4617" width="8.85546875"/>
    <col min="4618" max="4618" width="10.85546875" customWidth="1"/>
    <col min="4619" max="4619" width="7.85546875" customWidth="1"/>
    <col min="4620" max="4620" width="11.28515625" customWidth="1"/>
    <col min="4621" max="4861" width="8.85546875"/>
    <col min="4862" max="4862" width="11.5703125" customWidth="1"/>
    <col min="4863" max="4863" width="17" customWidth="1"/>
    <col min="4864" max="4864" width="8.85546875"/>
    <col min="4865" max="4865" width="2.85546875" customWidth="1"/>
    <col min="4866" max="4866" width="14.140625" customWidth="1"/>
    <col min="4867" max="4867" width="15.42578125" customWidth="1"/>
    <col min="4868" max="4868" width="13.5703125" customWidth="1"/>
    <col min="4869" max="4869" width="13.85546875" customWidth="1"/>
    <col min="4870" max="4870" width="13.140625" customWidth="1"/>
    <col min="4871" max="4871" width="14.85546875" bestFit="1" customWidth="1"/>
    <col min="4872" max="4872" width="2.7109375" customWidth="1"/>
    <col min="4873" max="4873" width="8.85546875"/>
    <col min="4874" max="4874" width="10.85546875" customWidth="1"/>
    <col min="4875" max="4875" width="7.85546875" customWidth="1"/>
    <col min="4876" max="4876" width="11.28515625" customWidth="1"/>
    <col min="4877" max="5117" width="8.85546875"/>
    <col min="5118" max="5118" width="11.5703125" customWidth="1"/>
    <col min="5119" max="5119" width="17" customWidth="1"/>
    <col min="5120" max="5120" width="8.85546875"/>
    <col min="5121" max="5121" width="2.85546875" customWidth="1"/>
    <col min="5122" max="5122" width="14.140625" customWidth="1"/>
    <col min="5123" max="5123" width="15.42578125" customWidth="1"/>
    <col min="5124" max="5124" width="13.5703125" customWidth="1"/>
    <col min="5125" max="5125" width="13.85546875" customWidth="1"/>
    <col min="5126" max="5126" width="13.140625" customWidth="1"/>
    <col min="5127" max="5127" width="14.85546875" bestFit="1" customWidth="1"/>
    <col min="5128" max="5128" width="2.7109375" customWidth="1"/>
    <col min="5129" max="5129" width="8.85546875"/>
    <col min="5130" max="5130" width="10.85546875" customWidth="1"/>
    <col min="5131" max="5131" width="7.85546875" customWidth="1"/>
    <col min="5132" max="5132" width="11.28515625" customWidth="1"/>
    <col min="5133" max="5373" width="8.85546875"/>
    <col min="5374" max="5374" width="11.5703125" customWidth="1"/>
    <col min="5375" max="5375" width="17" customWidth="1"/>
    <col min="5376" max="5376" width="8.85546875"/>
    <col min="5377" max="5377" width="2.85546875" customWidth="1"/>
    <col min="5378" max="5378" width="14.140625" customWidth="1"/>
    <col min="5379" max="5379" width="15.42578125" customWidth="1"/>
    <col min="5380" max="5380" width="13.5703125" customWidth="1"/>
    <col min="5381" max="5381" width="13.85546875" customWidth="1"/>
    <col min="5382" max="5382" width="13.140625" customWidth="1"/>
    <col min="5383" max="5383" width="14.85546875" bestFit="1" customWidth="1"/>
    <col min="5384" max="5384" width="2.7109375" customWidth="1"/>
    <col min="5385" max="5385" width="8.85546875"/>
    <col min="5386" max="5386" width="10.85546875" customWidth="1"/>
    <col min="5387" max="5387" width="7.85546875" customWidth="1"/>
    <col min="5388" max="5388" width="11.28515625" customWidth="1"/>
    <col min="5389" max="5629" width="8.85546875"/>
    <col min="5630" max="5630" width="11.5703125" customWidth="1"/>
    <col min="5631" max="5631" width="17" customWidth="1"/>
    <col min="5632" max="5632" width="8.85546875"/>
    <col min="5633" max="5633" width="2.85546875" customWidth="1"/>
    <col min="5634" max="5634" width="14.140625" customWidth="1"/>
    <col min="5635" max="5635" width="15.42578125" customWidth="1"/>
    <col min="5636" max="5636" width="13.5703125" customWidth="1"/>
    <col min="5637" max="5637" width="13.85546875" customWidth="1"/>
    <col min="5638" max="5638" width="13.140625" customWidth="1"/>
    <col min="5639" max="5639" width="14.85546875" bestFit="1" customWidth="1"/>
    <col min="5640" max="5640" width="2.7109375" customWidth="1"/>
    <col min="5641" max="5641" width="8.85546875"/>
    <col min="5642" max="5642" width="10.85546875" customWidth="1"/>
    <col min="5643" max="5643" width="7.85546875" customWidth="1"/>
    <col min="5644" max="5644" width="11.28515625" customWidth="1"/>
    <col min="5645" max="5885" width="8.85546875"/>
    <col min="5886" max="5886" width="11.5703125" customWidth="1"/>
    <col min="5887" max="5887" width="17" customWidth="1"/>
    <col min="5888" max="5888" width="8.85546875"/>
    <col min="5889" max="5889" width="2.85546875" customWidth="1"/>
    <col min="5890" max="5890" width="14.140625" customWidth="1"/>
    <col min="5891" max="5891" width="15.42578125" customWidth="1"/>
    <col min="5892" max="5892" width="13.5703125" customWidth="1"/>
    <col min="5893" max="5893" width="13.85546875" customWidth="1"/>
    <col min="5894" max="5894" width="13.140625" customWidth="1"/>
    <col min="5895" max="5895" width="14.85546875" bestFit="1" customWidth="1"/>
    <col min="5896" max="5896" width="2.7109375" customWidth="1"/>
    <col min="5897" max="5897" width="8.85546875"/>
    <col min="5898" max="5898" width="10.85546875" customWidth="1"/>
    <col min="5899" max="5899" width="7.85546875" customWidth="1"/>
    <col min="5900" max="5900" width="11.28515625" customWidth="1"/>
    <col min="5901" max="6141" width="8.85546875"/>
    <col min="6142" max="6142" width="11.5703125" customWidth="1"/>
    <col min="6143" max="6143" width="17" customWidth="1"/>
    <col min="6144" max="6144" width="8.85546875"/>
    <col min="6145" max="6145" width="2.85546875" customWidth="1"/>
    <col min="6146" max="6146" width="14.140625" customWidth="1"/>
    <col min="6147" max="6147" width="15.42578125" customWidth="1"/>
    <col min="6148" max="6148" width="13.5703125" customWidth="1"/>
    <col min="6149" max="6149" width="13.85546875" customWidth="1"/>
    <col min="6150" max="6150" width="13.140625" customWidth="1"/>
    <col min="6151" max="6151" width="14.85546875" bestFit="1" customWidth="1"/>
    <col min="6152" max="6152" width="2.7109375" customWidth="1"/>
    <col min="6153" max="6153" width="8.85546875"/>
    <col min="6154" max="6154" width="10.85546875" customWidth="1"/>
    <col min="6155" max="6155" width="7.85546875" customWidth="1"/>
    <col min="6156" max="6156" width="11.28515625" customWidth="1"/>
    <col min="6157" max="6397" width="8.85546875"/>
    <col min="6398" max="6398" width="11.5703125" customWidth="1"/>
    <col min="6399" max="6399" width="17" customWidth="1"/>
    <col min="6400" max="6400" width="8.85546875"/>
    <col min="6401" max="6401" width="2.85546875" customWidth="1"/>
    <col min="6402" max="6402" width="14.140625" customWidth="1"/>
    <col min="6403" max="6403" width="15.42578125" customWidth="1"/>
    <col min="6404" max="6404" width="13.5703125" customWidth="1"/>
    <col min="6405" max="6405" width="13.85546875" customWidth="1"/>
    <col min="6406" max="6406" width="13.140625" customWidth="1"/>
    <col min="6407" max="6407" width="14.85546875" bestFit="1" customWidth="1"/>
    <col min="6408" max="6408" width="2.7109375" customWidth="1"/>
    <col min="6409" max="6409" width="8.85546875"/>
    <col min="6410" max="6410" width="10.85546875" customWidth="1"/>
    <col min="6411" max="6411" width="7.85546875" customWidth="1"/>
    <col min="6412" max="6412" width="11.28515625" customWidth="1"/>
    <col min="6413" max="6653" width="8.85546875"/>
    <col min="6654" max="6654" width="11.5703125" customWidth="1"/>
    <col min="6655" max="6655" width="17" customWidth="1"/>
    <col min="6656" max="6656" width="8.85546875"/>
    <col min="6657" max="6657" width="2.85546875" customWidth="1"/>
    <col min="6658" max="6658" width="14.140625" customWidth="1"/>
    <col min="6659" max="6659" width="15.42578125" customWidth="1"/>
    <col min="6660" max="6660" width="13.5703125" customWidth="1"/>
    <col min="6661" max="6661" width="13.85546875" customWidth="1"/>
    <col min="6662" max="6662" width="13.140625" customWidth="1"/>
    <col min="6663" max="6663" width="14.85546875" bestFit="1" customWidth="1"/>
    <col min="6664" max="6664" width="2.7109375" customWidth="1"/>
    <col min="6665" max="6665" width="8.85546875"/>
    <col min="6666" max="6666" width="10.85546875" customWidth="1"/>
    <col min="6667" max="6667" width="7.85546875" customWidth="1"/>
    <col min="6668" max="6668" width="11.28515625" customWidth="1"/>
    <col min="6669" max="6909" width="8.85546875"/>
    <col min="6910" max="6910" width="11.5703125" customWidth="1"/>
    <col min="6911" max="6911" width="17" customWidth="1"/>
    <col min="6912" max="6912" width="8.85546875"/>
    <col min="6913" max="6913" width="2.85546875" customWidth="1"/>
    <col min="6914" max="6914" width="14.140625" customWidth="1"/>
    <col min="6915" max="6915" width="15.42578125" customWidth="1"/>
    <col min="6916" max="6916" width="13.5703125" customWidth="1"/>
    <col min="6917" max="6917" width="13.85546875" customWidth="1"/>
    <col min="6918" max="6918" width="13.140625" customWidth="1"/>
    <col min="6919" max="6919" width="14.85546875" bestFit="1" customWidth="1"/>
    <col min="6920" max="6920" width="2.7109375" customWidth="1"/>
    <col min="6921" max="6921" width="8.85546875"/>
    <col min="6922" max="6922" width="10.85546875" customWidth="1"/>
    <col min="6923" max="6923" width="7.85546875" customWidth="1"/>
    <col min="6924" max="6924" width="11.28515625" customWidth="1"/>
    <col min="6925" max="7165" width="8.85546875"/>
    <col min="7166" max="7166" width="11.5703125" customWidth="1"/>
    <col min="7167" max="7167" width="17" customWidth="1"/>
    <col min="7168" max="7168" width="8.85546875"/>
    <col min="7169" max="7169" width="2.85546875" customWidth="1"/>
    <col min="7170" max="7170" width="14.140625" customWidth="1"/>
    <col min="7171" max="7171" width="15.42578125" customWidth="1"/>
    <col min="7172" max="7172" width="13.5703125" customWidth="1"/>
    <col min="7173" max="7173" width="13.85546875" customWidth="1"/>
    <col min="7174" max="7174" width="13.140625" customWidth="1"/>
    <col min="7175" max="7175" width="14.85546875" bestFit="1" customWidth="1"/>
    <col min="7176" max="7176" width="2.7109375" customWidth="1"/>
    <col min="7177" max="7177" width="8.85546875"/>
    <col min="7178" max="7178" width="10.85546875" customWidth="1"/>
    <col min="7179" max="7179" width="7.85546875" customWidth="1"/>
    <col min="7180" max="7180" width="11.28515625" customWidth="1"/>
    <col min="7181" max="7421" width="8.85546875"/>
    <col min="7422" max="7422" width="11.5703125" customWidth="1"/>
    <col min="7423" max="7423" width="17" customWidth="1"/>
    <col min="7424" max="7424" width="8.85546875"/>
    <col min="7425" max="7425" width="2.85546875" customWidth="1"/>
    <col min="7426" max="7426" width="14.140625" customWidth="1"/>
    <col min="7427" max="7427" width="15.42578125" customWidth="1"/>
    <col min="7428" max="7428" width="13.5703125" customWidth="1"/>
    <col min="7429" max="7429" width="13.85546875" customWidth="1"/>
    <col min="7430" max="7430" width="13.140625" customWidth="1"/>
    <col min="7431" max="7431" width="14.85546875" bestFit="1" customWidth="1"/>
    <col min="7432" max="7432" width="2.7109375" customWidth="1"/>
    <col min="7433" max="7433" width="8.85546875"/>
    <col min="7434" max="7434" width="10.85546875" customWidth="1"/>
    <col min="7435" max="7435" width="7.85546875" customWidth="1"/>
    <col min="7436" max="7436" width="11.28515625" customWidth="1"/>
    <col min="7437" max="7677" width="8.85546875"/>
    <col min="7678" max="7678" width="11.5703125" customWidth="1"/>
    <col min="7679" max="7679" width="17" customWidth="1"/>
    <col min="7680" max="7680" width="8.85546875"/>
    <col min="7681" max="7681" width="2.85546875" customWidth="1"/>
    <col min="7682" max="7682" width="14.140625" customWidth="1"/>
    <col min="7683" max="7683" width="15.42578125" customWidth="1"/>
    <col min="7684" max="7684" width="13.5703125" customWidth="1"/>
    <col min="7685" max="7685" width="13.85546875" customWidth="1"/>
    <col min="7686" max="7686" width="13.140625" customWidth="1"/>
    <col min="7687" max="7687" width="14.85546875" bestFit="1" customWidth="1"/>
    <col min="7688" max="7688" width="2.7109375" customWidth="1"/>
    <col min="7689" max="7689" width="8.85546875"/>
    <col min="7690" max="7690" width="10.85546875" customWidth="1"/>
    <col min="7691" max="7691" width="7.85546875" customWidth="1"/>
    <col min="7692" max="7692" width="11.28515625" customWidth="1"/>
    <col min="7693" max="7933" width="8.85546875"/>
    <col min="7934" max="7934" width="11.5703125" customWidth="1"/>
    <col min="7935" max="7935" width="17" customWidth="1"/>
    <col min="7936" max="7936" width="8.85546875"/>
    <col min="7937" max="7937" width="2.85546875" customWidth="1"/>
    <col min="7938" max="7938" width="14.140625" customWidth="1"/>
    <col min="7939" max="7939" width="15.42578125" customWidth="1"/>
    <col min="7940" max="7940" width="13.5703125" customWidth="1"/>
    <col min="7941" max="7941" width="13.85546875" customWidth="1"/>
    <col min="7942" max="7942" width="13.140625" customWidth="1"/>
    <col min="7943" max="7943" width="14.85546875" bestFit="1" customWidth="1"/>
    <col min="7944" max="7944" width="2.7109375" customWidth="1"/>
    <col min="7945" max="7945" width="8.85546875"/>
    <col min="7946" max="7946" width="10.85546875" customWidth="1"/>
    <col min="7947" max="7947" width="7.85546875" customWidth="1"/>
    <col min="7948" max="7948" width="11.28515625" customWidth="1"/>
    <col min="7949" max="8189" width="8.85546875"/>
    <col min="8190" max="8190" width="11.5703125" customWidth="1"/>
    <col min="8191" max="8191" width="17" customWidth="1"/>
    <col min="8192" max="8192" width="8.85546875"/>
    <col min="8193" max="8193" width="2.85546875" customWidth="1"/>
    <col min="8194" max="8194" width="14.140625" customWidth="1"/>
    <col min="8195" max="8195" width="15.42578125" customWidth="1"/>
    <col min="8196" max="8196" width="13.5703125" customWidth="1"/>
    <col min="8197" max="8197" width="13.85546875" customWidth="1"/>
    <col min="8198" max="8198" width="13.140625" customWidth="1"/>
    <col min="8199" max="8199" width="14.85546875" bestFit="1" customWidth="1"/>
    <col min="8200" max="8200" width="2.7109375" customWidth="1"/>
    <col min="8201" max="8201" width="8.85546875"/>
    <col min="8202" max="8202" width="10.85546875" customWidth="1"/>
    <col min="8203" max="8203" width="7.85546875" customWidth="1"/>
    <col min="8204" max="8204" width="11.28515625" customWidth="1"/>
    <col min="8205" max="8445" width="8.85546875"/>
    <col min="8446" max="8446" width="11.5703125" customWidth="1"/>
    <col min="8447" max="8447" width="17" customWidth="1"/>
    <col min="8448" max="8448" width="8.85546875"/>
    <col min="8449" max="8449" width="2.85546875" customWidth="1"/>
    <col min="8450" max="8450" width="14.140625" customWidth="1"/>
    <col min="8451" max="8451" width="15.42578125" customWidth="1"/>
    <col min="8452" max="8452" width="13.5703125" customWidth="1"/>
    <col min="8453" max="8453" width="13.85546875" customWidth="1"/>
    <col min="8454" max="8454" width="13.140625" customWidth="1"/>
    <col min="8455" max="8455" width="14.85546875" bestFit="1" customWidth="1"/>
    <col min="8456" max="8456" width="2.7109375" customWidth="1"/>
    <col min="8457" max="8457" width="8.85546875"/>
    <col min="8458" max="8458" width="10.85546875" customWidth="1"/>
    <col min="8459" max="8459" width="7.85546875" customWidth="1"/>
    <col min="8460" max="8460" width="11.28515625" customWidth="1"/>
    <col min="8461" max="8701" width="8.85546875"/>
    <col min="8702" max="8702" width="11.5703125" customWidth="1"/>
    <col min="8703" max="8703" width="17" customWidth="1"/>
    <col min="8704" max="8704" width="8.85546875"/>
    <col min="8705" max="8705" width="2.85546875" customWidth="1"/>
    <col min="8706" max="8706" width="14.140625" customWidth="1"/>
    <col min="8707" max="8707" width="15.42578125" customWidth="1"/>
    <col min="8708" max="8708" width="13.5703125" customWidth="1"/>
    <col min="8709" max="8709" width="13.85546875" customWidth="1"/>
    <col min="8710" max="8710" width="13.140625" customWidth="1"/>
    <col min="8711" max="8711" width="14.85546875" bestFit="1" customWidth="1"/>
    <col min="8712" max="8712" width="2.7109375" customWidth="1"/>
    <col min="8713" max="8713" width="8.85546875"/>
    <col min="8714" max="8714" width="10.85546875" customWidth="1"/>
    <col min="8715" max="8715" width="7.85546875" customWidth="1"/>
    <col min="8716" max="8716" width="11.28515625" customWidth="1"/>
    <col min="8717" max="8957" width="8.85546875"/>
    <col min="8958" max="8958" width="11.5703125" customWidth="1"/>
    <col min="8959" max="8959" width="17" customWidth="1"/>
    <col min="8960" max="8960" width="8.85546875"/>
    <col min="8961" max="8961" width="2.85546875" customWidth="1"/>
    <col min="8962" max="8962" width="14.140625" customWidth="1"/>
    <col min="8963" max="8963" width="15.42578125" customWidth="1"/>
    <col min="8964" max="8964" width="13.5703125" customWidth="1"/>
    <col min="8965" max="8965" width="13.85546875" customWidth="1"/>
    <col min="8966" max="8966" width="13.140625" customWidth="1"/>
    <col min="8967" max="8967" width="14.85546875" bestFit="1" customWidth="1"/>
    <col min="8968" max="8968" width="2.7109375" customWidth="1"/>
    <col min="8969" max="8969" width="8.85546875"/>
    <col min="8970" max="8970" width="10.85546875" customWidth="1"/>
    <col min="8971" max="8971" width="7.85546875" customWidth="1"/>
    <col min="8972" max="8972" width="11.28515625" customWidth="1"/>
    <col min="8973" max="9213" width="8.85546875"/>
    <col min="9214" max="9214" width="11.5703125" customWidth="1"/>
    <col min="9215" max="9215" width="17" customWidth="1"/>
    <col min="9216" max="9216" width="8.85546875"/>
    <col min="9217" max="9217" width="2.85546875" customWidth="1"/>
    <col min="9218" max="9218" width="14.140625" customWidth="1"/>
    <col min="9219" max="9219" width="15.42578125" customWidth="1"/>
    <col min="9220" max="9220" width="13.5703125" customWidth="1"/>
    <col min="9221" max="9221" width="13.85546875" customWidth="1"/>
    <col min="9222" max="9222" width="13.140625" customWidth="1"/>
    <col min="9223" max="9223" width="14.85546875" bestFit="1" customWidth="1"/>
    <col min="9224" max="9224" width="2.7109375" customWidth="1"/>
    <col min="9225" max="9225" width="8.85546875"/>
    <col min="9226" max="9226" width="10.85546875" customWidth="1"/>
    <col min="9227" max="9227" width="7.85546875" customWidth="1"/>
    <col min="9228" max="9228" width="11.28515625" customWidth="1"/>
    <col min="9229" max="9469" width="8.85546875"/>
    <col min="9470" max="9470" width="11.5703125" customWidth="1"/>
    <col min="9471" max="9471" width="17" customWidth="1"/>
    <col min="9472" max="9472" width="8.85546875"/>
    <col min="9473" max="9473" width="2.85546875" customWidth="1"/>
    <col min="9474" max="9474" width="14.140625" customWidth="1"/>
    <col min="9475" max="9475" width="15.42578125" customWidth="1"/>
    <col min="9476" max="9476" width="13.5703125" customWidth="1"/>
    <col min="9477" max="9477" width="13.85546875" customWidth="1"/>
    <col min="9478" max="9478" width="13.140625" customWidth="1"/>
    <col min="9479" max="9479" width="14.85546875" bestFit="1" customWidth="1"/>
    <col min="9480" max="9480" width="2.7109375" customWidth="1"/>
    <col min="9481" max="9481" width="8.85546875"/>
    <col min="9482" max="9482" width="10.85546875" customWidth="1"/>
    <col min="9483" max="9483" width="7.85546875" customWidth="1"/>
    <col min="9484" max="9484" width="11.28515625" customWidth="1"/>
    <col min="9485" max="9725" width="8.85546875"/>
    <col min="9726" max="9726" width="11.5703125" customWidth="1"/>
    <col min="9727" max="9727" width="17" customWidth="1"/>
    <col min="9728" max="9728" width="8.85546875"/>
    <col min="9729" max="9729" width="2.85546875" customWidth="1"/>
    <col min="9730" max="9730" width="14.140625" customWidth="1"/>
    <col min="9731" max="9731" width="15.42578125" customWidth="1"/>
    <col min="9732" max="9732" width="13.5703125" customWidth="1"/>
    <col min="9733" max="9733" width="13.85546875" customWidth="1"/>
    <col min="9734" max="9734" width="13.140625" customWidth="1"/>
    <col min="9735" max="9735" width="14.85546875" bestFit="1" customWidth="1"/>
    <col min="9736" max="9736" width="2.7109375" customWidth="1"/>
    <col min="9737" max="9737" width="8.85546875"/>
    <col min="9738" max="9738" width="10.85546875" customWidth="1"/>
    <col min="9739" max="9739" width="7.85546875" customWidth="1"/>
    <col min="9740" max="9740" width="11.28515625" customWidth="1"/>
    <col min="9741" max="9981" width="8.85546875"/>
    <col min="9982" max="9982" width="11.5703125" customWidth="1"/>
    <col min="9983" max="9983" width="17" customWidth="1"/>
    <col min="9984" max="9984" width="8.85546875"/>
    <col min="9985" max="9985" width="2.85546875" customWidth="1"/>
    <col min="9986" max="9986" width="14.140625" customWidth="1"/>
    <col min="9987" max="9987" width="15.42578125" customWidth="1"/>
    <col min="9988" max="9988" width="13.5703125" customWidth="1"/>
    <col min="9989" max="9989" width="13.85546875" customWidth="1"/>
    <col min="9990" max="9990" width="13.140625" customWidth="1"/>
    <col min="9991" max="9991" width="14.85546875" bestFit="1" customWidth="1"/>
    <col min="9992" max="9992" width="2.7109375" customWidth="1"/>
    <col min="9993" max="9993" width="8.85546875"/>
    <col min="9994" max="9994" width="10.85546875" customWidth="1"/>
    <col min="9995" max="9995" width="7.85546875" customWidth="1"/>
    <col min="9996" max="9996" width="11.28515625" customWidth="1"/>
    <col min="9997" max="10237" width="8.85546875"/>
    <col min="10238" max="10238" width="11.5703125" customWidth="1"/>
    <col min="10239" max="10239" width="17" customWidth="1"/>
    <col min="10240" max="10240" width="8.85546875"/>
    <col min="10241" max="10241" width="2.85546875" customWidth="1"/>
    <col min="10242" max="10242" width="14.140625" customWidth="1"/>
    <col min="10243" max="10243" width="15.42578125" customWidth="1"/>
    <col min="10244" max="10244" width="13.5703125" customWidth="1"/>
    <col min="10245" max="10245" width="13.85546875" customWidth="1"/>
    <col min="10246" max="10246" width="13.140625" customWidth="1"/>
    <col min="10247" max="10247" width="14.85546875" bestFit="1" customWidth="1"/>
    <col min="10248" max="10248" width="2.7109375" customWidth="1"/>
    <col min="10249" max="10249" width="8.85546875"/>
    <col min="10250" max="10250" width="10.85546875" customWidth="1"/>
    <col min="10251" max="10251" width="7.85546875" customWidth="1"/>
    <col min="10252" max="10252" width="11.28515625" customWidth="1"/>
    <col min="10253" max="10493" width="8.85546875"/>
    <col min="10494" max="10494" width="11.5703125" customWidth="1"/>
    <col min="10495" max="10495" width="17" customWidth="1"/>
    <col min="10496" max="10496" width="8.85546875"/>
    <col min="10497" max="10497" width="2.85546875" customWidth="1"/>
    <col min="10498" max="10498" width="14.140625" customWidth="1"/>
    <col min="10499" max="10499" width="15.42578125" customWidth="1"/>
    <col min="10500" max="10500" width="13.5703125" customWidth="1"/>
    <col min="10501" max="10501" width="13.85546875" customWidth="1"/>
    <col min="10502" max="10502" width="13.140625" customWidth="1"/>
    <col min="10503" max="10503" width="14.85546875" bestFit="1" customWidth="1"/>
    <col min="10504" max="10504" width="2.7109375" customWidth="1"/>
    <col min="10505" max="10505" width="8.85546875"/>
    <col min="10506" max="10506" width="10.85546875" customWidth="1"/>
    <col min="10507" max="10507" width="7.85546875" customWidth="1"/>
    <col min="10508" max="10508" width="11.28515625" customWidth="1"/>
    <col min="10509" max="10749" width="8.85546875"/>
    <col min="10750" max="10750" width="11.5703125" customWidth="1"/>
    <col min="10751" max="10751" width="17" customWidth="1"/>
    <col min="10752" max="10752" width="8.85546875"/>
    <col min="10753" max="10753" width="2.85546875" customWidth="1"/>
    <col min="10754" max="10754" width="14.140625" customWidth="1"/>
    <col min="10755" max="10755" width="15.42578125" customWidth="1"/>
    <col min="10756" max="10756" width="13.5703125" customWidth="1"/>
    <col min="10757" max="10757" width="13.85546875" customWidth="1"/>
    <col min="10758" max="10758" width="13.140625" customWidth="1"/>
    <col min="10759" max="10759" width="14.85546875" bestFit="1" customWidth="1"/>
    <col min="10760" max="10760" width="2.7109375" customWidth="1"/>
    <col min="10761" max="10761" width="8.85546875"/>
    <col min="10762" max="10762" width="10.85546875" customWidth="1"/>
    <col min="10763" max="10763" width="7.85546875" customWidth="1"/>
    <col min="10764" max="10764" width="11.28515625" customWidth="1"/>
    <col min="10765" max="11005" width="8.85546875"/>
    <col min="11006" max="11006" width="11.5703125" customWidth="1"/>
    <col min="11007" max="11007" width="17" customWidth="1"/>
    <col min="11008" max="11008" width="8.85546875"/>
    <col min="11009" max="11009" width="2.85546875" customWidth="1"/>
    <col min="11010" max="11010" width="14.140625" customWidth="1"/>
    <col min="11011" max="11011" width="15.42578125" customWidth="1"/>
    <col min="11012" max="11012" width="13.5703125" customWidth="1"/>
    <col min="11013" max="11013" width="13.85546875" customWidth="1"/>
    <col min="11014" max="11014" width="13.140625" customWidth="1"/>
    <col min="11015" max="11015" width="14.85546875" bestFit="1" customWidth="1"/>
    <col min="11016" max="11016" width="2.7109375" customWidth="1"/>
    <col min="11017" max="11017" width="8.85546875"/>
    <col min="11018" max="11018" width="10.85546875" customWidth="1"/>
    <col min="11019" max="11019" width="7.85546875" customWidth="1"/>
    <col min="11020" max="11020" width="11.28515625" customWidth="1"/>
    <col min="11021" max="11261" width="8.85546875"/>
    <col min="11262" max="11262" width="11.5703125" customWidth="1"/>
    <col min="11263" max="11263" width="17" customWidth="1"/>
    <col min="11264" max="11264" width="8.85546875"/>
    <col min="11265" max="11265" width="2.85546875" customWidth="1"/>
    <col min="11266" max="11266" width="14.140625" customWidth="1"/>
    <col min="11267" max="11267" width="15.42578125" customWidth="1"/>
    <col min="11268" max="11268" width="13.5703125" customWidth="1"/>
    <col min="11269" max="11269" width="13.85546875" customWidth="1"/>
    <col min="11270" max="11270" width="13.140625" customWidth="1"/>
    <col min="11271" max="11271" width="14.85546875" bestFit="1" customWidth="1"/>
    <col min="11272" max="11272" width="2.7109375" customWidth="1"/>
    <col min="11273" max="11273" width="8.85546875"/>
    <col min="11274" max="11274" width="10.85546875" customWidth="1"/>
    <col min="11275" max="11275" width="7.85546875" customWidth="1"/>
    <col min="11276" max="11276" width="11.28515625" customWidth="1"/>
    <col min="11277" max="11517" width="8.85546875"/>
    <col min="11518" max="11518" width="11.5703125" customWidth="1"/>
    <col min="11519" max="11519" width="17" customWidth="1"/>
    <col min="11520" max="11520" width="8.85546875"/>
    <col min="11521" max="11521" width="2.85546875" customWidth="1"/>
    <col min="11522" max="11522" width="14.140625" customWidth="1"/>
    <col min="11523" max="11523" width="15.42578125" customWidth="1"/>
    <col min="11524" max="11524" width="13.5703125" customWidth="1"/>
    <col min="11525" max="11525" width="13.85546875" customWidth="1"/>
    <col min="11526" max="11526" width="13.140625" customWidth="1"/>
    <col min="11527" max="11527" width="14.85546875" bestFit="1" customWidth="1"/>
    <col min="11528" max="11528" width="2.7109375" customWidth="1"/>
    <col min="11529" max="11529" width="8.85546875"/>
    <col min="11530" max="11530" width="10.85546875" customWidth="1"/>
    <col min="11531" max="11531" width="7.85546875" customWidth="1"/>
    <col min="11532" max="11532" width="11.28515625" customWidth="1"/>
    <col min="11533" max="11773" width="8.85546875"/>
    <col min="11774" max="11774" width="11.5703125" customWidth="1"/>
    <col min="11775" max="11775" width="17" customWidth="1"/>
    <col min="11776" max="11776" width="8.85546875"/>
    <col min="11777" max="11777" width="2.85546875" customWidth="1"/>
    <col min="11778" max="11778" width="14.140625" customWidth="1"/>
    <col min="11779" max="11779" width="15.42578125" customWidth="1"/>
    <col min="11780" max="11780" width="13.5703125" customWidth="1"/>
    <col min="11781" max="11781" width="13.85546875" customWidth="1"/>
    <col min="11782" max="11782" width="13.140625" customWidth="1"/>
    <col min="11783" max="11783" width="14.85546875" bestFit="1" customWidth="1"/>
    <col min="11784" max="11784" width="2.7109375" customWidth="1"/>
    <col min="11785" max="11785" width="8.85546875"/>
    <col min="11786" max="11786" width="10.85546875" customWidth="1"/>
    <col min="11787" max="11787" width="7.85546875" customWidth="1"/>
    <col min="11788" max="11788" width="11.28515625" customWidth="1"/>
    <col min="11789" max="12029" width="8.85546875"/>
    <col min="12030" max="12030" width="11.5703125" customWidth="1"/>
    <col min="12031" max="12031" width="17" customWidth="1"/>
    <col min="12032" max="12032" width="8.85546875"/>
    <col min="12033" max="12033" width="2.85546875" customWidth="1"/>
    <col min="12034" max="12034" width="14.140625" customWidth="1"/>
    <col min="12035" max="12035" width="15.42578125" customWidth="1"/>
    <col min="12036" max="12036" width="13.5703125" customWidth="1"/>
    <col min="12037" max="12037" width="13.85546875" customWidth="1"/>
    <col min="12038" max="12038" width="13.140625" customWidth="1"/>
    <col min="12039" max="12039" width="14.85546875" bestFit="1" customWidth="1"/>
    <col min="12040" max="12040" width="2.7109375" customWidth="1"/>
    <col min="12041" max="12041" width="8.85546875"/>
    <col min="12042" max="12042" width="10.85546875" customWidth="1"/>
    <col min="12043" max="12043" width="7.85546875" customWidth="1"/>
    <col min="12044" max="12044" width="11.28515625" customWidth="1"/>
    <col min="12045" max="12285" width="8.85546875"/>
    <col min="12286" max="12286" width="11.5703125" customWidth="1"/>
    <col min="12287" max="12287" width="17" customWidth="1"/>
    <col min="12288" max="12288" width="8.85546875"/>
    <col min="12289" max="12289" width="2.85546875" customWidth="1"/>
    <col min="12290" max="12290" width="14.140625" customWidth="1"/>
    <col min="12291" max="12291" width="15.42578125" customWidth="1"/>
    <col min="12292" max="12292" width="13.5703125" customWidth="1"/>
    <col min="12293" max="12293" width="13.85546875" customWidth="1"/>
    <col min="12294" max="12294" width="13.140625" customWidth="1"/>
    <col min="12295" max="12295" width="14.85546875" bestFit="1" customWidth="1"/>
    <col min="12296" max="12296" width="2.7109375" customWidth="1"/>
    <col min="12297" max="12297" width="8.85546875"/>
    <col min="12298" max="12298" width="10.85546875" customWidth="1"/>
    <col min="12299" max="12299" width="7.85546875" customWidth="1"/>
    <col min="12300" max="12300" width="11.28515625" customWidth="1"/>
    <col min="12301" max="12541" width="8.85546875"/>
    <col min="12542" max="12542" width="11.5703125" customWidth="1"/>
    <col min="12543" max="12543" width="17" customWidth="1"/>
    <col min="12544" max="12544" width="8.85546875"/>
    <col min="12545" max="12545" width="2.85546875" customWidth="1"/>
    <col min="12546" max="12546" width="14.140625" customWidth="1"/>
    <col min="12547" max="12547" width="15.42578125" customWidth="1"/>
    <col min="12548" max="12548" width="13.5703125" customWidth="1"/>
    <col min="12549" max="12549" width="13.85546875" customWidth="1"/>
    <col min="12550" max="12550" width="13.140625" customWidth="1"/>
    <col min="12551" max="12551" width="14.85546875" bestFit="1" customWidth="1"/>
    <col min="12552" max="12552" width="2.7109375" customWidth="1"/>
    <col min="12553" max="12553" width="8.85546875"/>
    <col min="12554" max="12554" width="10.85546875" customWidth="1"/>
    <col min="12555" max="12555" width="7.85546875" customWidth="1"/>
    <col min="12556" max="12556" width="11.28515625" customWidth="1"/>
    <col min="12557" max="12797" width="8.85546875"/>
    <col min="12798" max="12798" width="11.5703125" customWidth="1"/>
    <col min="12799" max="12799" width="17" customWidth="1"/>
    <col min="12800" max="12800" width="8.85546875"/>
    <col min="12801" max="12801" width="2.85546875" customWidth="1"/>
    <col min="12802" max="12802" width="14.140625" customWidth="1"/>
    <col min="12803" max="12803" width="15.42578125" customWidth="1"/>
    <col min="12804" max="12804" width="13.5703125" customWidth="1"/>
    <col min="12805" max="12805" width="13.85546875" customWidth="1"/>
    <col min="12806" max="12806" width="13.140625" customWidth="1"/>
    <col min="12807" max="12807" width="14.85546875" bestFit="1" customWidth="1"/>
    <col min="12808" max="12808" width="2.7109375" customWidth="1"/>
    <col min="12809" max="12809" width="8.85546875"/>
    <col min="12810" max="12810" width="10.85546875" customWidth="1"/>
    <col min="12811" max="12811" width="7.85546875" customWidth="1"/>
    <col min="12812" max="12812" width="11.28515625" customWidth="1"/>
    <col min="12813" max="13053" width="8.85546875"/>
    <col min="13054" max="13054" width="11.5703125" customWidth="1"/>
    <col min="13055" max="13055" width="17" customWidth="1"/>
    <col min="13056" max="13056" width="8.85546875"/>
    <col min="13057" max="13057" width="2.85546875" customWidth="1"/>
    <col min="13058" max="13058" width="14.140625" customWidth="1"/>
    <col min="13059" max="13059" width="15.42578125" customWidth="1"/>
    <col min="13060" max="13060" width="13.5703125" customWidth="1"/>
    <col min="13061" max="13061" width="13.85546875" customWidth="1"/>
    <col min="13062" max="13062" width="13.140625" customWidth="1"/>
    <col min="13063" max="13063" width="14.85546875" bestFit="1" customWidth="1"/>
    <col min="13064" max="13064" width="2.7109375" customWidth="1"/>
    <col min="13065" max="13065" width="8.85546875"/>
    <col min="13066" max="13066" width="10.85546875" customWidth="1"/>
    <col min="13067" max="13067" width="7.85546875" customWidth="1"/>
    <col min="13068" max="13068" width="11.28515625" customWidth="1"/>
    <col min="13069" max="13309" width="8.85546875"/>
    <col min="13310" max="13310" width="11.5703125" customWidth="1"/>
    <col min="13311" max="13311" width="17" customWidth="1"/>
    <col min="13312" max="13312" width="8.85546875"/>
    <col min="13313" max="13313" width="2.85546875" customWidth="1"/>
    <col min="13314" max="13314" width="14.140625" customWidth="1"/>
    <col min="13315" max="13315" width="15.42578125" customWidth="1"/>
    <col min="13316" max="13316" width="13.5703125" customWidth="1"/>
    <col min="13317" max="13317" width="13.85546875" customWidth="1"/>
    <col min="13318" max="13318" width="13.140625" customWidth="1"/>
    <col min="13319" max="13319" width="14.85546875" bestFit="1" customWidth="1"/>
    <col min="13320" max="13320" width="2.7109375" customWidth="1"/>
    <col min="13321" max="13321" width="8.85546875"/>
    <col min="13322" max="13322" width="10.85546875" customWidth="1"/>
    <col min="13323" max="13323" width="7.85546875" customWidth="1"/>
    <col min="13324" max="13324" width="11.28515625" customWidth="1"/>
    <col min="13325" max="13565" width="8.85546875"/>
    <col min="13566" max="13566" width="11.5703125" customWidth="1"/>
    <col min="13567" max="13567" width="17" customWidth="1"/>
    <col min="13568" max="13568" width="8.85546875"/>
    <col min="13569" max="13569" width="2.85546875" customWidth="1"/>
    <col min="13570" max="13570" width="14.140625" customWidth="1"/>
    <col min="13571" max="13571" width="15.42578125" customWidth="1"/>
    <col min="13572" max="13572" width="13.5703125" customWidth="1"/>
    <col min="13573" max="13573" width="13.85546875" customWidth="1"/>
    <col min="13574" max="13574" width="13.140625" customWidth="1"/>
    <col min="13575" max="13575" width="14.85546875" bestFit="1" customWidth="1"/>
    <col min="13576" max="13576" width="2.7109375" customWidth="1"/>
    <col min="13577" max="13577" width="8.85546875"/>
    <col min="13578" max="13578" width="10.85546875" customWidth="1"/>
    <col min="13579" max="13579" width="7.85546875" customWidth="1"/>
    <col min="13580" max="13580" width="11.28515625" customWidth="1"/>
    <col min="13581" max="13821" width="8.85546875"/>
    <col min="13822" max="13822" width="11.5703125" customWidth="1"/>
    <col min="13823" max="13823" width="17" customWidth="1"/>
    <col min="13824" max="13824" width="8.85546875"/>
    <col min="13825" max="13825" width="2.85546875" customWidth="1"/>
    <col min="13826" max="13826" width="14.140625" customWidth="1"/>
    <col min="13827" max="13827" width="15.42578125" customWidth="1"/>
    <col min="13828" max="13828" width="13.5703125" customWidth="1"/>
    <col min="13829" max="13829" width="13.85546875" customWidth="1"/>
    <col min="13830" max="13830" width="13.140625" customWidth="1"/>
    <col min="13831" max="13831" width="14.85546875" bestFit="1" customWidth="1"/>
    <col min="13832" max="13832" width="2.7109375" customWidth="1"/>
    <col min="13833" max="13833" width="8.85546875"/>
    <col min="13834" max="13834" width="10.85546875" customWidth="1"/>
    <col min="13835" max="13835" width="7.85546875" customWidth="1"/>
    <col min="13836" max="13836" width="11.28515625" customWidth="1"/>
    <col min="13837" max="14077" width="8.85546875"/>
    <col min="14078" max="14078" width="11.5703125" customWidth="1"/>
    <col min="14079" max="14079" width="17" customWidth="1"/>
    <col min="14080" max="14080" width="8.85546875"/>
    <col min="14081" max="14081" width="2.85546875" customWidth="1"/>
    <col min="14082" max="14082" width="14.140625" customWidth="1"/>
    <col min="14083" max="14083" width="15.42578125" customWidth="1"/>
    <col min="14084" max="14084" width="13.5703125" customWidth="1"/>
    <col min="14085" max="14085" width="13.85546875" customWidth="1"/>
    <col min="14086" max="14086" width="13.140625" customWidth="1"/>
    <col min="14087" max="14087" width="14.85546875" bestFit="1" customWidth="1"/>
    <col min="14088" max="14088" width="2.7109375" customWidth="1"/>
    <col min="14089" max="14089" width="8.85546875"/>
    <col min="14090" max="14090" width="10.85546875" customWidth="1"/>
    <col min="14091" max="14091" width="7.85546875" customWidth="1"/>
    <col min="14092" max="14092" width="11.28515625" customWidth="1"/>
    <col min="14093" max="14333" width="8.85546875"/>
    <col min="14334" max="14334" width="11.5703125" customWidth="1"/>
    <col min="14335" max="14335" width="17" customWidth="1"/>
    <col min="14336" max="14336" width="8.85546875"/>
    <col min="14337" max="14337" width="2.85546875" customWidth="1"/>
    <col min="14338" max="14338" width="14.140625" customWidth="1"/>
    <col min="14339" max="14339" width="15.42578125" customWidth="1"/>
    <col min="14340" max="14340" width="13.5703125" customWidth="1"/>
    <col min="14341" max="14341" width="13.85546875" customWidth="1"/>
    <col min="14342" max="14342" width="13.140625" customWidth="1"/>
    <col min="14343" max="14343" width="14.85546875" bestFit="1" customWidth="1"/>
    <col min="14344" max="14344" width="2.7109375" customWidth="1"/>
    <col min="14345" max="14345" width="8.85546875"/>
    <col min="14346" max="14346" width="10.85546875" customWidth="1"/>
    <col min="14347" max="14347" width="7.85546875" customWidth="1"/>
    <col min="14348" max="14348" width="11.28515625" customWidth="1"/>
    <col min="14349" max="14589" width="8.85546875"/>
    <col min="14590" max="14590" width="11.5703125" customWidth="1"/>
    <col min="14591" max="14591" width="17" customWidth="1"/>
    <col min="14592" max="14592" width="8.85546875"/>
    <col min="14593" max="14593" width="2.85546875" customWidth="1"/>
    <col min="14594" max="14594" width="14.140625" customWidth="1"/>
    <col min="14595" max="14595" width="15.42578125" customWidth="1"/>
    <col min="14596" max="14596" width="13.5703125" customWidth="1"/>
    <col min="14597" max="14597" width="13.85546875" customWidth="1"/>
    <col min="14598" max="14598" width="13.140625" customWidth="1"/>
    <col min="14599" max="14599" width="14.85546875" bestFit="1" customWidth="1"/>
    <col min="14600" max="14600" width="2.7109375" customWidth="1"/>
    <col min="14601" max="14601" width="8.85546875"/>
    <col min="14602" max="14602" width="10.85546875" customWidth="1"/>
    <col min="14603" max="14603" width="7.85546875" customWidth="1"/>
    <col min="14604" max="14604" width="11.28515625" customWidth="1"/>
    <col min="14605" max="14845" width="8.85546875"/>
    <col min="14846" max="14846" width="11.5703125" customWidth="1"/>
    <col min="14847" max="14847" width="17" customWidth="1"/>
    <col min="14848" max="14848" width="8.85546875"/>
    <col min="14849" max="14849" width="2.85546875" customWidth="1"/>
    <col min="14850" max="14850" width="14.140625" customWidth="1"/>
    <col min="14851" max="14851" width="15.42578125" customWidth="1"/>
    <col min="14852" max="14852" width="13.5703125" customWidth="1"/>
    <col min="14853" max="14853" width="13.85546875" customWidth="1"/>
    <col min="14854" max="14854" width="13.140625" customWidth="1"/>
    <col min="14855" max="14855" width="14.85546875" bestFit="1" customWidth="1"/>
    <col min="14856" max="14856" width="2.7109375" customWidth="1"/>
    <col min="14857" max="14857" width="8.85546875"/>
    <col min="14858" max="14858" width="10.85546875" customWidth="1"/>
    <col min="14859" max="14859" width="7.85546875" customWidth="1"/>
    <col min="14860" max="14860" width="11.28515625" customWidth="1"/>
    <col min="14861" max="15101" width="8.85546875"/>
    <col min="15102" max="15102" width="11.5703125" customWidth="1"/>
    <col min="15103" max="15103" width="17" customWidth="1"/>
    <col min="15104" max="15104" width="8.85546875"/>
    <col min="15105" max="15105" width="2.85546875" customWidth="1"/>
    <col min="15106" max="15106" width="14.140625" customWidth="1"/>
    <col min="15107" max="15107" width="15.42578125" customWidth="1"/>
    <col min="15108" max="15108" width="13.5703125" customWidth="1"/>
    <col min="15109" max="15109" width="13.85546875" customWidth="1"/>
    <col min="15110" max="15110" width="13.140625" customWidth="1"/>
    <col min="15111" max="15111" width="14.85546875" bestFit="1" customWidth="1"/>
    <col min="15112" max="15112" width="2.7109375" customWidth="1"/>
    <col min="15113" max="15113" width="8.85546875"/>
    <col min="15114" max="15114" width="10.85546875" customWidth="1"/>
    <col min="15115" max="15115" width="7.85546875" customWidth="1"/>
    <col min="15116" max="15116" width="11.28515625" customWidth="1"/>
    <col min="15117" max="15357" width="8.85546875"/>
    <col min="15358" max="15358" width="11.5703125" customWidth="1"/>
    <col min="15359" max="15359" width="17" customWidth="1"/>
    <col min="15360" max="15360" width="8.85546875"/>
    <col min="15361" max="15361" width="2.85546875" customWidth="1"/>
    <col min="15362" max="15362" width="14.140625" customWidth="1"/>
    <col min="15363" max="15363" width="15.42578125" customWidth="1"/>
    <col min="15364" max="15364" width="13.5703125" customWidth="1"/>
    <col min="15365" max="15365" width="13.85546875" customWidth="1"/>
    <col min="15366" max="15366" width="13.140625" customWidth="1"/>
    <col min="15367" max="15367" width="14.85546875" bestFit="1" customWidth="1"/>
    <col min="15368" max="15368" width="2.7109375" customWidth="1"/>
    <col min="15369" max="15369" width="8.85546875"/>
    <col min="15370" max="15370" width="10.85546875" customWidth="1"/>
    <col min="15371" max="15371" width="7.85546875" customWidth="1"/>
    <col min="15372" max="15372" width="11.28515625" customWidth="1"/>
    <col min="15373" max="15613" width="8.85546875"/>
    <col min="15614" max="15614" width="11.5703125" customWidth="1"/>
    <col min="15615" max="15615" width="17" customWidth="1"/>
    <col min="15616" max="15616" width="8.85546875"/>
    <col min="15617" max="15617" width="2.85546875" customWidth="1"/>
    <col min="15618" max="15618" width="14.140625" customWidth="1"/>
    <col min="15619" max="15619" width="15.42578125" customWidth="1"/>
    <col min="15620" max="15620" width="13.5703125" customWidth="1"/>
    <col min="15621" max="15621" width="13.85546875" customWidth="1"/>
    <col min="15622" max="15622" width="13.140625" customWidth="1"/>
    <col min="15623" max="15623" width="14.85546875" bestFit="1" customWidth="1"/>
    <col min="15624" max="15624" width="2.7109375" customWidth="1"/>
    <col min="15625" max="15625" width="8.85546875"/>
    <col min="15626" max="15626" width="10.85546875" customWidth="1"/>
    <col min="15627" max="15627" width="7.85546875" customWidth="1"/>
    <col min="15628" max="15628" width="11.28515625" customWidth="1"/>
    <col min="15629" max="15869" width="8.85546875"/>
    <col min="15870" max="15870" width="11.5703125" customWidth="1"/>
    <col min="15871" max="15871" width="17" customWidth="1"/>
    <col min="15872" max="15872" width="8.85546875"/>
    <col min="15873" max="15873" width="2.85546875" customWidth="1"/>
    <col min="15874" max="15874" width="14.140625" customWidth="1"/>
    <col min="15875" max="15875" width="15.42578125" customWidth="1"/>
    <col min="15876" max="15876" width="13.5703125" customWidth="1"/>
    <col min="15877" max="15877" width="13.85546875" customWidth="1"/>
    <col min="15878" max="15878" width="13.140625" customWidth="1"/>
    <col min="15879" max="15879" width="14.85546875" bestFit="1" customWidth="1"/>
    <col min="15880" max="15880" width="2.7109375" customWidth="1"/>
    <col min="15881" max="15881" width="8.85546875"/>
    <col min="15882" max="15882" width="10.85546875" customWidth="1"/>
    <col min="15883" max="15883" width="7.85546875" customWidth="1"/>
    <col min="15884" max="15884" width="11.28515625" customWidth="1"/>
    <col min="15885" max="16125" width="8.85546875"/>
    <col min="16126" max="16126" width="11.5703125" customWidth="1"/>
    <col min="16127" max="16127" width="17" customWidth="1"/>
    <col min="16128" max="16128" width="8.85546875"/>
    <col min="16129" max="16129" width="2.85546875" customWidth="1"/>
    <col min="16130" max="16130" width="14.140625" customWidth="1"/>
    <col min="16131" max="16131" width="15.42578125" customWidth="1"/>
    <col min="16132" max="16132" width="13.5703125" customWidth="1"/>
    <col min="16133" max="16133" width="13.85546875" customWidth="1"/>
    <col min="16134" max="16134" width="13.140625" customWidth="1"/>
    <col min="16135" max="16135" width="14.85546875" bestFit="1" customWidth="1"/>
    <col min="16136" max="16136" width="2.7109375" customWidth="1"/>
    <col min="16137" max="16137" width="8.85546875"/>
    <col min="16138" max="16138" width="10.85546875" customWidth="1"/>
    <col min="16139" max="16139" width="7.85546875" customWidth="1"/>
    <col min="16140" max="16140" width="11.28515625" customWidth="1"/>
    <col min="16141" max="16384" width="8.85546875"/>
  </cols>
  <sheetData>
    <row r="1" spans="2:10" ht="23.25" x14ac:dyDescent="0.35">
      <c r="B1" s="65" t="s">
        <v>26</v>
      </c>
      <c r="C1" s="67"/>
      <c r="D1" s="69"/>
      <c r="E1" s="60"/>
      <c r="F1" s="60"/>
      <c r="G1" s="60"/>
      <c r="H1" s="60"/>
    </row>
    <row r="2" spans="2:10" ht="15" customHeight="1" x14ac:dyDescent="0.3">
      <c r="C2" s="67"/>
      <c r="D2" s="69"/>
      <c r="E2" s="60"/>
      <c r="F2" s="60"/>
      <c r="G2" s="60"/>
      <c r="H2" s="60"/>
    </row>
    <row r="3" spans="2:10" ht="15" customHeight="1" x14ac:dyDescent="0.25">
      <c r="B3" s="5" t="s">
        <v>308</v>
      </c>
      <c r="C3" s="66"/>
      <c r="D3" s="66"/>
      <c r="E3" s="60"/>
      <c r="F3" s="60"/>
      <c r="G3" s="60"/>
      <c r="H3" s="60"/>
    </row>
    <row r="4" spans="2:10" ht="15" customHeight="1" x14ac:dyDescent="0.25">
      <c r="B4" s="447" t="s">
        <v>555</v>
      </c>
      <c r="C4" s="447"/>
      <c r="D4" s="447"/>
      <c r="E4" s="447"/>
      <c r="F4" s="447"/>
      <c r="G4" s="447"/>
      <c r="H4" s="447"/>
      <c r="I4" s="447"/>
    </row>
    <row r="5" spans="2:10" ht="15" customHeight="1" x14ac:dyDescent="0.25">
      <c r="B5" s="447"/>
      <c r="C5" s="447"/>
      <c r="D5" s="447"/>
      <c r="E5" s="447"/>
      <c r="F5" s="447"/>
      <c r="G5" s="447"/>
      <c r="H5" s="447"/>
      <c r="I5" s="447"/>
    </row>
    <row r="6" spans="2:10" ht="15" customHeight="1" x14ac:dyDescent="0.25">
      <c r="B6" s="447"/>
      <c r="C6" s="447"/>
      <c r="D6" s="447"/>
      <c r="E6" s="447"/>
      <c r="F6" s="447"/>
      <c r="G6" s="447"/>
      <c r="H6" s="447"/>
      <c r="I6" s="447"/>
    </row>
    <row r="7" spans="2:10" ht="15" customHeight="1" x14ac:dyDescent="0.25">
      <c r="B7" s="447"/>
      <c r="C7" s="447"/>
      <c r="D7" s="447"/>
      <c r="E7" s="447"/>
      <c r="F7" s="447"/>
      <c r="G7" s="447"/>
      <c r="H7" s="447"/>
      <c r="I7" s="447"/>
    </row>
    <row r="8" spans="2:10" ht="15" customHeight="1" x14ac:dyDescent="0.25">
      <c r="B8" s="447"/>
      <c r="C8" s="447"/>
      <c r="D8" s="447"/>
      <c r="E8" s="447"/>
      <c r="F8" s="447"/>
      <c r="G8" s="447"/>
      <c r="H8" s="447"/>
      <c r="I8" s="447"/>
    </row>
    <row r="9" spans="2:10" ht="15" customHeight="1" x14ac:dyDescent="0.25">
      <c r="B9" s="447"/>
      <c r="C9" s="447"/>
      <c r="D9" s="447"/>
      <c r="E9" s="447"/>
      <c r="F9" s="447"/>
      <c r="G9" s="447"/>
      <c r="H9" s="447"/>
      <c r="I9" s="447"/>
    </row>
    <row r="10" spans="2:10" ht="15" customHeight="1" x14ac:dyDescent="0.25">
      <c r="B10" s="447"/>
      <c r="C10" s="447"/>
      <c r="D10" s="447"/>
      <c r="E10" s="447"/>
      <c r="F10" s="447"/>
      <c r="G10" s="447"/>
      <c r="H10" s="447"/>
      <c r="I10" s="447"/>
    </row>
    <row r="11" spans="2:10" ht="15" customHeight="1" x14ac:dyDescent="0.25">
      <c r="B11" s="447"/>
      <c r="C11" s="447"/>
      <c r="D11" s="447"/>
      <c r="E11" s="447"/>
      <c r="F11" s="447"/>
      <c r="G11" s="447"/>
      <c r="H11" s="447"/>
      <c r="I11" s="447"/>
    </row>
    <row r="12" spans="2:10" ht="15" customHeight="1" x14ac:dyDescent="0.25">
      <c r="B12" s="5" t="s">
        <v>309</v>
      </c>
      <c r="C12" s="66"/>
      <c r="D12" s="66"/>
      <c r="E12" s="60"/>
      <c r="F12" s="60"/>
      <c r="G12" s="60"/>
      <c r="H12" s="60"/>
    </row>
    <row r="13" spans="2:10" ht="15" customHeight="1" x14ac:dyDescent="0.25">
      <c r="B13" s="5"/>
      <c r="C13" s="66"/>
      <c r="D13" s="66"/>
      <c r="E13" s="60"/>
      <c r="F13" s="60"/>
      <c r="G13" s="60"/>
      <c r="H13" s="60"/>
    </row>
    <row r="14" spans="2:10" x14ac:dyDescent="0.25">
      <c r="B14" s="459" t="s">
        <v>12</v>
      </c>
      <c r="C14" s="460"/>
      <c r="D14" s="460"/>
      <c r="E14" s="461"/>
      <c r="F14" s="14">
        <v>2013</v>
      </c>
      <c r="G14" s="329">
        <v>45291</v>
      </c>
      <c r="H14" s="329">
        <v>45657</v>
      </c>
      <c r="I14" s="329">
        <v>45838</v>
      </c>
      <c r="J14" s="10"/>
    </row>
    <row r="15" spans="2:10" x14ac:dyDescent="0.25">
      <c r="B15" s="12"/>
      <c r="C15" s="13"/>
      <c r="D15" s="13"/>
      <c r="E15" s="13"/>
      <c r="F15" s="41"/>
      <c r="G15" s="41"/>
      <c r="H15" s="41"/>
      <c r="I15" s="105"/>
      <c r="J15" s="36"/>
    </row>
    <row r="16" spans="2:10" x14ac:dyDescent="0.25">
      <c r="B16" s="108" t="s">
        <v>176</v>
      </c>
      <c r="F16" s="185">
        <f>+'Balans &amp; Res.rek'!F123</f>
        <v>0</v>
      </c>
      <c r="G16" s="185">
        <f>+'Balans &amp; Res.rek'!G123</f>
        <v>0</v>
      </c>
      <c r="H16" s="185">
        <f>+'Balans &amp; Res.rek'!H123</f>
        <v>120948.95</v>
      </c>
      <c r="I16" s="185">
        <f>+'Balans &amp; Res.rek'!I123</f>
        <v>63871.450000000012</v>
      </c>
      <c r="J16" s="297"/>
    </row>
    <row r="17" spans="2:10" x14ac:dyDescent="0.25">
      <c r="B17" s="94"/>
      <c r="F17" s="195"/>
      <c r="G17" s="195"/>
      <c r="H17" s="195"/>
      <c r="I17" s="195"/>
      <c r="J17" s="297"/>
    </row>
    <row r="18" spans="2:10" x14ac:dyDescent="0.25">
      <c r="B18" s="318" t="s">
        <v>310</v>
      </c>
      <c r="C18" s="314"/>
      <c r="D18" s="314"/>
      <c r="E18" s="314"/>
      <c r="F18" s="317">
        <v>0</v>
      </c>
      <c r="G18" s="317">
        <v>0</v>
      </c>
      <c r="H18" s="317">
        <v>0</v>
      </c>
      <c r="I18" s="317">
        <v>63871</v>
      </c>
      <c r="J18" s="297"/>
    </row>
    <row r="19" spans="2:10" x14ac:dyDescent="0.25">
      <c r="B19" s="94"/>
      <c r="F19" s="195"/>
      <c r="G19" s="195"/>
      <c r="H19" s="195"/>
      <c r="I19" s="195"/>
      <c r="J19" s="297"/>
    </row>
    <row r="20" spans="2:10" x14ac:dyDescent="0.25">
      <c r="B20" s="108" t="s">
        <v>176</v>
      </c>
      <c r="F20" s="185">
        <f>+F16+F18</f>
        <v>0</v>
      </c>
      <c r="G20" s="185">
        <f>+G16+G18</f>
        <v>0</v>
      </c>
      <c r="H20" s="185">
        <f>+H16+H18</f>
        <v>120948.95</v>
      </c>
      <c r="I20" s="185">
        <f>+I16+I18</f>
        <v>127742.45000000001</v>
      </c>
      <c r="J20" s="297"/>
    </row>
    <row r="21" spans="2:10" x14ac:dyDescent="0.25">
      <c r="B21" s="108"/>
      <c r="F21" s="185"/>
      <c r="G21" s="185"/>
      <c r="H21" s="185"/>
      <c r="I21" s="185"/>
      <c r="J21" s="297"/>
    </row>
    <row r="22" spans="2:10" x14ac:dyDescent="0.25">
      <c r="B22" s="141" t="s">
        <v>311</v>
      </c>
      <c r="F22" s="195">
        <v>0</v>
      </c>
      <c r="G22" s="195">
        <f>+'Balans &amp; Res.rek'!G108</f>
        <v>0</v>
      </c>
      <c r="H22" s="195">
        <f>+'Balans &amp; Res.rek'!H108</f>
        <v>1855.3</v>
      </c>
      <c r="I22" s="195">
        <f>+'Balans &amp; Res.rek'!I108</f>
        <v>0.01</v>
      </c>
      <c r="J22" s="297"/>
    </row>
    <row r="23" spans="2:10" x14ac:dyDescent="0.25">
      <c r="B23" s="108"/>
      <c r="F23" s="195"/>
      <c r="G23" s="195"/>
      <c r="H23" s="195"/>
      <c r="I23" s="195"/>
      <c r="J23" s="297"/>
    </row>
    <row r="24" spans="2:10" x14ac:dyDescent="0.25">
      <c r="B24" s="141" t="s">
        <v>312</v>
      </c>
      <c r="F24" s="195">
        <f>+'Balans &amp; Res.rek'!F109</f>
        <v>0</v>
      </c>
      <c r="G24" s="195">
        <f>+'Balans &amp; Res.rek'!G109</f>
        <v>0</v>
      </c>
      <c r="H24" s="195">
        <f>+'Balans &amp; Res.rek'!H109</f>
        <v>0</v>
      </c>
      <c r="I24" s="195">
        <f>+'Balans &amp; Res.rek'!I109</f>
        <v>0</v>
      </c>
      <c r="J24" s="297"/>
    </row>
    <row r="25" spans="2:10" x14ac:dyDescent="0.25">
      <c r="B25" s="108"/>
      <c r="F25" s="195"/>
      <c r="G25" s="195"/>
      <c r="H25" s="195"/>
      <c r="I25" s="195"/>
      <c r="J25" s="297"/>
    </row>
    <row r="26" spans="2:10" x14ac:dyDescent="0.25">
      <c r="B26" s="141" t="s">
        <v>313</v>
      </c>
      <c r="F26" s="195">
        <f>+'Balans &amp; Res.rek'!F110</f>
        <v>0</v>
      </c>
      <c r="G26" s="195">
        <f>+'Balans &amp; Res.rek'!G110</f>
        <v>0</v>
      </c>
      <c r="H26" s="195">
        <f>+'Balans &amp; Res.rek'!H110</f>
        <v>0</v>
      </c>
      <c r="I26" s="195">
        <f>+'Balans &amp; Res.rek'!I110</f>
        <v>0</v>
      </c>
      <c r="J26" s="297"/>
    </row>
    <row r="27" spans="2:10" x14ac:dyDescent="0.25">
      <c r="B27" s="108"/>
      <c r="F27" s="195"/>
      <c r="G27" s="195"/>
      <c r="H27" s="195"/>
      <c r="I27" s="195"/>
      <c r="J27" s="297"/>
    </row>
    <row r="28" spans="2:10" x14ac:dyDescent="0.25">
      <c r="B28" s="141" t="s">
        <v>314</v>
      </c>
      <c r="F28" s="195">
        <f>+'Balans &amp; Res.rek'!F113</f>
        <v>0</v>
      </c>
      <c r="G28" s="195">
        <f>+'Balans &amp; Res.rek'!G113</f>
        <v>0</v>
      </c>
      <c r="H28" s="195">
        <f>+'Balans &amp; Res.rek'!H113</f>
        <v>17157.990000000002</v>
      </c>
      <c r="I28" s="195">
        <f>H28*0.95</f>
        <v>16300.0905</v>
      </c>
      <c r="J28" s="297"/>
    </row>
    <row r="29" spans="2:10" x14ac:dyDescent="0.25">
      <c r="B29" s="108"/>
      <c r="F29" s="195"/>
      <c r="G29" s="195"/>
      <c r="H29" s="195"/>
      <c r="I29" s="195"/>
      <c r="J29" s="297"/>
    </row>
    <row r="30" spans="2:10" x14ac:dyDescent="0.25">
      <c r="B30" s="141" t="s">
        <v>315</v>
      </c>
      <c r="F30" s="195">
        <v>0</v>
      </c>
      <c r="G30" s="195">
        <v>0</v>
      </c>
      <c r="H30" s="195">
        <v>0</v>
      </c>
      <c r="I30" s="195">
        <v>0</v>
      </c>
      <c r="J30" s="297"/>
    </row>
    <row r="31" spans="2:10" x14ac:dyDescent="0.25">
      <c r="B31" s="108"/>
      <c r="F31" s="195"/>
      <c r="G31" s="195"/>
      <c r="H31" s="195"/>
      <c r="I31" s="195"/>
      <c r="J31" s="297"/>
    </row>
    <row r="32" spans="2:10" x14ac:dyDescent="0.25">
      <c r="B32" s="141" t="s">
        <v>316</v>
      </c>
      <c r="F32" s="195">
        <f>+'Balans &amp; Res.rek'!F115</f>
        <v>0</v>
      </c>
      <c r="G32" s="195">
        <f>+'Balans &amp; Res.rek'!G115</f>
        <v>0</v>
      </c>
      <c r="H32" s="195">
        <f>+'Balans &amp; Res.rek'!H115</f>
        <v>0</v>
      </c>
      <c r="I32" s="195">
        <f>+'Balans &amp; Res.rek'!I115</f>
        <v>0</v>
      </c>
      <c r="J32" s="297"/>
    </row>
    <row r="33" spans="2:10" x14ac:dyDescent="0.25">
      <c r="B33" s="108"/>
      <c r="F33" s="195"/>
      <c r="G33" s="195"/>
      <c r="H33" s="195"/>
      <c r="I33" s="195"/>
      <c r="J33" s="297"/>
    </row>
    <row r="34" spans="2:10" x14ac:dyDescent="0.25">
      <c r="B34" s="141" t="s">
        <v>317</v>
      </c>
      <c r="F34" s="195">
        <f>+F20-F24-F26+F28+F32</f>
        <v>0</v>
      </c>
      <c r="G34" s="195">
        <f>+G20-G24-G26+G28+G32</f>
        <v>0</v>
      </c>
      <c r="H34" s="195">
        <f>+H20-H24-H26+H28+H32</f>
        <v>138106.94</v>
      </c>
      <c r="I34" s="195">
        <f>+I20-I24-I26+I28+I32</f>
        <v>144042.5405</v>
      </c>
      <c r="J34" s="297"/>
    </row>
    <row r="35" spans="2:10" x14ac:dyDescent="0.25">
      <c r="B35" s="108"/>
      <c r="F35" s="195"/>
      <c r="G35" s="195"/>
      <c r="H35" s="195"/>
      <c r="I35" s="195"/>
      <c r="J35" s="297"/>
    </row>
    <row r="36" spans="2:10" x14ac:dyDescent="0.25">
      <c r="B36" s="141" t="s">
        <v>318</v>
      </c>
      <c r="F36" s="195">
        <f>+'Balans &amp; Res.rek'!F98</f>
        <v>0</v>
      </c>
      <c r="G36" s="195">
        <f>+'Balans &amp; Res.rek'!G98</f>
        <v>0</v>
      </c>
      <c r="H36" s="195">
        <f>+'Balans &amp; Res.rek'!H98</f>
        <v>14506.83</v>
      </c>
      <c r="I36" s="195">
        <f>+'Balans &amp; Res.rek'!I98*2</f>
        <v>46587.68</v>
      </c>
      <c r="J36" s="297"/>
    </row>
    <row r="37" spans="2:10" x14ac:dyDescent="0.25">
      <c r="B37" s="108"/>
      <c r="F37" s="195"/>
      <c r="G37" s="195"/>
      <c r="H37" s="195"/>
      <c r="I37" s="195"/>
      <c r="J37" s="297"/>
    </row>
    <row r="38" spans="2:10" x14ac:dyDescent="0.25">
      <c r="B38" s="141" t="s">
        <v>319</v>
      </c>
      <c r="F38" s="195">
        <f>+'Balans &amp; Res.rek'!F99</f>
        <v>0</v>
      </c>
      <c r="G38" s="195">
        <f>+'Balans &amp; Res.rek'!G99</f>
        <v>0</v>
      </c>
      <c r="H38" s="195">
        <f>+'Balans &amp; Res.rek'!H99</f>
        <v>0</v>
      </c>
      <c r="I38" s="195">
        <f>+'Balans &amp; Res.rek'!I99</f>
        <v>0</v>
      </c>
      <c r="J38" s="298"/>
    </row>
    <row r="39" spans="2:10" x14ac:dyDescent="0.25">
      <c r="B39" s="108"/>
      <c r="F39" s="195"/>
      <c r="G39" s="195"/>
      <c r="H39" s="195"/>
      <c r="I39" s="195"/>
      <c r="J39" s="299" t="s">
        <v>320</v>
      </c>
    </row>
    <row r="40" spans="2:10" x14ac:dyDescent="0.25">
      <c r="B40" s="149" t="s">
        <v>26</v>
      </c>
      <c r="C40" s="13"/>
      <c r="D40" s="13"/>
      <c r="E40" s="13"/>
      <c r="F40" s="187">
        <f>+F34+F36</f>
        <v>0</v>
      </c>
      <c r="G40" s="187">
        <f>+G34+G36</f>
        <v>0</v>
      </c>
      <c r="H40" s="187">
        <f>+H34+H36</f>
        <v>152613.76999999999</v>
      </c>
      <c r="I40" s="187">
        <f>+I34+I36</f>
        <v>190630.2205</v>
      </c>
      <c r="J40" s="300">
        <f>SUM(F40:I40)</f>
        <v>343243.99049999996</v>
      </c>
    </row>
    <row r="41" spans="2:10" x14ac:dyDescent="0.25">
      <c r="B41" s="108" t="s">
        <v>321</v>
      </c>
      <c r="E41" s="23"/>
      <c r="F41" s="56">
        <v>0</v>
      </c>
      <c r="G41" s="56">
        <v>0</v>
      </c>
      <c r="H41" s="56">
        <v>0.5</v>
      </c>
      <c r="I41" s="56">
        <v>0.5</v>
      </c>
      <c r="J41" s="153">
        <f>SUM(F41:I41)</f>
        <v>1</v>
      </c>
    </row>
    <row r="42" spans="2:10" x14ac:dyDescent="0.25">
      <c r="B42" s="150" t="s">
        <v>322</v>
      </c>
      <c r="C42" s="18"/>
      <c r="D42" s="18"/>
      <c r="E42" s="21"/>
      <c r="F42" s="197">
        <f>+F40*F41</f>
        <v>0</v>
      </c>
      <c r="G42" s="197">
        <f>+G40*G41</f>
        <v>0</v>
      </c>
      <c r="H42" s="197">
        <f>+H40*H41</f>
        <v>76306.884999999995</v>
      </c>
      <c r="I42" s="197">
        <f>+I40*I41</f>
        <v>95315.110249999998</v>
      </c>
      <c r="J42" s="206">
        <f>SUM(F42:I42)</f>
        <v>171621.99524999998</v>
      </c>
    </row>
    <row r="43" spans="2:10" x14ac:dyDescent="0.25">
      <c r="B43" s="145"/>
      <c r="F43" s="146"/>
      <c r="G43" s="146"/>
      <c r="H43" s="146"/>
      <c r="I43" s="146"/>
      <c r="J43" s="37"/>
    </row>
    <row r="44" spans="2:10" x14ac:dyDescent="0.25">
      <c r="B44" s="12"/>
      <c r="C44" s="143" t="s">
        <v>323</v>
      </c>
      <c r="D44" s="13"/>
      <c r="E44" s="392">
        <f>+J42</f>
        <v>171621.99524999998</v>
      </c>
      <c r="F44" s="144"/>
      <c r="G44" s="144"/>
      <c r="H44" s="144"/>
      <c r="I44" s="124" t="s">
        <v>324</v>
      </c>
      <c r="J44" s="154">
        <v>7.7</v>
      </c>
    </row>
    <row r="45" spans="2:10" x14ac:dyDescent="0.25">
      <c r="B45" s="108"/>
      <c r="E45" s="58" t="s">
        <v>325</v>
      </c>
      <c r="F45" s="33"/>
      <c r="G45" s="33"/>
      <c r="H45" s="33"/>
      <c r="I45" s="33"/>
      <c r="J45" s="30"/>
    </row>
    <row r="46" spans="2:10" x14ac:dyDescent="0.25">
      <c r="B46" s="10"/>
      <c r="E46" s="433">
        <v>7.7</v>
      </c>
      <c r="G46" s="147" t="s">
        <v>590</v>
      </c>
      <c r="H46" s="33"/>
      <c r="I46" s="33"/>
      <c r="J46" s="30"/>
    </row>
    <row r="47" spans="2:10" x14ac:dyDescent="0.25">
      <c r="B47" s="108"/>
      <c r="E47" s="301">
        <f>+E44*J44</f>
        <v>1321489.3634249999</v>
      </c>
      <c r="F47" s="33"/>
      <c r="G47" s="33"/>
      <c r="H47" s="33"/>
      <c r="I47" s="33"/>
      <c r="J47" s="30"/>
    </row>
    <row r="48" spans="2:10" x14ac:dyDescent="0.25">
      <c r="B48" s="108"/>
      <c r="C48" s="157" t="s">
        <v>326</v>
      </c>
      <c r="E48" s="54">
        <f>-'Balans &amp; Res.rek'!I66</f>
        <v>-950625</v>
      </c>
      <c r="F48" s="147"/>
      <c r="G48" s="147"/>
      <c r="H48" s="147"/>
      <c r="I48" s="147"/>
      <c r="J48" s="30"/>
    </row>
    <row r="49" spans="2:10" x14ac:dyDescent="0.25">
      <c r="B49" s="108"/>
      <c r="C49" s="157" t="s">
        <v>327</v>
      </c>
      <c r="E49" s="54">
        <f>-'Balans &amp; Res.rek'!I72</f>
        <v>-27910.46</v>
      </c>
      <c r="F49" s="33"/>
      <c r="G49" s="147"/>
      <c r="H49" s="33"/>
      <c r="I49" s="33"/>
      <c r="J49" s="30"/>
    </row>
    <row r="50" spans="2:10" x14ac:dyDescent="0.25">
      <c r="B50" s="10"/>
      <c r="C50" s="157" t="s">
        <v>328</v>
      </c>
      <c r="E50" s="199">
        <f>+'Balans &amp; Res.rek'!I35</f>
        <v>8844.27</v>
      </c>
      <c r="F50" s="146"/>
      <c r="G50" s="147"/>
      <c r="H50" s="146"/>
      <c r="I50" s="146"/>
      <c r="J50" s="30"/>
    </row>
    <row r="51" spans="2:10" x14ac:dyDescent="0.25">
      <c r="B51" s="10"/>
      <c r="C51" s="157" t="s">
        <v>554</v>
      </c>
      <c r="E51" s="54">
        <f>'Projectie vastgoed'!G10</f>
        <v>1652224.9963915041</v>
      </c>
      <c r="F51" s="33"/>
      <c r="G51" s="33" t="s">
        <v>553</v>
      </c>
      <c r="I51" s="33"/>
      <c r="J51" s="30"/>
    </row>
    <row r="52" spans="2:10" x14ac:dyDescent="0.25">
      <c r="B52" s="10"/>
      <c r="C52" s="157"/>
      <c r="E52" s="155"/>
      <c r="F52" s="33"/>
      <c r="G52" s="33"/>
      <c r="H52" s="33"/>
      <c r="I52" s="33"/>
      <c r="J52" s="30"/>
    </row>
    <row r="53" spans="2:10" x14ac:dyDescent="0.25">
      <c r="B53" s="10"/>
      <c r="C53" s="439" t="s">
        <v>330</v>
      </c>
      <c r="D53" s="4"/>
      <c r="E53" s="440">
        <f>SUM(E47:E51)</f>
        <v>2004023.169816504</v>
      </c>
      <c r="F53" s="33"/>
      <c r="G53" s="33"/>
      <c r="H53" s="33"/>
      <c r="I53" s="33"/>
      <c r="J53" s="30"/>
    </row>
    <row r="54" spans="2:10" x14ac:dyDescent="0.25">
      <c r="B54" s="17"/>
      <c r="C54" s="18"/>
      <c r="D54" s="18"/>
      <c r="E54" s="18"/>
      <c r="F54" s="18"/>
      <c r="G54" s="18"/>
      <c r="H54" s="18"/>
      <c r="I54" s="18"/>
      <c r="J54" s="21"/>
    </row>
    <row r="56" spans="2:10" x14ac:dyDescent="0.25">
      <c r="J56" s="273"/>
    </row>
    <row r="57" spans="2:10" x14ac:dyDescent="0.25">
      <c r="E57" s="199"/>
      <c r="G57" s="199"/>
      <c r="H57" s="435"/>
    </row>
    <row r="58" spans="2:10" x14ac:dyDescent="0.25">
      <c r="E58" s="199"/>
      <c r="G58" s="199"/>
      <c r="H58" s="435"/>
    </row>
    <row r="60" spans="2:10" x14ac:dyDescent="0.25">
      <c r="G60" s="199"/>
    </row>
  </sheetData>
  <mergeCells count="2">
    <mergeCell ref="B14:E14"/>
    <mergeCell ref="B4:I11"/>
  </mergeCells>
  <pageMargins left="0.70866141732283472" right="0.70866141732283472" top="0.74803149606299213" bottom="0.74803149606299213" header="0.31496062992125984" footer="0.31496062992125984"/>
  <pageSetup paperSize="9" scale="82" firstPageNumber="23" fitToHeight="0" orientation="portrait" useFirstPageNumber="1" r:id="rId1"/>
  <headerFooter>
    <oddHeader>&amp;LSisu BV&amp;CWaardering
&amp;R&amp;D</oddHead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B1:N124"/>
  <sheetViews>
    <sheetView showGridLines="0" view="pageLayout" zoomScaleNormal="100" workbookViewId="0">
      <selection activeCell="G14" sqref="G14"/>
    </sheetView>
  </sheetViews>
  <sheetFormatPr defaultRowHeight="15" x14ac:dyDescent="0.25"/>
  <cols>
    <col min="2" max="2" width="8.5703125" customWidth="1"/>
    <col min="3" max="3" width="12.5703125" customWidth="1"/>
    <col min="4" max="4" width="16.140625" customWidth="1"/>
    <col min="5" max="5" width="20.28515625" customWidth="1"/>
    <col min="6" max="6" width="14.28515625" bestFit="1" customWidth="1"/>
    <col min="7" max="7" width="12.85546875" bestFit="1" customWidth="1"/>
    <col min="8" max="8" width="11.28515625" bestFit="1" customWidth="1"/>
    <col min="9" max="9" width="13.5703125" customWidth="1"/>
    <col min="10" max="11" width="6.42578125" customWidth="1"/>
    <col min="12" max="12" width="15.140625" customWidth="1"/>
    <col min="13" max="13" width="12.140625" customWidth="1"/>
    <col min="255" max="255" width="11.5703125" customWidth="1"/>
    <col min="256" max="256" width="17" customWidth="1"/>
    <col min="258" max="258" width="2.85546875" customWidth="1"/>
    <col min="259" max="259" width="14.140625" customWidth="1"/>
    <col min="260" max="260" width="15.42578125" customWidth="1"/>
    <col min="261" max="261" width="13.5703125" customWidth="1"/>
    <col min="262" max="262" width="13.85546875" customWidth="1"/>
    <col min="263" max="263" width="13.140625" customWidth="1"/>
    <col min="264" max="264" width="14.85546875" bestFit="1" customWidth="1"/>
    <col min="265" max="265" width="2.7109375" customWidth="1"/>
    <col min="267" max="267" width="10.85546875" customWidth="1"/>
    <col min="268" max="268" width="7.85546875" customWidth="1"/>
    <col min="269" max="269" width="11.28515625" customWidth="1"/>
    <col min="511" max="511" width="11.5703125" customWidth="1"/>
    <col min="512" max="512" width="17" customWidth="1"/>
    <col min="514" max="514" width="2.85546875" customWidth="1"/>
    <col min="515" max="515" width="14.140625" customWidth="1"/>
    <col min="516" max="516" width="15.42578125" customWidth="1"/>
    <col min="517" max="517" width="13.5703125" customWidth="1"/>
    <col min="518" max="518" width="13.85546875" customWidth="1"/>
    <col min="519" max="519" width="13.140625" customWidth="1"/>
    <col min="520" max="520" width="14.85546875" bestFit="1" customWidth="1"/>
    <col min="521" max="521" width="2.7109375" customWidth="1"/>
    <col min="523" max="523" width="10.85546875" customWidth="1"/>
    <col min="524" max="524" width="7.85546875" customWidth="1"/>
    <col min="525" max="525" width="11.28515625" customWidth="1"/>
    <col min="767" max="767" width="11.5703125" customWidth="1"/>
    <col min="768" max="768" width="17" customWidth="1"/>
    <col min="770" max="770" width="2.85546875" customWidth="1"/>
    <col min="771" max="771" width="14.140625" customWidth="1"/>
    <col min="772" max="772" width="15.42578125" customWidth="1"/>
    <col min="773" max="773" width="13.5703125" customWidth="1"/>
    <col min="774" max="774" width="13.85546875" customWidth="1"/>
    <col min="775" max="775" width="13.140625" customWidth="1"/>
    <col min="776" max="776" width="14.85546875" bestFit="1" customWidth="1"/>
    <col min="777" max="777" width="2.7109375" customWidth="1"/>
    <col min="779" max="779" width="10.85546875" customWidth="1"/>
    <col min="780" max="780" width="7.85546875" customWidth="1"/>
    <col min="781" max="781" width="11.28515625" customWidth="1"/>
    <col min="1023" max="1023" width="11.5703125" customWidth="1"/>
    <col min="1024" max="1024" width="17" customWidth="1"/>
    <col min="1026" max="1026" width="2.85546875" customWidth="1"/>
    <col min="1027" max="1027" width="14.140625" customWidth="1"/>
    <col min="1028" max="1028" width="15.42578125" customWidth="1"/>
    <col min="1029" max="1029" width="13.5703125" customWidth="1"/>
    <col min="1030" max="1030" width="13.85546875" customWidth="1"/>
    <col min="1031" max="1031" width="13.140625" customWidth="1"/>
    <col min="1032" max="1032" width="14.85546875" bestFit="1" customWidth="1"/>
    <col min="1033" max="1033" width="2.7109375" customWidth="1"/>
    <col min="1035" max="1035" width="10.85546875" customWidth="1"/>
    <col min="1036" max="1036" width="7.85546875" customWidth="1"/>
    <col min="1037" max="1037" width="11.28515625" customWidth="1"/>
    <col min="1279" max="1279" width="11.5703125" customWidth="1"/>
    <col min="1280" max="1280" width="17" customWidth="1"/>
    <col min="1282" max="1282" width="2.85546875" customWidth="1"/>
    <col min="1283" max="1283" width="14.140625" customWidth="1"/>
    <col min="1284" max="1284" width="15.42578125" customWidth="1"/>
    <col min="1285" max="1285" width="13.5703125" customWidth="1"/>
    <col min="1286" max="1286" width="13.85546875" customWidth="1"/>
    <col min="1287" max="1287" width="13.140625" customWidth="1"/>
    <col min="1288" max="1288" width="14.85546875" bestFit="1" customWidth="1"/>
    <col min="1289" max="1289" width="2.7109375" customWidth="1"/>
    <col min="1291" max="1291" width="10.85546875" customWidth="1"/>
    <col min="1292" max="1292" width="7.85546875" customWidth="1"/>
    <col min="1293" max="1293" width="11.28515625" customWidth="1"/>
    <col min="1535" max="1535" width="11.5703125" customWidth="1"/>
    <col min="1536" max="1536" width="17" customWidth="1"/>
    <col min="1538" max="1538" width="2.85546875" customWidth="1"/>
    <col min="1539" max="1539" width="14.140625" customWidth="1"/>
    <col min="1540" max="1540" width="15.42578125" customWidth="1"/>
    <col min="1541" max="1541" width="13.5703125" customWidth="1"/>
    <col min="1542" max="1542" width="13.85546875" customWidth="1"/>
    <col min="1543" max="1543" width="13.140625" customWidth="1"/>
    <col min="1544" max="1544" width="14.85546875" bestFit="1" customWidth="1"/>
    <col min="1545" max="1545" width="2.7109375" customWidth="1"/>
    <col min="1547" max="1547" width="10.85546875" customWidth="1"/>
    <col min="1548" max="1548" width="7.85546875" customWidth="1"/>
    <col min="1549" max="1549" width="11.28515625" customWidth="1"/>
    <col min="1791" max="1791" width="11.5703125" customWidth="1"/>
    <col min="1792" max="1792" width="17" customWidth="1"/>
    <col min="1794" max="1794" width="2.85546875" customWidth="1"/>
    <col min="1795" max="1795" width="14.140625" customWidth="1"/>
    <col min="1796" max="1796" width="15.42578125" customWidth="1"/>
    <col min="1797" max="1797" width="13.5703125" customWidth="1"/>
    <col min="1798" max="1798" width="13.85546875" customWidth="1"/>
    <col min="1799" max="1799" width="13.140625" customWidth="1"/>
    <col min="1800" max="1800" width="14.85546875" bestFit="1" customWidth="1"/>
    <col min="1801" max="1801" width="2.7109375" customWidth="1"/>
    <col min="1803" max="1803" width="10.85546875" customWidth="1"/>
    <col min="1804" max="1804" width="7.85546875" customWidth="1"/>
    <col min="1805" max="1805" width="11.28515625" customWidth="1"/>
    <col min="2047" max="2047" width="11.5703125" customWidth="1"/>
    <col min="2048" max="2048" width="17" customWidth="1"/>
    <col min="2050" max="2050" width="2.85546875" customWidth="1"/>
    <col min="2051" max="2051" width="14.140625" customWidth="1"/>
    <col min="2052" max="2052" width="15.42578125" customWidth="1"/>
    <col min="2053" max="2053" width="13.5703125" customWidth="1"/>
    <col min="2054" max="2054" width="13.85546875" customWidth="1"/>
    <col min="2055" max="2055" width="13.140625" customWidth="1"/>
    <col min="2056" max="2056" width="14.85546875" bestFit="1" customWidth="1"/>
    <col min="2057" max="2057" width="2.7109375" customWidth="1"/>
    <col min="2059" max="2059" width="10.85546875" customWidth="1"/>
    <col min="2060" max="2060" width="7.85546875" customWidth="1"/>
    <col min="2061" max="2061" width="11.28515625" customWidth="1"/>
    <col min="2303" max="2303" width="11.5703125" customWidth="1"/>
    <col min="2304" max="2304" width="17" customWidth="1"/>
    <col min="2306" max="2306" width="2.85546875" customWidth="1"/>
    <col min="2307" max="2307" width="14.140625" customWidth="1"/>
    <col min="2308" max="2308" width="15.42578125" customWidth="1"/>
    <col min="2309" max="2309" width="13.5703125" customWidth="1"/>
    <col min="2310" max="2310" width="13.85546875" customWidth="1"/>
    <col min="2311" max="2311" width="13.140625" customWidth="1"/>
    <col min="2312" max="2312" width="14.85546875" bestFit="1" customWidth="1"/>
    <col min="2313" max="2313" width="2.7109375" customWidth="1"/>
    <col min="2315" max="2315" width="10.85546875" customWidth="1"/>
    <col min="2316" max="2316" width="7.85546875" customWidth="1"/>
    <col min="2317" max="2317" width="11.28515625" customWidth="1"/>
    <col min="2559" max="2559" width="11.5703125" customWidth="1"/>
    <col min="2560" max="2560" width="17" customWidth="1"/>
    <col min="2562" max="2562" width="2.85546875" customWidth="1"/>
    <col min="2563" max="2563" width="14.140625" customWidth="1"/>
    <col min="2564" max="2564" width="15.42578125" customWidth="1"/>
    <col min="2565" max="2565" width="13.5703125" customWidth="1"/>
    <col min="2566" max="2566" width="13.85546875" customWidth="1"/>
    <col min="2567" max="2567" width="13.140625" customWidth="1"/>
    <col min="2568" max="2568" width="14.85546875" bestFit="1" customWidth="1"/>
    <col min="2569" max="2569" width="2.7109375" customWidth="1"/>
    <col min="2571" max="2571" width="10.85546875" customWidth="1"/>
    <col min="2572" max="2572" width="7.85546875" customWidth="1"/>
    <col min="2573" max="2573" width="11.28515625" customWidth="1"/>
    <col min="2815" max="2815" width="11.5703125" customWidth="1"/>
    <col min="2816" max="2816" width="17" customWidth="1"/>
    <col min="2818" max="2818" width="2.85546875" customWidth="1"/>
    <col min="2819" max="2819" width="14.140625" customWidth="1"/>
    <col min="2820" max="2820" width="15.42578125" customWidth="1"/>
    <col min="2821" max="2821" width="13.5703125" customWidth="1"/>
    <col min="2822" max="2822" width="13.85546875" customWidth="1"/>
    <col min="2823" max="2823" width="13.140625" customWidth="1"/>
    <col min="2824" max="2824" width="14.85546875" bestFit="1" customWidth="1"/>
    <col min="2825" max="2825" width="2.7109375" customWidth="1"/>
    <col min="2827" max="2827" width="10.85546875" customWidth="1"/>
    <col min="2828" max="2828" width="7.85546875" customWidth="1"/>
    <col min="2829" max="2829" width="11.28515625" customWidth="1"/>
    <col min="3071" max="3071" width="11.5703125" customWidth="1"/>
    <col min="3072" max="3072" width="17" customWidth="1"/>
    <col min="3074" max="3074" width="2.85546875" customWidth="1"/>
    <col min="3075" max="3075" width="14.140625" customWidth="1"/>
    <col min="3076" max="3076" width="15.42578125" customWidth="1"/>
    <col min="3077" max="3077" width="13.5703125" customWidth="1"/>
    <col min="3078" max="3078" width="13.85546875" customWidth="1"/>
    <col min="3079" max="3079" width="13.140625" customWidth="1"/>
    <col min="3080" max="3080" width="14.85546875" bestFit="1" customWidth="1"/>
    <col min="3081" max="3081" width="2.7109375" customWidth="1"/>
    <col min="3083" max="3083" width="10.85546875" customWidth="1"/>
    <col min="3084" max="3084" width="7.85546875" customWidth="1"/>
    <col min="3085" max="3085" width="11.28515625" customWidth="1"/>
    <col min="3327" max="3327" width="11.5703125" customWidth="1"/>
    <col min="3328" max="3328" width="17" customWidth="1"/>
    <col min="3330" max="3330" width="2.85546875" customWidth="1"/>
    <col min="3331" max="3331" width="14.140625" customWidth="1"/>
    <col min="3332" max="3332" width="15.42578125" customWidth="1"/>
    <col min="3333" max="3333" width="13.5703125" customWidth="1"/>
    <col min="3334" max="3334" width="13.85546875" customWidth="1"/>
    <col min="3335" max="3335" width="13.140625" customWidth="1"/>
    <col min="3336" max="3336" width="14.85546875" bestFit="1" customWidth="1"/>
    <col min="3337" max="3337" width="2.7109375" customWidth="1"/>
    <col min="3339" max="3339" width="10.85546875" customWidth="1"/>
    <col min="3340" max="3340" width="7.85546875" customWidth="1"/>
    <col min="3341" max="3341" width="11.28515625" customWidth="1"/>
    <col min="3583" max="3583" width="11.5703125" customWidth="1"/>
    <col min="3584" max="3584" width="17" customWidth="1"/>
    <col min="3586" max="3586" width="2.85546875" customWidth="1"/>
    <col min="3587" max="3587" width="14.140625" customWidth="1"/>
    <col min="3588" max="3588" width="15.42578125" customWidth="1"/>
    <col min="3589" max="3589" width="13.5703125" customWidth="1"/>
    <col min="3590" max="3590" width="13.85546875" customWidth="1"/>
    <col min="3591" max="3591" width="13.140625" customWidth="1"/>
    <col min="3592" max="3592" width="14.85546875" bestFit="1" customWidth="1"/>
    <col min="3593" max="3593" width="2.7109375" customWidth="1"/>
    <col min="3595" max="3595" width="10.85546875" customWidth="1"/>
    <col min="3596" max="3596" width="7.85546875" customWidth="1"/>
    <col min="3597" max="3597" width="11.28515625" customWidth="1"/>
    <col min="3839" max="3839" width="11.5703125" customWidth="1"/>
    <col min="3840" max="3840" width="17" customWidth="1"/>
    <col min="3842" max="3842" width="2.85546875" customWidth="1"/>
    <col min="3843" max="3843" width="14.140625" customWidth="1"/>
    <col min="3844" max="3844" width="15.42578125" customWidth="1"/>
    <col min="3845" max="3845" width="13.5703125" customWidth="1"/>
    <col min="3846" max="3846" width="13.85546875" customWidth="1"/>
    <col min="3847" max="3847" width="13.140625" customWidth="1"/>
    <col min="3848" max="3848" width="14.85546875" bestFit="1" customWidth="1"/>
    <col min="3849" max="3849" width="2.7109375" customWidth="1"/>
    <col min="3851" max="3851" width="10.85546875" customWidth="1"/>
    <col min="3852" max="3852" width="7.85546875" customWidth="1"/>
    <col min="3853" max="3853" width="11.28515625" customWidth="1"/>
    <col min="4095" max="4095" width="11.5703125" customWidth="1"/>
    <col min="4096" max="4096" width="17" customWidth="1"/>
    <col min="4098" max="4098" width="2.85546875" customWidth="1"/>
    <col min="4099" max="4099" width="14.140625" customWidth="1"/>
    <col min="4100" max="4100" width="15.42578125" customWidth="1"/>
    <col min="4101" max="4101" width="13.5703125" customWidth="1"/>
    <col min="4102" max="4102" width="13.85546875" customWidth="1"/>
    <col min="4103" max="4103" width="13.140625" customWidth="1"/>
    <col min="4104" max="4104" width="14.85546875" bestFit="1" customWidth="1"/>
    <col min="4105" max="4105" width="2.7109375" customWidth="1"/>
    <col min="4107" max="4107" width="10.85546875" customWidth="1"/>
    <col min="4108" max="4108" width="7.85546875" customWidth="1"/>
    <col min="4109" max="4109" width="11.28515625" customWidth="1"/>
    <col min="4351" max="4351" width="11.5703125" customWidth="1"/>
    <col min="4352" max="4352" width="17" customWidth="1"/>
    <col min="4354" max="4354" width="2.85546875" customWidth="1"/>
    <col min="4355" max="4355" width="14.140625" customWidth="1"/>
    <col min="4356" max="4356" width="15.42578125" customWidth="1"/>
    <col min="4357" max="4357" width="13.5703125" customWidth="1"/>
    <col min="4358" max="4358" width="13.85546875" customWidth="1"/>
    <col min="4359" max="4359" width="13.140625" customWidth="1"/>
    <col min="4360" max="4360" width="14.85546875" bestFit="1" customWidth="1"/>
    <col min="4361" max="4361" width="2.7109375" customWidth="1"/>
    <col min="4363" max="4363" width="10.85546875" customWidth="1"/>
    <col min="4364" max="4364" width="7.85546875" customWidth="1"/>
    <col min="4365" max="4365" width="11.28515625" customWidth="1"/>
    <col min="4607" max="4607" width="11.5703125" customWidth="1"/>
    <col min="4608" max="4608" width="17" customWidth="1"/>
    <col min="4610" max="4610" width="2.85546875" customWidth="1"/>
    <col min="4611" max="4611" width="14.140625" customWidth="1"/>
    <col min="4612" max="4612" width="15.42578125" customWidth="1"/>
    <col min="4613" max="4613" width="13.5703125" customWidth="1"/>
    <col min="4614" max="4614" width="13.85546875" customWidth="1"/>
    <col min="4615" max="4615" width="13.140625" customWidth="1"/>
    <col min="4616" max="4616" width="14.85546875" bestFit="1" customWidth="1"/>
    <col min="4617" max="4617" width="2.7109375" customWidth="1"/>
    <col min="4619" max="4619" width="10.85546875" customWidth="1"/>
    <col min="4620" max="4620" width="7.85546875" customWidth="1"/>
    <col min="4621" max="4621" width="11.28515625" customWidth="1"/>
    <col min="4863" max="4863" width="11.5703125" customWidth="1"/>
    <col min="4864" max="4864" width="17" customWidth="1"/>
    <col min="4866" max="4866" width="2.85546875" customWidth="1"/>
    <col min="4867" max="4867" width="14.140625" customWidth="1"/>
    <col min="4868" max="4868" width="15.42578125" customWidth="1"/>
    <col min="4869" max="4869" width="13.5703125" customWidth="1"/>
    <col min="4870" max="4870" width="13.85546875" customWidth="1"/>
    <col min="4871" max="4871" width="13.140625" customWidth="1"/>
    <col min="4872" max="4872" width="14.85546875" bestFit="1" customWidth="1"/>
    <col min="4873" max="4873" width="2.7109375" customWidth="1"/>
    <col min="4875" max="4875" width="10.85546875" customWidth="1"/>
    <col min="4876" max="4876" width="7.85546875" customWidth="1"/>
    <col min="4877" max="4877" width="11.28515625" customWidth="1"/>
    <col min="5119" max="5119" width="11.5703125" customWidth="1"/>
    <col min="5120" max="5120" width="17" customWidth="1"/>
    <col min="5122" max="5122" width="2.85546875" customWidth="1"/>
    <col min="5123" max="5123" width="14.140625" customWidth="1"/>
    <col min="5124" max="5124" width="15.42578125" customWidth="1"/>
    <col min="5125" max="5125" width="13.5703125" customWidth="1"/>
    <col min="5126" max="5126" width="13.85546875" customWidth="1"/>
    <col min="5127" max="5127" width="13.140625" customWidth="1"/>
    <col min="5128" max="5128" width="14.85546875" bestFit="1" customWidth="1"/>
    <col min="5129" max="5129" width="2.7109375" customWidth="1"/>
    <col min="5131" max="5131" width="10.85546875" customWidth="1"/>
    <col min="5132" max="5132" width="7.85546875" customWidth="1"/>
    <col min="5133" max="5133" width="11.28515625" customWidth="1"/>
    <col min="5375" max="5375" width="11.5703125" customWidth="1"/>
    <col min="5376" max="5376" width="17" customWidth="1"/>
    <col min="5378" max="5378" width="2.85546875" customWidth="1"/>
    <col min="5379" max="5379" width="14.140625" customWidth="1"/>
    <col min="5380" max="5380" width="15.42578125" customWidth="1"/>
    <col min="5381" max="5381" width="13.5703125" customWidth="1"/>
    <col min="5382" max="5382" width="13.85546875" customWidth="1"/>
    <col min="5383" max="5383" width="13.140625" customWidth="1"/>
    <col min="5384" max="5384" width="14.85546875" bestFit="1" customWidth="1"/>
    <col min="5385" max="5385" width="2.7109375" customWidth="1"/>
    <col min="5387" max="5387" width="10.85546875" customWidth="1"/>
    <col min="5388" max="5388" width="7.85546875" customWidth="1"/>
    <col min="5389" max="5389" width="11.28515625" customWidth="1"/>
    <col min="5631" max="5631" width="11.5703125" customWidth="1"/>
    <col min="5632" max="5632" width="17" customWidth="1"/>
    <col min="5634" max="5634" width="2.85546875" customWidth="1"/>
    <col min="5635" max="5635" width="14.140625" customWidth="1"/>
    <col min="5636" max="5636" width="15.42578125" customWidth="1"/>
    <col min="5637" max="5637" width="13.5703125" customWidth="1"/>
    <col min="5638" max="5638" width="13.85546875" customWidth="1"/>
    <col min="5639" max="5639" width="13.140625" customWidth="1"/>
    <col min="5640" max="5640" width="14.85546875" bestFit="1" customWidth="1"/>
    <col min="5641" max="5641" width="2.7109375" customWidth="1"/>
    <col min="5643" max="5643" width="10.85546875" customWidth="1"/>
    <col min="5644" max="5644" width="7.85546875" customWidth="1"/>
    <col min="5645" max="5645" width="11.28515625" customWidth="1"/>
    <col min="5887" max="5887" width="11.5703125" customWidth="1"/>
    <col min="5888" max="5888" width="17" customWidth="1"/>
    <col min="5890" max="5890" width="2.85546875" customWidth="1"/>
    <col min="5891" max="5891" width="14.140625" customWidth="1"/>
    <col min="5892" max="5892" width="15.42578125" customWidth="1"/>
    <col min="5893" max="5893" width="13.5703125" customWidth="1"/>
    <col min="5894" max="5894" width="13.85546875" customWidth="1"/>
    <col min="5895" max="5895" width="13.140625" customWidth="1"/>
    <col min="5896" max="5896" width="14.85546875" bestFit="1" customWidth="1"/>
    <col min="5897" max="5897" width="2.7109375" customWidth="1"/>
    <col min="5899" max="5899" width="10.85546875" customWidth="1"/>
    <col min="5900" max="5900" width="7.85546875" customWidth="1"/>
    <col min="5901" max="5901" width="11.28515625" customWidth="1"/>
    <col min="6143" max="6143" width="11.5703125" customWidth="1"/>
    <col min="6144" max="6144" width="17" customWidth="1"/>
    <col min="6146" max="6146" width="2.85546875" customWidth="1"/>
    <col min="6147" max="6147" width="14.140625" customWidth="1"/>
    <col min="6148" max="6148" width="15.42578125" customWidth="1"/>
    <col min="6149" max="6149" width="13.5703125" customWidth="1"/>
    <col min="6150" max="6150" width="13.85546875" customWidth="1"/>
    <col min="6151" max="6151" width="13.140625" customWidth="1"/>
    <col min="6152" max="6152" width="14.85546875" bestFit="1" customWidth="1"/>
    <col min="6153" max="6153" width="2.7109375" customWidth="1"/>
    <col min="6155" max="6155" width="10.85546875" customWidth="1"/>
    <col min="6156" max="6156" width="7.85546875" customWidth="1"/>
    <col min="6157" max="6157" width="11.28515625" customWidth="1"/>
    <col min="6399" max="6399" width="11.5703125" customWidth="1"/>
    <col min="6400" max="6400" width="17" customWidth="1"/>
    <col min="6402" max="6402" width="2.85546875" customWidth="1"/>
    <col min="6403" max="6403" width="14.140625" customWidth="1"/>
    <col min="6404" max="6404" width="15.42578125" customWidth="1"/>
    <col min="6405" max="6405" width="13.5703125" customWidth="1"/>
    <col min="6406" max="6406" width="13.85546875" customWidth="1"/>
    <col min="6407" max="6407" width="13.140625" customWidth="1"/>
    <col min="6408" max="6408" width="14.85546875" bestFit="1" customWidth="1"/>
    <col min="6409" max="6409" width="2.7109375" customWidth="1"/>
    <col min="6411" max="6411" width="10.85546875" customWidth="1"/>
    <col min="6412" max="6412" width="7.85546875" customWidth="1"/>
    <col min="6413" max="6413" width="11.28515625" customWidth="1"/>
    <col min="6655" max="6655" width="11.5703125" customWidth="1"/>
    <col min="6656" max="6656" width="17" customWidth="1"/>
    <col min="6658" max="6658" width="2.85546875" customWidth="1"/>
    <col min="6659" max="6659" width="14.140625" customWidth="1"/>
    <col min="6660" max="6660" width="15.42578125" customWidth="1"/>
    <col min="6661" max="6661" width="13.5703125" customWidth="1"/>
    <col min="6662" max="6662" width="13.85546875" customWidth="1"/>
    <col min="6663" max="6663" width="13.140625" customWidth="1"/>
    <col min="6664" max="6664" width="14.85546875" bestFit="1" customWidth="1"/>
    <col min="6665" max="6665" width="2.7109375" customWidth="1"/>
    <col min="6667" max="6667" width="10.85546875" customWidth="1"/>
    <col min="6668" max="6668" width="7.85546875" customWidth="1"/>
    <col min="6669" max="6669" width="11.28515625" customWidth="1"/>
    <col min="6911" max="6911" width="11.5703125" customWidth="1"/>
    <col min="6912" max="6912" width="17" customWidth="1"/>
    <col min="6914" max="6914" width="2.85546875" customWidth="1"/>
    <col min="6915" max="6915" width="14.140625" customWidth="1"/>
    <col min="6916" max="6916" width="15.42578125" customWidth="1"/>
    <col min="6917" max="6917" width="13.5703125" customWidth="1"/>
    <col min="6918" max="6918" width="13.85546875" customWidth="1"/>
    <col min="6919" max="6919" width="13.140625" customWidth="1"/>
    <col min="6920" max="6920" width="14.85546875" bestFit="1" customWidth="1"/>
    <col min="6921" max="6921" width="2.7109375" customWidth="1"/>
    <col min="6923" max="6923" width="10.85546875" customWidth="1"/>
    <col min="6924" max="6924" width="7.85546875" customWidth="1"/>
    <col min="6925" max="6925" width="11.28515625" customWidth="1"/>
    <col min="7167" max="7167" width="11.5703125" customWidth="1"/>
    <col min="7168" max="7168" width="17" customWidth="1"/>
    <col min="7170" max="7170" width="2.85546875" customWidth="1"/>
    <col min="7171" max="7171" width="14.140625" customWidth="1"/>
    <col min="7172" max="7172" width="15.42578125" customWidth="1"/>
    <col min="7173" max="7173" width="13.5703125" customWidth="1"/>
    <col min="7174" max="7174" width="13.85546875" customWidth="1"/>
    <col min="7175" max="7175" width="13.140625" customWidth="1"/>
    <col min="7176" max="7176" width="14.85546875" bestFit="1" customWidth="1"/>
    <col min="7177" max="7177" width="2.7109375" customWidth="1"/>
    <col min="7179" max="7179" width="10.85546875" customWidth="1"/>
    <col min="7180" max="7180" width="7.85546875" customWidth="1"/>
    <col min="7181" max="7181" width="11.28515625" customWidth="1"/>
    <col min="7423" max="7423" width="11.5703125" customWidth="1"/>
    <col min="7424" max="7424" width="17" customWidth="1"/>
    <col min="7426" max="7426" width="2.85546875" customWidth="1"/>
    <col min="7427" max="7427" width="14.140625" customWidth="1"/>
    <col min="7428" max="7428" width="15.42578125" customWidth="1"/>
    <col min="7429" max="7429" width="13.5703125" customWidth="1"/>
    <col min="7430" max="7430" width="13.85546875" customWidth="1"/>
    <col min="7431" max="7431" width="13.140625" customWidth="1"/>
    <col min="7432" max="7432" width="14.85546875" bestFit="1" customWidth="1"/>
    <col min="7433" max="7433" width="2.7109375" customWidth="1"/>
    <col min="7435" max="7435" width="10.85546875" customWidth="1"/>
    <col min="7436" max="7436" width="7.85546875" customWidth="1"/>
    <col min="7437" max="7437" width="11.28515625" customWidth="1"/>
    <col min="7679" max="7679" width="11.5703125" customWidth="1"/>
    <col min="7680" max="7680" width="17" customWidth="1"/>
    <col min="7682" max="7682" width="2.85546875" customWidth="1"/>
    <col min="7683" max="7683" width="14.140625" customWidth="1"/>
    <col min="7684" max="7684" width="15.42578125" customWidth="1"/>
    <col min="7685" max="7685" width="13.5703125" customWidth="1"/>
    <col min="7686" max="7686" width="13.85546875" customWidth="1"/>
    <col min="7687" max="7687" width="13.140625" customWidth="1"/>
    <col min="7688" max="7688" width="14.85546875" bestFit="1" customWidth="1"/>
    <col min="7689" max="7689" width="2.7109375" customWidth="1"/>
    <col min="7691" max="7691" width="10.85546875" customWidth="1"/>
    <col min="7692" max="7692" width="7.85546875" customWidth="1"/>
    <col min="7693" max="7693" width="11.28515625" customWidth="1"/>
    <col min="7935" max="7935" width="11.5703125" customWidth="1"/>
    <col min="7936" max="7936" width="17" customWidth="1"/>
    <col min="7938" max="7938" width="2.85546875" customWidth="1"/>
    <col min="7939" max="7939" width="14.140625" customWidth="1"/>
    <col min="7940" max="7940" width="15.42578125" customWidth="1"/>
    <col min="7941" max="7941" width="13.5703125" customWidth="1"/>
    <col min="7942" max="7942" width="13.85546875" customWidth="1"/>
    <col min="7943" max="7943" width="13.140625" customWidth="1"/>
    <col min="7944" max="7944" width="14.85546875" bestFit="1" customWidth="1"/>
    <col min="7945" max="7945" width="2.7109375" customWidth="1"/>
    <col min="7947" max="7947" width="10.85546875" customWidth="1"/>
    <col min="7948" max="7948" width="7.85546875" customWidth="1"/>
    <col min="7949" max="7949" width="11.28515625" customWidth="1"/>
    <col min="8191" max="8191" width="11.5703125" customWidth="1"/>
    <col min="8192" max="8192" width="17" customWidth="1"/>
    <col min="8194" max="8194" width="2.85546875" customWidth="1"/>
    <col min="8195" max="8195" width="14.140625" customWidth="1"/>
    <col min="8196" max="8196" width="15.42578125" customWidth="1"/>
    <col min="8197" max="8197" width="13.5703125" customWidth="1"/>
    <col min="8198" max="8198" width="13.85546875" customWidth="1"/>
    <col min="8199" max="8199" width="13.140625" customWidth="1"/>
    <col min="8200" max="8200" width="14.85546875" bestFit="1" customWidth="1"/>
    <col min="8201" max="8201" width="2.7109375" customWidth="1"/>
    <col min="8203" max="8203" width="10.85546875" customWidth="1"/>
    <col min="8204" max="8204" width="7.85546875" customWidth="1"/>
    <col min="8205" max="8205" width="11.28515625" customWidth="1"/>
    <col min="8447" max="8447" width="11.5703125" customWidth="1"/>
    <col min="8448" max="8448" width="17" customWidth="1"/>
    <col min="8450" max="8450" width="2.85546875" customWidth="1"/>
    <col min="8451" max="8451" width="14.140625" customWidth="1"/>
    <col min="8452" max="8452" width="15.42578125" customWidth="1"/>
    <col min="8453" max="8453" width="13.5703125" customWidth="1"/>
    <col min="8454" max="8454" width="13.85546875" customWidth="1"/>
    <col min="8455" max="8455" width="13.140625" customWidth="1"/>
    <col min="8456" max="8456" width="14.85546875" bestFit="1" customWidth="1"/>
    <col min="8457" max="8457" width="2.7109375" customWidth="1"/>
    <col min="8459" max="8459" width="10.85546875" customWidth="1"/>
    <col min="8460" max="8460" width="7.85546875" customWidth="1"/>
    <col min="8461" max="8461" width="11.28515625" customWidth="1"/>
    <col min="8703" max="8703" width="11.5703125" customWidth="1"/>
    <col min="8704" max="8704" width="17" customWidth="1"/>
    <col min="8706" max="8706" width="2.85546875" customWidth="1"/>
    <col min="8707" max="8707" width="14.140625" customWidth="1"/>
    <col min="8708" max="8708" width="15.42578125" customWidth="1"/>
    <col min="8709" max="8709" width="13.5703125" customWidth="1"/>
    <col min="8710" max="8710" width="13.85546875" customWidth="1"/>
    <col min="8711" max="8711" width="13.140625" customWidth="1"/>
    <col min="8712" max="8712" width="14.85546875" bestFit="1" customWidth="1"/>
    <col min="8713" max="8713" width="2.7109375" customWidth="1"/>
    <col min="8715" max="8715" width="10.85546875" customWidth="1"/>
    <col min="8716" max="8716" width="7.85546875" customWidth="1"/>
    <col min="8717" max="8717" width="11.28515625" customWidth="1"/>
    <col min="8959" max="8959" width="11.5703125" customWidth="1"/>
    <col min="8960" max="8960" width="17" customWidth="1"/>
    <col min="8962" max="8962" width="2.85546875" customWidth="1"/>
    <col min="8963" max="8963" width="14.140625" customWidth="1"/>
    <col min="8964" max="8964" width="15.42578125" customWidth="1"/>
    <col min="8965" max="8965" width="13.5703125" customWidth="1"/>
    <col min="8966" max="8966" width="13.85546875" customWidth="1"/>
    <col min="8967" max="8967" width="13.140625" customWidth="1"/>
    <col min="8968" max="8968" width="14.85546875" bestFit="1" customWidth="1"/>
    <col min="8969" max="8969" width="2.7109375" customWidth="1"/>
    <col min="8971" max="8971" width="10.85546875" customWidth="1"/>
    <col min="8972" max="8972" width="7.85546875" customWidth="1"/>
    <col min="8973" max="8973" width="11.28515625" customWidth="1"/>
    <col min="9215" max="9215" width="11.5703125" customWidth="1"/>
    <col min="9216" max="9216" width="17" customWidth="1"/>
    <col min="9218" max="9218" width="2.85546875" customWidth="1"/>
    <col min="9219" max="9219" width="14.140625" customWidth="1"/>
    <col min="9220" max="9220" width="15.42578125" customWidth="1"/>
    <col min="9221" max="9221" width="13.5703125" customWidth="1"/>
    <col min="9222" max="9222" width="13.85546875" customWidth="1"/>
    <col min="9223" max="9223" width="13.140625" customWidth="1"/>
    <col min="9224" max="9224" width="14.85546875" bestFit="1" customWidth="1"/>
    <col min="9225" max="9225" width="2.7109375" customWidth="1"/>
    <col min="9227" max="9227" width="10.85546875" customWidth="1"/>
    <col min="9228" max="9228" width="7.85546875" customWidth="1"/>
    <col min="9229" max="9229" width="11.28515625" customWidth="1"/>
    <col min="9471" max="9471" width="11.5703125" customWidth="1"/>
    <col min="9472" max="9472" width="17" customWidth="1"/>
    <col min="9474" max="9474" width="2.85546875" customWidth="1"/>
    <col min="9475" max="9475" width="14.140625" customWidth="1"/>
    <col min="9476" max="9476" width="15.42578125" customWidth="1"/>
    <col min="9477" max="9477" width="13.5703125" customWidth="1"/>
    <col min="9478" max="9478" width="13.85546875" customWidth="1"/>
    <col min="9479" max="9479" width="13.140625" customWidth="1"/>
    <col min="9480" max="9480" width="14.85546875" bestFit="1" customWidth="1"/>
    <col min="9481" max="9481" width="2.7109375" customWidth="1"/>
    <col min="9483" max="9483" width="10.85546875" customWidth="1"/>
    <col min="9484" max="9484" width="7.85546875" customWidth="1"/>
    <col min="9485" max="9485" width="11.28515625" customWidth="1"/>
    <col min="9727" max="9727" width="11.5703125" customWidth="1"/>
    <col min="9728" max="9728" width="17" customWidth="1"/>
    <col min="9730" max="9730" width="2.85546875" customWidth="1"/>
    <col min="9731" max="9731" width="14.140625" customWidth="1"/>
    <col min="9732" max="9732" width="15.42578125" customWidth="1"/>
    <col min="9733" max="9733" width="13.5703125" customWidth="1"/>
    <col min="9734" max="9734" width="13.85546875" customWidth="1"/>
    <col min="9735" max="9735" width="13.140625" customWidth="1"/>
    <col min="9736" max="9736" width="14.85546875" bestFit="1" customWidth="1"/>
    <col min="9737" max="9737" width="2.7109375" customWidth="1"/>
    <col min="9739" max="9739" width="10.85546875" customWidth="1"/>
    <col min="9740" max="9740" width="7.85546875" customWidth="1"/>
    <col min="9741" max="9741" width="11.28515625" customWidth="1"/>
    <col min="9983" max="9983" width="11.5703125" customWidth="1"/>
    <col min="9984" max="9984" width="17" customWidth="1"/>
    <col min="9986" max="9986" width="2.85546875" customWidth="1"/>
    <col min="9987" max="9987" width="14.140625" customWidth="1"/>
    <col min="9988" max="9988" width="15.42578125" customWidth="1"/>
    <col min="9989" max="9989" width="13.5703125" customWidth="1"/>
    <col min="9990" max="9990" width="13.85546875" customWidth="1"/>
    <col min="9991" max="9991" width="13.140625" customWidth="1"/>
    <col min="9992" max="9992" width="14.85546875" bestFit="1" customWidth="1"/>
    <col min="9993" max="9993" width="2.7109375" customWidth="1"/>
    <col min="9995" max="9995" width="10.85546875" customWidth="1"/>
    <col min="9996" max="9996" width="7.85546875" customWidth="1"/>
    <col min="9997" max="9997" width="11.28515625" customWidth="1"/>
    <col min="10239" max="10239" width="11.5703125" customWidth="1"/>
    <col min="10240" max="10240" width="17" customWidth="1"/>
    <col min="10242" max="10242" width="2.85546875" customWidth="1"/>
    <col min="10243" max="10243" width="14.140625" customWidth="1"/>
    <col min="10244" max="10244" width="15.42578125" customWidth="1"/>
    <col min="10245" max="10245" width="13.5703125" customWidth="1"/>
    <col min="10246" max="10246" width="13.85546875" customWidth="1"/>
    <col min="10247" max="10247" width="13.140625" customWidth="1"/>
    <col min="10248" max="10248" width="14.85546875" bestFit="1" customWidth="1"/>
    <col min="10249" max="10249" width="2.7109375" customWidth="1"/>
    <col min="10251" max="10251" width="10.85546875" customWidth="1"/>
    <col min="10252" max="10252" width="7.85546875" customWidth="1"/>
    <col min="10253" max="10253" width="11.28515625" customWidth="1"/>
    <col min="10495" max="10495" width="11.5703125" customWidth="1"/>
    <col min="10496" max="10496" width="17" customWidth="1"/>
    <col min="10498" max="10498" width="2.85546875" customWidth="1"/>
    <col min="10499" max="10499" width="14.140625" customWidth="1"/>
    <col min="10500" max="10500" width="15.42578125" customWidth="1"/>
    <col min="10501" max="10501" width="13.5703125" customWidth="1"/>
    <col min="10502" max="10502" width="13.85546875" customWidth="1"/>
    <col min="10503" max="10503" width="13.140625" customWidth="1"/>
    <col min="10504" max="10504" width="14.85546875" bestFit="1" customWidth="1"/>
    <col min="10505" max="10505" width="2.7109375" customWidth="1"/>
    <col min="10507" max="10507" width="10.85546875" customWidth="1"/>
    <col min="10508" max="10508" width="7.85546875" customWidth="1"/>
    <col min="10509" max="10509" width="11.28515625" customWidth="1"/>
    <col min="10751" max="10751" width="11.5703125" customWidth="1"/>
    <col min="10752" max="10752" width="17" customWidth="1"/>
    <col min="10754" max="10754" width="2.85546875" customWidth="1"/>
    <col min="10755" max="10755" width="14.140625" customWidth="1"/>
    <col min="10756" max="10756" width="15.42578125" customWidth="1"/>
    <col min="10757" max="10757" width="13.5703125" customWidth="1"/>
    <col min="10758" max="10758" width="13.85546875" customWidth="1"/>
    <col min="10759" max="10759" width="13.140625" customWidth="1"/>
    <col min="10760" max="10760" width="14.85546875" bestFit="1" customWidth="1"/>
    <col min="10761" max="10761" width="2.7109375" customWidth="1"/>
    <col min="10763" max="10763" width="10.85546875" customWidth="1"/>
    <col min="10764" max="10764" width="7.85546875" customWidth="1"/>
    <col min="10765" max="10765" width="11.28515625" customWidth="1"/>
    <col min="11007" max="11007" width="11.5703125" customWidth="1"/>
    <col min="11008" max="11008" width="17" customWidth="1"/>
    <col min="11010" max="11010" width="2.85546875" customWidth="1"/>
    <col min="11011" max="11011" width="14.140625" customWidth="1"/>
    <col min="11012" max="11012" width="15.42578125" customWidth="1"/>
    <col min="11013" max="11013" width="13.5703125" customWidth="1"/>
    <col min="11014" max="11014" width="13.85546875" customWidth="1"/>
    <col min="11015" max="11015" width="13.140625" customWidth="1"/>
    <col min="11016" max="11016" width="14.85546875" bestFit="1" customWidth="1"/>
    <col min="11017" max="11017" width="2.7109375" customWidth="1"/>
    <col min="11019" max="11019" width="10.85546875" customWidth="1"/>
    <col min="11020" max="11020" width="7.85546875" customWidth="1"/>
    <col min="11021" max="11021" width="11.28515625" customWidth="1"/>
    <col min="11263" max="11263" width="11.5703125" customWidth="1"/>
    <col min="11264" max="11264" width="17" customWidth="1"/>
    <col min="11266" max="11266" width="2.85546875" customWidth="1"/>
    <col min="11267" max="11267" width="14.140625" customWidth="1"/>
    <col min="11268" max="11268" width="15.42578125" customWidth="1"/>
    <col min="11269" max="11269" width="13.5703125" customWidth="1"/>
    <col min="11270" max="11270" width="13.85546875" customWidth="1"/>
    <col min="11271" max="11271" width="13.140625" customWidth="1"/>
    <col min="11272" max="11272" width="14.85546875" bestFit="1" customWidth="1"/>
    <col min="11273" max="11273" width="2.7109375" customWidth="1"/>
    <col min="11275" max="11275" width="10.85546875" customWidth="1"/>
    <col min="11276" max="11276" width="7.85546875" customWidth="1"/>
    <col min="11277" max="11277" width="11.28515625" customWidth="1"/>
    <col min="11519" max="11519" width="11.5703125" customWidth="1"/>
    <col min="11520" max="11520" width="17" customWidth="1"/>
    <col min="11522" max="11522" width="2.85546875" customWidth="1"/>
    <col min="11523" max="11523" width="14.140625" customWidth="1"/>
    <col min="11524" max="11524" width="15.42578125" customWidth="1"/>
    <col min="11525" max="11525" width="13.5703125" customWidth="1"/>
    <col min="11526" max="11526" width="13.85546875" customWidth="1"/>
    <col min="11527" max="11527" width="13.140625" customWidth="1"/>
    <col min="11528" max="11528" width="14.85546875" bestFit="1" customWidth="1"/>
    <col min="11529" max="11529" width="2.7109375" customWidth="1"/>
    <col min="11531" max="11531" width="10.85546875" customWidth="1"/>
    <col min="11532" max="11532" width="7.85546875" customWidth="1"/>
    <col min="11533" max="11533" width="11.28515625" customWidth="1"/>
    <col min="11775" max="11775" width="11.5703125" customWidth="1"/>
    <col min="11776" max="11776" width="17" customWidth="1"/>
    <col min="11778" max="11778" width="2.85546875" customWidth="1"/>
    <col min="11779" max="11779" width="14.140625" customWidth="1"/>
    <col min="11780" max="11780" width="15.42578125" customWidth="1"/>
    <col min="11781" max="11781" width="13.5703125" customWidth="1"/>
    <col min="11782" max="11782" width="13.85546875" customWidth="1"/>
    <col min="11783" max="11783" width="13.140625" customWidth="1"/>
    <col min="11784" max="11784" width="14.85546875" bestFit="1" customWidth="1"/>
    <col min="11785" max="11785" width="2.7109375" customWidth="1"/>
    <col min="11787" max="11787" width="10.85546875" customWidth="1"/>
    <col min="11788" max="11788" width="7.85546875" customWidth="1"/>
    <col min="11789" max="11789" width="11.28515625" customWidth="1"/>
    <col min="12031" max="12031" width="11.5703125" customWidth="1"/>
    <col min="12032" max="12032" width="17" customWidth="1"/>
    <col min="12034" max="12034" width="2.85546875" customWidth="1"/>
    <col min="12035" max="12035" width="14.140625" customWidth="1"/>
    <col min="12036" max="12036" width="15.42578125" customWidth="1"/>
    <col min="12037" max="12037" width="13.5703125" customWidth="1"/>
    <col min="12038" max="12038" width="13.85546875" customWidth="1"/>
    <col min="12039" max="12039" width="13.140625" customWidth="1"/>
    <col min="12040" max="12040" width="14.85546875" bestFit="1" customWidth="1"/>
    <col min="12041" max="12041" width="2.7109375" customWidth="1"/>
    <col min="12043" max="12043" width="10.85546875" customWidth="1"/>
    <col min="12044" max="12044" width="7.85546875" customWidth="1"/>
    <col min="12045" max="12045" width="11.28515625" customWidth="1"/>
    <col min="12287" max="12287" width="11.5703125" customWidth="1"/>
    <col min="12288" max="12288" width="17" customWidth="1"/>
    <col min="12290" max="12290" width="2.85546875" customWidth="1"/>
    <col min="12291" max="12291" width="14.140625" customWidth="1"/>
    <col min="12292" max="12292" width="15.42578125" customWidth="1"/>
    <col min="12293" max="12293" width="13.5703125" customWidth="1"/>
    <col min="12294" max="12294" width="13.85546875" customWidth="1"/>
    <col min="12295" max="12295" width="13.140625" customWidth="1"/>
    <col min="12296" max="12296" width="14.85546875" bestFit="1" customWidth="1"/>
    <col min="12297" max="12297" width="2.7109375" customWidth="1"/>
    <col min="12299" max="12299" width="10.85546875" customWidth="1"/>
    <col min="12300" max="12300" width="7.85546875" customWidth="1"/>
    <col min="12301" max="12301" width="11.28515625" customWidth="1"/>
    <col min="12543" max="12543" width="11.5703125" customWidth="1"/>
    <col min="12544" max="12544" width="17" customWidth="1"/>
    <col min="12546" max="12546" width="2.85546875" customWidth="1"/>
    <col min="12547" max="12547" width="14.140625" customWidth="1"/>
    <col min="12548" max="12548" width="15.42578125" customWidth="1"/>
    <col min="12549" max="12549" width="13.5703125" customWidth="1"/>
    <col min="12550" max="12550" width="13.85546875" customWidth="1"/>
    <col min="12551" max="12551" width="13.140625" customWidth="1"/>
    <col min="12552" max="12552" width="14.85546875" bestFit="1" customWidth="1"/>
    <col min="12553" max="12553" width="2.7109375" customWidth="1"/>
    <col min="12555" max="12555" width="10.85546875" customWidth="1"/>
    <col min="12556" max="12556" width="7.85546875" customWidth="1"/>
    <col min="12557" max="12557" width="11.28515625" customWidth="1"/>
    <col min="12799" max="12799" width="11.5703125" customWidth="1"/>
    <col min="12800" max="12800" width="17" customWidth="1"/>
    <col min="12802" max="12802" width="2.85546875" customWidth="1"/>
    <col min="12803" max="12803" width="14.140625" customWidth="1"/>
    <col min="12804" max="12804" width="15.42578125" customWidth="1"/>
    <col min="12805" max="12805" width="13.5703125" customWidth="1"/>
    <col min="12806" max="12806" width="13.85546875" customWidth="1"/>
    <col min="12807" max="12807" width="13.140625" customWidth="1"/>
    <col min="12808" max="12808" width="14.85546875" bestFit="1" customWidth="1"/>
    <col min="12809" max="12809" width="2.7109375" customWidth="1"/>
    <col min="12811" max="12811" width="10.85546875" customWidth="1"/>
    <col min="12812" max="12812" width="7.85546875" customWidth="1"/>
    <col min="12813" max="12813" width="11.28515625" customWidth="1"/>
    <col min="13055" max="13055" width="11.5703125" customWidth="1"/>
    <col min="13056" max="13056" width="17" customWidth="1"/>
    <col min="13058" max="13058" width="2.85546875" customWidth="1"/>
    <col min="13059" max="13059" width="14.140625" customWidth="1"/>
    <col min="13060" max="13060" width="15.42578125" customWidth="1"/>
    <col min="13061" max="13061" width="13.5703125" customWidth="1"/>
    <col min="13062" max="13062" width="13.85546875" customWidth="1"/>
    <col min="13063" max="13063" width="13.140625" customWidth="1"/>
    <col min="13064" max="13064" width="14.85546875" bestFit="1" customWidth="1"/>
    <col min="13065" max="13065" width="2.7109375" customWidth="1"/>
    <col min="13067" max="13067" width="10.85546875" customWidth="1"/>
    <col min="13068" max="13068" width="7.85546875" customWidth="1"/>
    <col min="13069" max="13069" width="11.28515625" customWidth="1"/>
    <col min="13311" max="13311" width="11.5703125" customWidth="1"/>
    <col min="13312" max="13312" width="17" customWidth="1"/>
    <col min="13314" max="13314" width="2.85546875" customWidth="1"/>
    <col min="13315" max="13315" width="14.140625" customWidth="1"/>
    <col min="13316" max="13316" width="15.42578125" customWidth="1"/>
    <col min="13317" max="13317" width="13.5703125" customWidth="1"/>
    <col min="13318" max="13318" width="13.85546875" customWidth="1"/>
    <col min="13319" max="13319" width="13.140625" customWidth="1"/>
    <col min="13320" max="13320" width="14.85546875" bestFit="1" customWidth="1"/>
    <col min="13321" max="13321" width="2.7109375" customWidth="1"/>
    <col min="13323" max="13323" width="10.85546875" customWidth="1"/>
    <col min="13324" max="13324" width="7.85546875" customWidth="1"/>
    <col min="13325" max="13325" width="11.28515625" customWidth="1"/>
    <col min="13567" max="13567" width="11.5703125" customWidth="1"/>
    <col min="13568" max="13568" width="17" customWidth="1"/>
    <col min="13570" max="13570" width="2.85546875" customWidth="1"/>
    <col min="13571" max="13571" width="14.140625" customWidth="1"/>
    <col min="13572" max="13572" width="15.42578125" customWidth="1"/>
    <col min="13573" max="13573" width="13.5703125" customWidth="1"/>
    <col min="13574" max="13574" width="13.85546875" customWidth="1"/>
    <col min="13575" max="13575" width="13.140625" customWidth="1"/>
    <col min="13576" max="13576" width="14.85546875" bestFit="1" customWidth="1"/>
    <col min="13577" max="13577" width="2.7109375" customWidth="1"/>
    <col min="13579" max="13579" width="10.85546875" customWidth="1"/>
    <col min="13580" max="13580" width="7.85546875" customWidth="1"/>
    <col min="13581" max="13581" width="11.28515625" customWidth="1"/>
    <col min="13823" max="13823" width="11.5703125" customWidth="1"/>
    <col min="13824" max="13824" width="17" customWidth="1"/>
    <col min="13826" max="13826" width="2.85546875" customWidth="1"/>
    <col min="13827" max="13827" width="14.140625" customWidth="1"/>
    <col min="13828" max="13828" width="15.42578125" customWidth="1"/>
    <col min="13829" max="13829" width="13.5703125" customWidth="1"/>
    <col min="13830" max="13830" width="13.85546875" customWidth="1"/>
    <col min="13831" max="13831" width="13.140625" customWidth="1"/>
    <col min="13832" max="13832" width="14.85546875" bestFit="1" customWidth="1"/>
    <col min="13833" max="13833" width="2.7109375" customWidth="1"/>
    <col min="13835" max="13835" width="10.85546875" customWidth="1"/>
    <col min="13836" max="13836" width="7.85546875" customWidth="1"/>
    <col min="13837" max="13837" width="11.28515625" customWidth="1"/>
    <col min="14079" max="14079" width="11.5703125" customWidth="1"/>
    <col min="14080" max="14080" width="17" customWidth="1"/>
    <col min="14082" max="14082" width="2.85546875" customWidth="1"/>
    <col min="14083" max="14083" width="14.140625" customWidth="1"/>
    <col min="14084" max="14084" width="15.42578125" customWidth="1"/>
    <col min="14085" max="14085" width="13.5703125" customWidth="1"/>
    <col min="14086" max="14086" width="13.85546875" customWidth="1"/>
    <col min="14087" max="14087" width="13.140625" customWidth="1"/>
    <col min="14088" max="14088" width="14.85546875" bestFit="1" customWidth="1"/>
    <col min="14089" max="14089" width="2.7109375" customWidth="1"/>
    <col min="14091" max="14091" width="10.85546875" customWidth="1"/>
    <col min="14092" max="14092" width="7.85546875" customWidth="1"/>
    <col min="14093" max="14093" width="11.28515625" customWidth="1"/>
    <col min="14335" max="14335" width="11.5703125" customWidth="1"/>
    <col min="14336" max="14336" width="17" customWidth="1"/>
    <col min="14338" max="14338" width="2.85546875" customWidth="1"/>
    <col min="14339" max="14339" width="14.140625" customWidth="1"/>
    <col min="14340" max="14340" width="15.42578125" customWidth="1"/>
    <col min="14341" max="14341" width="13.5703125" customWidth="1"/>
    <col min="14342" max="14342" width="13.85546875" customWidth="1"/>
    <col min="14343" max="14343" width="13.140625" customWidth="1"/>
    <col min="14344" max="14344" width="14.85546875" bestFit="1" customWidth="1"/>
    <col min="14345" max="14345" width="2.7109375" customWidth="1"/>
    <col min="14347" max="14347" width="10.85546875" customWidth="1"/>
    <col min="14348" max="14348" width="7.85546875" customWidth="1"/>
    <col min="14349" max="14349" width="11.28515625" customWidth="1"/>
    <col min="14591" max="14591" width="11.5703125" customWidth="1"/>
    <col min="14592" max="14592" width="17" customWidth="1"/>
    <col min="14594" max="14594" width="2.85546875" customWidth="1"/>
    <col min="14595" max="14595" width="14.140625" customWidth="1"/>
    <col min="14596" max="14596" width="15.42578125" customWidth="1"/>
    <col min="14597" max="14597" width="13.5703125" customWidth="1"/>
    <col min="14598" max="14598" width="13.85546875" customWidth="1"/>
    <col min="14599" max="14599" width="13.140625" customWidth="1"/>
    <col min="14600" max="14600" width="14.85546875" bestFit="1" customWidth="1"/>
    <col min="14601" max="14601" width="2.7109375" customWidth="1"/>
    <col min="14603" max="14603" width="10.85546875" customWidth="1"/>
    <col min="14604" max="14604" width="7.85546875" customWidth="1"/>
    <col min="14605" max="14605" width="11.28515625" customWidth="1"/>
    <col min="14847" max="14847" width="11.5703125" customWidth="1"/>
    <col min="14848" max="14848" width="17" customWidth="1"/>
    <col min="14850" max="14850" width="2.85546875" customWidth="1"/>
    <col min="14851" max="14851" width="14.140625" customWidth="1"/>
    <col min="14852" max="14852" width="15.42578125" customWidth="1"/>
    <col min="14853" max="14853" width="13.5703125" customWidth="1"/>
    <col min="14854" max="14854" width="13.85546875" customWidth="1"/>
    <col min="14855" max="14855" width="13.140625" customWidth="1"/>
    <col min="14856" max="14856" width="14.85546875" bestFit="1" customWidth="1"/>
    <col min="14857" max="14857" width="2.7109375" customWidth="1"/>
    <col min="14859" max="14859" width="10.85546875" customWidth="1"/>
    <col min="14860" max="14860" width="7.85546875" customWidth="1"/>
    <col min="14861" max="14861" width="11.28515625" customWidth="1"/>
    <col min="15103" max="15103" width="11.5703125" customWidth="1"/>
    <col min="15104" max="15104" width="17" customWidth="1"/>
    <col min="15106" max="15106" width="2.85546875" customWidth="1"/>
    <col min="15107" max="15107" width="14.140625" customWidth="1"/>
    <col min="15108" max="15108" width="15.42578125" customWidth="1"/>
    <col min="15109" max="15109" width="13.5703125" customWidth="1"/>
    <col min="15110" max="15110" width="13.85546875" customWidth="1"/>
    <col min="15111" max="15111" width="13.140625" customWidth="1"/>
    <col min="15112" max="15112" width="14.85546875" bestFit="1" customWidth="1"/>
    <col min="15113" max="15113" width="2.7109375" customWidth="1"/>
    <col min="15115" max="15115" width="10.85546875" customWidth="1"/>
    <col min="15116" max="15116" width="7.85546875" customWidth="1"/>
    <col min="15117" max="15117" width="11.28515625" customWidth="1"/>
    <col min="15359" max="15359" width="11.5703125" customWidth="1"/>
    <col min="15360" max="15360" width="17" customWidth="1"/>
    <col min="15362" max="15362" width="2.85546875" customWidth="1"/>
    <col min="15363" max="15363" width="14.140625" customWidth="1"/>
    <col min="15364" max="15364" width="15.42578125" customWidth="1"/>
    <col min="15365" max="15365" width="13.5703125" customWidth="1"/>
    <col min="15366" max="15366" width="13.85546875" customWidth="1"/>
    <col min="15367" max="15367" width="13.140625" customWidth="1"/>
    <col min="15368" max="15368" width="14.85546875" bestFit="1" customWidth="1"/>
    <col min="15369" max="15369" width="2.7109375" customWidth="1"/>
    <col min="15371" max="15371" width="10.85546875" customWidth="1"/>
    <col min="15372" max="15372" width="7.85546875" customWidth="1"/>
    <col min="15373" max="15373" width="11.28515625" customWidth="1"/>
    <col min="15615" max="15615" width="11.5703125" customWidth="1"/>
    <col min="15616" max="15616" width="17" customWidth="1"/>
    <col min="15618" max="15618" width="2.85546875" customWidth="1"/>
    <col min="15619" max="15619" width="14.140625" customWidth="1"/>
    <col min="15620" max="15620" width="15.42578125" customWidth="1"/>
    <col min="15621" max="15621" width="13.5703125" customWidth="1"/>
    <col min="15622" max="15622" width="13.85546875" customWidth="1"/>
    <col min="15623" max="15623" width="13.140625" customWidth="1"/>
    <col min="15624" max="15624" width="14.85546875" bestFit="1" customWidth="1"/>
    <col min="15625" max="15625" width="2.7109375" customWidth="1"/>
    <col min="15627" max="15627" width="10.85546875" customWidth="1"/>
    <col min="15628" max="15628" width="7.85546875" customWidth="1"/>
    <col min="15629" max="15629" width="11.28515625" customWidth="1"/>
    <col min="15871" max="15871" width="11.5703125" customWidth="1"/>
    <col min="15872" max="15872" width="17" customWidth="1"/>
    <col min="15874" max="15874" width="2.85546875" customWidth="1"/>
    <col min="15875" max="15875" width="14.140625" customWidth="1"/>
    <col min="15876" max="15876" width="15.42578125" customWidth="1"/>
    <col min="15877" max="15877" width="13.5703125" customWidth="1"/>
    <col min="15878" max="15878" width="13.85546875" customWidth="1"/>
    <col min="15879" max="15879" width="13.140625" customWidth="1"/>
    <col min="15880" max="15880" width="14.85546875" bestFit="1" customWidth="1"/>
    <col min="15881" max="15881" width="2.7109375" customWidth="1"/>
    <col min="15883" max="15883" width="10.85546875" customWidth="1"/>
    <col min="15884" max="15884" width="7.85546875" customWidth="1"/>
    <col min="15885" max="15885" width="11.28515625" customWidth="1"/>
    <col min="16127" max="16127" width="11.5703125" customWidth="1"/>
    <col min="16128" max="16128" width="17" customWidth="1"/>
    <col min="16130" max="16130" width="2.85546875" customWidth="1"/>
    <col min="16131" max="16131" width="14.140625" customWidth="1"/>
    <col min="16132" max="16132" width="15.42578125" customWidth="1"/>
    <col min="16133" max="16133" width="13.5703125" customWidth="1"/>
    <col min="16134" max="16134" width="13.85546875" customWidth="1"/>
    <col min="16135" max="16135" width="13.140625" customWidth="1"/>
    <col min="16136" max="16136" width="14.85546875" bestFit="1" customWidth="1"/>
    <col min="16137" max="16137" width="2.7109375" customWidth="1"/>
    <col min="16139" max="16139" width="10.85546875" customWidth="1"/>
    <col min="16140" max="16140" width="7.85546875" customWidth="1"/>
    <col min="16141" max="16141" width="11.28515625" customWidth="1"/>
  </cols>
  <sheetData>
    <row r="1" spans="2:14" ht="23.25" x14ac:dyDescent="0.35">
      <c r="B1" s="65" t="s">
        <v>331</v>
      </c>
      <c r="C1" s="67"/>
      <c r="D1" s="69"/>
      <c r="E1" s="60"/>
      <c r="F1" s="60"/>
      <c r="G1" s="60"/>
      <c r="H1" s="60"/>
      <c r="I1" s="60"/>
    </row>
    <row r="2" spans="2:14" ht="15" customHeight="1" x14ac:dyDescent="0.3">
      <c r="C2" s="67"/>
      <c r="D2" s="69"/>
      <c r="E2" s="60"/>
      <c r="F2" s="60"/>
      <c r="G2" s="60"/>
      <c r="H2" s="60"/>
      <c r="I2" s="60"/>
    </row>
    <row r="3" spans="2:14" ht="15" customHeight="1" x14ac:dyDescent="0.25">
      <c r="B3" s="5" t="s">
        <v>332</v>
      </c>
    </row>
    <row r="4" spans="2:14" ht="15" customHeight="1" x14ac:dyDescent="0.25">
      <c r="B4" s="34"/>
    </row>
    <row r="5" spans="2:14" ht="15" customHeight="1" x14ac:dyDescent="0.25">
      <c r="B5" s="447" t="s">
        <v>333</v>
      </c>
      <c r="C5" s="447"/>
      <c r="D5" s="447"/>
      <c r="E5" s="447"/>
      <c r="F5" s="447"/>
      <c r="G5" s="447"/>
      <c r="H5" s="447"/>
      <c r="I5" s="447"/>
    </row>
    <row r="6" spans="2:14" ht="15" customHeight="1" x14ac:dyDescent="0.25">
      <c r="B6" s="447"/>
      <c r="C6" s="447"/>
      <c r="D6" s="447"/>
      <c r="E6" s="447"/>
      <c r="F6" s="447"/>
      <c r="G6" s="447"/>
      <c r="H6" s="447"/>
      <c r="I6" s="447"/>
    </row>
    <row r="7" spans="2:14" ht="15" customHeight="1" x14ac:dyDescent="0.25">
      <c r="B7" s="447"/>
      <c r="C7" s="447"/>
      <c r="D7" s="447"/>
      <c r="E7" s="447"/>
      <c r="F7" s="447"/>
      <c r="G7" s="447"/>
      <c r="H7" s="447"/>
      <c r="I7" s="447"/>
    </row>
    <row r="8" spans="2:14" ht="15" customHeight="1" x14ac:dyDescent="0.25">
      <c r="B8" s="447"/>
      <c r="C8" s="447"/>
      <c r="D8" s="447"/>
      <c r="E8" s="447"/>
      <c r="F8" s="447"/>
      <c r="G8" s="447"/>
      <c r="H8" s="447"/>
      <c r="I8" s="447"/>
    </row>
    <row r="9" spans="2:14" ht="15" hidden="1" customHeight="1" x14ac:dyDescent="0.25">
      <c r="B9" s="447"/>
      <c r="C9" s="447"/>
      <c r="D9" s="447"/>
      <c r="E9" s="447"/>
      <c r="F9" s="447"/>
      <c r="G9" s="447"/>
      <c r="H9" s="447"/>
      <c r="I9" s="447"/>
    </row>
    <row r="10" spans="2:14" ht="15" hidden="1" customHeight="1" x14ac:dyDescent="0.25">
      <c r="B10" s="447"/>
      <c r="C10" s="447"/>
      <c r="D10" s="447"/>
      <c r="E10" s="447"/>
      <c r="F10" s="447"/>
      <c r="G10" s="447"/>
      <c r="H10" s="447"/>
      <c r="I10" s="447"/>
    </row>
    <row r="11" spans="2:14" ht="15" customHeight="1" x14ac:dyDescent="0.25"/>
    <row r="12" spans="2:14" ht="15" customHeight="1" x14ac:dyDescent="0.25">
      <c r="B12" s="46" t="s">
        <v>334</v>
      </c>
      <c r="C12" s="47"/>
      <c r="D12" s="47"/>
      <c r="E12" s="47"/>
      <c r="F12" s="48">
        <f>+Prognose!G86</f>
        <v>45291</v>
      </c>
      <c r="G12" s="48">
        <f>+Prognose!H86</f>
        <v>45657</v>
      </c>
      <c r="H12" s="48">
        <f>+Prognose!I86</f>
        <v>45838</v>
      </c>
      <c r="K12" s="35"/>
      <c r="M12" s="35"/>
    </row>
    <row r="13" spans="2:14" ht="15" customHeight="1" x14ac:dyDescent="0.25">
      <c r="B13" s="10"/>
      <c r="F13" s="22"/>
      <c r="G13" s="10"/>
      <c r="H13" s="22"/>
    </row>
    <row r="14" spans="2:14" ht="15" customHeight="1" x14ac:dyDescent="0.25">
      <c r="B14" s="49" t="s">
        <v>335</v>
      </c>
      <c r="F14" s="286">
        <f>'Balans &amp; Res.rek'!G123</f>
        <v>0</v>
      </c>
      <c r="G14" s="286">
        <v>125000</v>
      </c>
      <c r="H14" s="286">
        <v>125000</v>
      </c>
      <c r="K14" s="37"/>
      <c r="L14" s="37"/>
      <c r="M14" s="37"/>
      <c r="N14" s="37"/>
    </row>
    <row r="15" spans="2:14" x14ac:dyDescent="0.25">
      <c r="B15" s="49" t="s">
        <v>336</v>
      </c>
      <c r="F15" s="286">
        <f>-'Balans &amp; Res.rek'!G119</f>
        <v>0</v>
      </c>
      <c r="G15" s="286">
        <f>-'Balans &amp; Res.rek'!H119</f>
        <v>0</v>
      </c>
      <c r="H15" s="286">
        <f>-'Balans &amp; Res.rek'!I119</f>
        <v>0</v>
      </c>
      <c r="K15" s="37"/>
      <c r="L15" s="37"/>
      <c r="M15" s="37"/>
      <c r="N15" s="37"/>
    </row>
    <row r="16" spans="2:14" ht="15" customHeight="1" x14ac:dyDescent="0.25">
      <c r="B16" s="49"/>
      <c r="F16" s="286"/>
      <c r="G16" s="311"/>
      <c r="H16" s="286"/>
      <c r="K16" s="37"/>
      <c r="L16" s="37"/>
      <c r="M16" s="37"/>
      <c r="N16" s="37"/>
    </row>
    <row r="17" spans="2:14" ht="15" customHeight="1" x14ac:dyDescent="0.25">
      <c r="B17" s="313" t="s">
        <v>337</v>
      </c>
      <c r="C17" s="314"/>
      <c r="D17" s="314"/>
      <c r="E17" s="314"/>
      <c r="F17" s="358">
        <v>0</v>
      </c>
      <c r="G17" s="359">
        <v>0</v>
      </c>
      <c r="H17" s="358">
        <v>0</v>
      </c>
      <c r="K17" s="37"/>
      <c r="L17" s="37"/>
      <c r="M17" s="37"/>
      <c r="N17" s="37"/>
    </row>
    <row r="18" spans="2:14" ht="15" customHeight="1" x14ac:dyDescent="0.25">
      <c r="B18" s="49"/>
      <c r="F18" s="195"/>
      <c r="G18" s="287"/>
      <c r="H18" s="195"/>
      <c r="K18" s="37"/>
      <c r="L18" s="37"/>
      <c r="M18" s="37"/>
      <c r="N18" s="37"/>
    </row>
    <row r="19" spans="2:14" ht="15" customHeight="1" x14ac:dyDescent="0.25">
      <c r="B19" s="10" t="s">
        <v>338</v>
      </c>
      <c r="F19" s="195">
        <f>SUM(F14:F18)</f>
        <v>0</v>
      </c>
      <c r="G19" s="195">
        <f>SUM(G14:G18)</f>
        <v>125000</v>
      </c>
      <c r="H19" s="195">
        <f>SUM(H14:H18)</f>
        <v>125000</v>
      </c>
      <c r="K19" s="38"/>
    </row>
    <row r="20" spans="2:14" ht="15" customHeight="1" x14ac:dyDescent="0.25">
      <c r="B20" s="10"/>
      <c r="F20" s="195"/>
      <c r="G20" s="287"/>
      <c r="H20" s="195"/>
    </row>
    <row r="21" spans="2:14" ht="15" customHeight="1" x14ac:dyDescent="0.25">
      <c r="B21" s="10" t="s">
        <v>339</v>
      </c>
      <c r="F21" s="286">
        <f>F19*0.25*-1</f>
        <v>0</v>
      </c>
      <c r="G21" s="286">
        <f>G19*0.25*-1</f>
        <v>-31250</v>
      </c>
      <c r="H21" s="286">
        <f t="shared" ref="H21" si="0">H19*0.25*-1</f>
        <v>-31250</v>
      </c>
    </row>
    <row r="22" spans="2:14" ht="15" customHeight="1" x14ac:dyDescent="0.25">
      <c r="B22" s="10"/>
      <c r="F22" s="195"/>
      <c r="G22" s="287"/>
      <c r="H22" s="195"/>
    </row>
    <row r="23" spans="2:14" ht="15" customHeight="1" x14ac:dyDescent="0.25">
      <c r="B23" s="49" t="s">
        <v>340</v>
      </c>
      <c r="F23" s="195">
        <f>SUM(F19:F21)</f>
        <v>0</v>
      </c>
      <c r="G23" s="287">
        <f>SUM(G19:G21)</f>
        <v>93750</v>
      </c>
      <c r="H23" s="195">
        <f>SUM(H19:H21)</f>
        <v>93750</v>
      </c>
    </row>
    <row r="24" spans="2:14" ht="15" customHeight="1" x14ac:dyDescent="0.25">
      <c r="B24" s="17"/>
      <c r="C24" s="18"/>
      <c r="D24" s="18"/>
      <c r="E24" s="18"/>
      <c r="F24" s="39"/>
      <c r="G24" s="40"/>
      <c r="H24" s="39"/>
    </row>
    <row r="26" spans="2:14" hidden="1" x14ac:dyDescent="0.25">
      <c r="B26" s="316" t="s">
        <v>341</v>
      </c>
      <c r="C26" s="71"/>
      <c r="D26" s="71"/>
      <c r="E26" s="71"/>
      <c r="F26" s="71"/>
      <c r="G26" s="71"/>
      <c r="H26" s="71"/>
      <c r="I26" s="71"/>
    </row>
    <row r="27" spans="2:14" hidden="1" x14ac:dyDescent="0.25">
      <c r="B27" s="315" t="s">
        <v>342</v>
      </c>
      <c r="C27" s="71"/>
      <c r="D27" s="71"/>
      <c r="E27" s="71"/>
      <c r="F27" s="71"/>
      <c r="G27" s="71"/>
      <c r="H27" s="71"/>
      <c r="I27" s="71"/>
    </row>
    <row r="28" spans="2:14" hidden="1" x14ac:dyDescent="0.25">
      <c r="B28" s="315" t="s">
        <v>343</v>
      </c>
      <c r="C28" s="71"/>
      <c r="D28" s="71"/>
      <c r="E28" s="71"/>
      <c r="F28" s="71"/>
      <c r="G28" s="71"/>
      <c r="H28" s="71"/>
      <c r="I28" s="71"/>
    </row>
    <row r="29" spans="2:14" hidden="1" x14ac:dyDescent="0.25"/>
    <row r="30" spans="2:14" ht="15" customHeight="1" x14ac:dyDescent="0.25"/>
    <row r="31" spans="2:14" ht="15" customHeight="1" x14ac:dyDescent="0.25"/>
    <row r="32" spans="2:14" ht="15" customHeight="1" x14ac:dyDescent="0.25">
      <c r="B32" s="447" t="s">
        <v>561</v>
      </c>
      <c r="C32" s="447"/>
      <c r="D32" s="447"/>
      <c r="E32" s="447"/>
      <c r="F32" s="447"/>
      <c r="G32" s="447"/>
      <c r="H32" s="447"/>
      <c r="I32" s="447"/>
    </row>
    <row r="33" spans="2:9" ht="15" customHeight="1" x14ac:dyDescent="0.25">
      <c r="B33" s="447"/>
      <c r="C33" s="447"/>
      <c r="D33" s="447"/>
      <c r="E33" s="447"/>
      <c r="F33" s="447"/>
      <c r="G33" s="447"/>
      <c r="H33" s="447"/>
      <c r="I33" s="447"/>
    </row>
    <row r="34" spans="2:9" ht="15" customHeight="1" x14ac:dyDescent="0.25">
      <c r="B34" s="447"/>
      <c r="C34" s="447"/>
      <c r="D34" s="447"/>
      <c r="E34" s="447"/>
      <c r="F34" s="447"/>
      <c r="G34" s="447"/>
      <c r="H34" s="447"/>
      <c r="I34" s="447"/>
    </row>
    <row r="35" spans="2:9" s="38" customFormat="1" ht="15" customHeight="1" x14ac:dyDescent="0.2">
      <c r="B35" s="447"/>
      <c r="C35" s="447"/>
      <c r="D35" s="447"/>
      <c r="E35" s="447"/>
      <c r="F35" s="447"/>
      <c r="G35" s="447"/>
      <c r="H35" s="447"/>
      <c r="I35" s="447"/>
    </row>
    <row r="36" spans="2:9" s="38" customFormat="1" ht="15" customHeight="1" x14ac:dyDescent="0.2">
      <c r="B36" s="447"/>
      <c r="C36" s="447"/>
      <c r="D36" s="447"/>
      <c r="E36" s="447"/>
      <c r="F36" s="447"/>
      <c r="G36" s="447"/>
      <c r="H36" s="447"/>
      <c r="I36" s="447"/>
    </row>
    <row r="37" spans="2:9" s="38" customFormat="1" ht="15" customHeight="1" x14ac:dyDescent="0.2">
      <c r="B37" s="447"/>
      <c r="C37" s="447"/>
      <c r="D37" s="447"/>
      <c r="E37" s="447"/>
      <c r="F37" s="447"/>
      <c r="G37" s="447"/>
      <c r="H37" s="447"/>
      <c r="I37" s="447"/>
    </row>
    <row r="38" spans="2:9" s="38" customFormat="1" ht="18.75" customHeight="1" x14ac:dyDescent="0.2">
      <c r="B38" s="447"/>
      <c r="C38" s="447"/>
      <c r="D38" s="447"/>
      <c r="E38" s="447"/>
      <c r="F38" s="447"/>
      <c r="G38" s="447"/>
      <c r="H38" s="447"/>
      <c r="I38" s="447"/>
    </row>
    <row r="39" spans="2:9" s="38" customFormat="1" ht="18.75" customHeight="1" x14ac:dyDescent="0.2">
      <c r="C39" s="59"/>
      <c r="D39" s="59"/>
      <c r="E39" s="59"/>
      <c r="F39" s="59"/>
      <c r="G39" s="59"/>
      <c r="H39" s="59"/>
      <c r="I39" s="59"/>
    </row>
    <row r="40" spans="2:9" ht="15" customHeight="1" x14ac:dyDescent="0.25">
      <c r="B40" s="46" t="s">
        <v>344</v>
      </c>
      <c r="C40" s="13"/>
      <c r="D40" s="13"/>
      <c r="E40" s="13"/>
      <c r="F40" s="48">
        <f>F12</f>
        <v>45291</v>
      </c>
      <c r="G40" s="48">
        <f>G12</f>
        <v>45657</v>
      </c>
      <c r="H40" s="48">
        <f>H12</f>
        <v>45838</v>
      </c>
    </row>
    <row r="41" spans="2:9" ht="15" customHeight="1" x14ac:dyDescent="0.25">
      <c r="B41" s="10"/>
      <c r="F41" s="22"/>
      <c r="G41" s="22"/>
      <c r="H41" s="22"/>
    </row>
    <row r="42" spans="2:9" ht="15" customHeight="1" x14ac:dyDescent="0.25">
      <c r="B42" s="10" t="s">
        <v>345</v>
      </c>
      <c r="F42" s="195">
        <f>F23</f>
        <v>0</v>
      </c>
      <c r="G42" s="195">
        <f>G23</f>
        <v>93750</v>
      </c>
      <c r="H42" s="195">
        <f>H23</f>
        <v>93750</v>
      </c>
    </row>
    <row r="43" spans="2:9" ht="15" customHeight="1" x14ac:dyDescent="0.25">
      <c r="B43" s="10"/>
      <c r="F43" s="1"/>
      <c r="G43" s="1"/>
      <c r="H43" s="1"/>
    </row>
    <row r="44" spans="2:9" ht="15" customHeight="1" x14ac:dyDescent="0.25">
      <c r="B44" s="10" t="s">
        <v>346</v>
      </c>
      <c r="F44" s="56">
        <v>0</v>
      </c>
      <c r="G44" s="56">
        <v>0.5</v>
      </c>
      <c r="H44" s="56">
        <v>0.5</v>
      </c>
    </row>
    <row r="45" spans="2:9" ht="15" customHeight="1" x14ac:dyDescent="0.25">
      <c r="B45" s="10"/>
      <c r="F45" s="1"/>
      <c r="G45" s="1"/>
      <c r="H45" s="1"/>
    </row>
    <row r="46" spans="2:9" ht="15" customHeight="1" x14ac:dyDescent="0.25">
      <c r="B46" s="10" t="s">
        <v>320</v>
      </c>
      <c r="F46" s="288">
        <f>F42*F44</f>
        <v>0</v>
      </c>
      <c r="G46" s="288">
        <f>G42*G44</f>
        <v>46875</v>
      </c>
      <c r="H46" s="288">
        <f>H42*H44</f>
        <v>46875</v>
      </c>
    </row>
    <row r="47" spans="2:9" x14ac:dyDescent="0.25">
      <c r="B47" s="10"/>
      <c r="H47" s="23"/>
    </row>
    <row r="48" spans="2:9" ht="15" customHeight="1" x14ac:dyDescent="0.25">
      <c r="B48" s="52" t="s">
        <v>347</v>
      </c>
      <c r="C48" s="53"/>
      <c r="D48" s="53"/>
      <c r="E48" s="387">
        <f>SUM(F46:H46)/SUM(F44:H44)</f>
        <v>93750</v>
      </c>
      <c r="F48" s="18"/>
      <c r="G48" s="18"/>
      <c r="H48" s="21"/>
    </row>
    <row r="50" spans="2:8" ht="15" customHeight="1" x14ac:dyDescent="0.25">
      <c r="B50" s="46" t="s">
        <v>348</v>
      </c>
      <c r="C50" s="13"/>
      <c r="D50" s="13"/>
      <c r="E50" s="13"/>
      <c r="F50" s="13"/>
      <c r="G50" s="13"/>
      <c r="H50" s="16"/>
    </row>
    <row r="51" spans="2:8" ht="15" customHeight="1" x14ac:dyDescent="0.25">
      <c r="B51" s="10"/>
      <c r="H51" s="23"/>
    </row>
    <row r="52" spans="2:8" ht="15" customHeight="1" x14ac:dyDescent="0.25">
      <c r="B52" s="17"/>
      <c r="C52" s="18" t="s">
        <v>349</v>
      </c>
      <c r="D52" s="18"/>
      <c r="E52" s="18"/>
      <c r="F52" s="388">
        <f>WACC!G44</f>
        <v>3.1504710329452526E-2</v>
      </c>
      <c r="G52" s="18"/>
      <c r="H52" s="21"/>
    </row>
    <row r="54" spans="2:8" ht="15" customHeight="1" x14ac:dyDescent="0.25">
      <c r="B54" s="46" t="s">
        <v>350</v>
      </c>
      <c r="C54" s="13"/>
      <c r="D54" s="13"/>
      <c r="E54" s="13"/>
      <c r="F54" s="13"/>
      <c r="G54" s="13"/>
      <c r="H54" s="16"/>
    </row>
    <row r="55" spans="2:8" ht="15" customHeight="1" x14ac:dyDescent="0.25">
      <c r="B55" s="10"/>
      <c r="H55" s="23"/>
    </row>
    <row r="56" spans="2:8" ht="15" customHeight="1" x14ac:dyDescent="0.25">
      <c r="B56" s="10"/>
      <c r="C56" s="37" t="s">
        <v>351</v>
      </c>
      <c r="D56" s="37"/>
      <c r="E56" s="37"/>
      <c r="F56" s="232">
        <f>+'Eigen vermogenswaarde'!H44</f>
        <v>1522476.5599999998</v>
      </c>
      <c r="H56" s="23"/>
    </row>
    <row r="57" spans="2:8" ht="15" customHeight="1" x14ac:dyDescent="0.25">
      <c r="B57" s="10"/>
      <c r="C57" s="37" t="s">
        <v>352</v>
      </c>
      <c r="D57" s="37"/>
      <c r="E57" s="37"/>
      <c r="F57" s="389">
        <v>0.3</v>
      </c>
      <c r="H57" s="23"/>
    </row>
    <row r="58" spans="2:8" ht="15" customHeight="1" x14ac:dyDescent="0.25">
      <c r="B58" s="10"/>
      <c r="C58" s="37" t="s">
        <v>353</v>
      </c>
      <c r="D58" s="37"/>
      <c r="E58" s="37"/>
      <c r="F58" s="232">
        <f>F56*F57</f>
        <v>456742.96799999994</v>
      </c>
      <c r="H58" s="23"/>
    </row>
    <row r="59" spans="2:8" ht="15" customHeight="1" x14ac:dyDescent="0.25">
      <c r="B59" s="10"/>
      <c r="C59" s="37" t="s">
        <v>354</v>
      </c>
      <c r="D59" s="37"/>
      <c r="E59" s="37"/>
      <c r="F59" s="232">
        <f>+'Eigen vermogenswaarde'!K65</f>
        <v>537093.15874999994</v>
      </c>
      <c r="H59" s="23"/>
    </row>
    <row r="60" spans="2:8" ht="15" customHeight="1" x14ac:dyDescent="0.25">
      <c r="B60" s="17"/>
      <c r="C60" s="390" t="s">
        <v>355</v>
      </c>
      <c r="D60" s="42"/>
      <c r="E60" s="42"/>
      <c r="F60" s="391">
        <f>F59-F58</f>
        <v>80350.190750000009</v>
      </c>
      <c r="G60" s="18"/>
      <c r="H60" s="21"/>
    </row>
    <row r="61" spans="2:8" ht="15" customHeight="1" x14ac:dyDescent="0.25">
      <c r="C61" s="55"/>
      <c r="D61" s="37"/>
      <c r="E61" s="37"/>
      <c r="F61" s="232"/>
    </row>
    <row r="62" spans="2:8" ht="15" customHeight="1" x14ac:dyDescent="0.25">
      <c r="C62" s="55"/>
      <c r="D62" s="37"/>
      <c r="E62" s="37"/>
      <c r="F62" s="232"/>
    </row>
    <row r="63" spans="2:8" ht="15" customHeight="1" x14ac:dyDescent="0.25">
      <c r="C63" s="55"/>
      <c r="D63" s="37"/>
      <c r="E63" s="37"/>
      <c r="F63" s="232"/>
    </row>
    <row r="64" spans="2:8" ht="15" customHeight="1" x14ac:dyDescent="0.25">
      <c r="C64" s="55"/>
      <c r="D64" s="37"/>
      <c r="E64" s="37"/>
      <c r="F64" s="232"/>
    </row>
    <row r="65" spans="2:9" ht="15" customHeight="1" x14ac:dyDescent="0.25">
      <c r="C65" s="55"/>
      <c r="D65" s="37"/>
      <c r="E65" s="37"/>
      <c r="F65" s="232"/>
    </row>
    <row r="66" spans="2:9" ht="15" customHeight="1" x14ac:dyDescent="0.25">
      <c r="C66" s="55"/>
      <c r="D66" s="37"/>
      <c r="E66" s="37"/>
      <c r="F66" s="232"/>
      <c r="I66" s="273"/>
    </row>
    <row r="67" spans="2:9" ht="23.25" x14ac:dyDescent="0.35">
      <c r="B67" s="65" t="s">
        <v>331</v>
      </c>
      <c r="C67" s="67"/>
      <c r="D67" s="69"/>
      <c r="E67" s="37"/>
      <c r="F67" s="37"/>
    </row>
    <row r="68" spans="2:9" ht="18" customHeight="1" x14ac:dyDescent="0.3">
      <c r="C68" s="67"/>
      <c r="D68" s="69"/>
      <c r="E68" s="37"/>
      <c r="F68" s="37"/>
    </row>
    <row r="69" spans="2:9" ht="15" customHeight="1" x14ac:dyDescent="0.25">
      <c r="C69" s="46" t="s">
        <v>356</v>
      </c>
      <c r="D69" s="13"/>
      <c r="E69" s="13"/>
      <c r="F69" s="13"/>
      <c r="G69" s="16"/>
    </row>
    <row r="70" spans="2:9" ht="15" customHeight="1" x14ac:dyDescent="0.25">
      <c r="C70" s="10"/>
      <c r="G70" s="23"/>
    </row>
    <row r="71" spans="2:9" ht="15" customHeight="1" x14ac:dyDescent="0.25">
      <c r="C71" s="43" t="s">
        <v>269</v>
      </c>
      <c r="D71" s="32"/>
      <c r="E71" s="32"/>
      <c r="F71" s="140" t="s">
        <v>357</v>
      </c>
      <c r="G71" s="44" t="s">
        <v>358</v>
      </c>
    </row>
    <row r="72" spans="2:9" ht="15" customHeight="1" x14ac:dyDescent="0.25">
      <c r="C72" s="10"/>
      <c r="F72" s="22"/>
      <c r="G72" s="23"/>
      <c r="I72" s="24"/>
    </row>
    <row r="73" spans="2:9" ht="15" customHeight="1" x14ac:dyDescent="0.25">
      <c r="C73" s="10" t="s">
        <v>359</v>
      </c>
      <c r="F73" s="280">
        <f>E48</f>
        <v>93750</v>
      </c>
      <c r="G73" s="281">
        <f>E48</f>
        <v>93750</v>
      </c>
      <c r="I73" s="24"/>
    </row>
    <row r="74" spans="2:9" ht="17.25" customHeight="1" x14ac:dyDescent="0.25">
      <c r="C74" s="10"/>
      <c r="F74" s="22"/>
      <c r="G74" s="23"/>
      <c r="I74" s="24"/>
    </row>
    <row r="75" spans="2:9" ht="15" customHeight="1" x14ac:dyDescent="0.25">
      <c r="C75" s="10" t="s">
        <v>360</v>
      </c>
      <c r="F75" s="139">
        <f>+G75</f>
        <v>3.1504710329452526E-2</v>
      </c>
      <c r="G75" s="138">
        <f>+F52</f>
        <v>3.1504710329452526E-2</v>
      </c>
      <c r="H75" s="441">
        <f>100+G75</f>
        <v>100.03150471032946</v>
      </c>
      <c r="I75" s="442">
        <f>+H75/100</f>
        <v>1.0003150471032947</v>
      </c>
    </row>
    <row r="76" spans="2:9" ht="15.95" customHeight="1" x14ac:dyDescent="0.25">
      <c r="C76" s="10"/>
      <c r="F76" s="22"/>
      <c r="G76" s="23"/>
      <c r="H76" s="443">
        <f>+H75-100</f>
        <v>3.1504710329457453E-2</v>
      </c>
      <c r="I76" s="442">
        <f>+I75-1</f>
        <v>3.1504710329466334E-4</v>
      </c>
    </row>
    <row r="77" spans="2:9" ht="15.95" customHeight="1" x14ac:dyDescent="0.25">
      <c r="C77" s="10" t="s">
        <v>361</v>
      </c>
      <c r="F77" s="29">
        <f>100%/F75</f>
        <v>31.74128533615302</v>
      </c>
      <c r="G77" s="30">
        <f>(1-(1/I75)^7)/I76</f>
        <v>6.9911870119381092</v>
      </c>
      <c r="H77" s="24"/>
      <c r="I77" s="24"/>
    </row>
    <row r="78" spans="2:9" ht="15" customHeight="1" x14ac:dyDescent="0.25">
      <c r="C78" s="10"/>
      <c r="F78" s="22"/>
      <c r="G78" s="23"/>
      <c r="H78" s="24"/>
      <c r="I78" s="24"/>
    </row>
    <row r="79" spans="2:9" ht="15" customHeight="1" x14ac:dyDescent="0.25">
      <c r="C79" s="3" t="s">
        <v>331</v>
      </c>
      <c r="D79" s="4"/>
      <c r="E79" s="4"/>
      <c r="F79" s="290">
        <f>F73*F77</f>
        <v>2975745.5002643457</v>
      </c>
      <c r="G79" s="291">
        <f>G73*G77</f>
        <v>655423.7823691977</v>
      </c>
      <c r="H79" s="24"/>
      <c r="I79" s="24"/>
    </row>
    <row r="80" spans="2:9" ht="15" customHeight="1" x14ac:dyDescent="0.25">
      <c r="C80" s="17"/>
      <c r="D80" s="18"/>
      <c r="E80" s="18"/>
      <c r="F80" s="289"/>
      <c r="G80" s="292"/>
      <c r="H80" s="24"/>
      <c r="I80" s="24"/>
    </row>
    <row r="81" spans="2:9" ht="15" customHeight="1" x14ac:dyDescent="0.25">
      <c r="C81" s="12" t="s">
        <v>355</v>
      </c>
      <c r="D81" s="13"/>
      <c r="E81" s="13"/>
      <c r="F81" s="293">
        <f>+G81</f>
        <v>80350.190750000009</v>
      </c>
      <c r="G81" s="294">
        <f>+F60</f>
        <v>80350.190750000009</v>
      </c>
      <c r="H81" s="24"/>
      <c r="I81" s="24"/>
    </row>
    <row r="82" spans="2:9" ht="14.25" customHeight="1" x14ac:dyDescent="0.25">
      <c r="C82" s="10"/>
      <c r="F82" s="280"/>
      <c r="G82" s="281"/>
      <c r="H82" s="24"/>
      <c r="I82" s="24"/>
    </row>
    <row r="83" spans="2:9" ht="15" customHeight="1" x14ac:dyDescent="0.25">
      <c r="C83" s="49" t="s">
        <v>362</v>
      </c>
      <c r="F83" s="280"/>
      <c r="G83" s="281">
        <f>+F58</f>
        <v>456742.96799999994</v>
      </c>
      <c r="H83" s="24"/>
      <c r="I83" s="24"/>
    </row>
    <row r="84" spans="2:9" ht="15" customHeight="1" x14ac:dyDescent="0.25">
      <c r="C84" s="10"/>
      <c r="F84" s="22"/>
      <c r="G84" s="23"/>
    </row>
    <row r="85" spans="2:9" ht="15" customHeight="1" x14ac:dyDescent="0.25">
      <c r="C85" s="10" t="s">
        <v>363</v>
      </c>
      <c r="F85" s="29"/>
      <c r="G85" s="2">
        <f>1/POWER(1.0624,7)</f>
        <v>0.65461140240312732</v>
      </c>
    </row>
    <row r="86" spans="2:9" ht="15" customHeight="1" x14ac:dyDescent="0.25">
      <c r="C86" s="10"/>
      <c r="F86" s="22"/>
      <c r="G86" s="23"/>
    </row>
    <row r="87" spans="2:9" ht="15" customHeight="1" x14ac:dyDescent="0.25">
      <c r="C87" s="10" t="s">
        <v>364</v>
      </c>
      <c r="F87" s="290"/>
      <c r="G87" s="291">
        <f>G83*G85</f>
        <v>298989.15482024668</v>
      </c>
    </row>
    <row r="88" spans="2:9" ht="15" customHeight="1" x14ac:dyDescent="0.25">
      <c r="C88" s="50"/>
      <c r="D88" s="51"/>
      <c r="E88" s="51"/>
      <c r="F88" s="290"/>
      <c r="G88" s="291"/>
    </row>
    <row r="89" spans="2:9" ht="15" customHeight="1" x14ac:dyDescent="0.25">
      <c r="C89" s="50" t="s">
        <v>544</v>
      </c>
      <c r="D89" s="51"/>
      <c r="E89" s="51"/>
      <c r="F89" s="290"/>
      <c r="G89" s="291">
        <f>'Projectie vastgoed'!G10</f>
        <v>1652224.9963915041</v>
      </c>
    </row>
    <row r="90" spans="2:9" ht="15" customHeight="1" x14ac:dyDescent="0.25">
      <c r="C90" s="50"/>
      <c r="D90" s="51"/>
      <c r="E90" s="51"/>
      <c r="F90" s="290"/>
      <c r="G90" s="291"/>
    </row>
    <row r="91" spans="2:9" ht="15" customHeight="1" x14ac:dyDescent="0.25">
      <c r="C91" s="52" t="s">
        <v>365</v>
      </c>
      <c r="D91" s="53"/>
      <c r="E91" s="53"/>
      <c r="F91" s="295">
        <f>F79+F81+F87</f>
        <v>3056095.6910143457</v>
      </c>
      <c r="G91" s="296">
        <f>G79+G81+G87+G89</f>
        <v>2686988.1243309481</v>
      </c>
    </row>
    <row r="92" spans="2:9" ht="15" customHeight="1" x14ac:dyDescent="0.25"/>
    <row r="93" spans="2:9" ht="15" customHeight="1" x14ac:dyDescent="0.25"/>
    <row r="94" spans="2:9" x14ac:dyDescent="0.25">
      <c r="B94" s="447" t="s">
        <v>366</v>
      </c>
      <c r="C94" s="447"/>
      <c r="D94" s="447"/>
      <c r="E94" s="447"/>
      <c r="F94" s="447"/>
      <c r="G94" s="447"/>
      <c r="H94" s="447"/>
      <c r="I94" s="447"/>
    </row>
    <row r="95" spans="2:9" x14ac:dyDescent="0.25">
      <c r="B95" s="447"/>
      <c r="C95" s="447"/>
      <c r="D95" s="447"/>
      <c r="E95" s="447"/>
      <c r="F95" s="447"/>
      <c r="G95" s="447"/>
      <c r="H95" s="447"/>
      <c r="I95" s="447"/>
    </row>
    <row r="96" spans="2:9" x14ac:dyDescent="0.25">
      <c r="B96" s="447"/>
      <c r="C96" s="447"/>
      <c r="D96" s="447"/>
      <c r="E96" s="447"/>
      <c r="F96" s="447"/>
      <c r="G96" s="447"/>
      <c r="H96" s="447"/>
      <c r="I96" s="447"/>
    </row>
    <row r="97" spans="2:9" x14ac:dyDescent="0.25">
      <c r="B97" s="447"/>
      <c r="C97" s="447"/>
      <c r="D97" s="447"/>
      <c r="E97" s="447"/>
      <c r="F97" s="447"/>
      <c r="G97" s="447"/>
      <c r="H97" s="447"/>
      <c r="I97" s="447"/>
    </row>
    <row r="98" spans="2:9" x14ac:dyDescent="0.25">
      <c r="B98" s="447"/>
      <c r="C98" s="447"/>
      <c r="D98" s="447"/>
      <c r="E98" s="447"/>
      <c r="F98" s="447"/>
      <c r="G98" s="447"/>
      <c r="H98" s="447"/>
      <c r="I98" s="447"/>
    </row>
    <row r="99" spans="2:9" x14ac:dyDescent="0.25">
      <c r="B99" s="447"/>
      <c r="C99" s="447"/>
      <c r="D99" s="447"/>
      <c r="E99" s="447"/>
      <c r="F99" s="447"/>
      <c r="G99" s="447"/>
      <c r="H99" s="447"/>
      <c r="I99" s="447"/>
    </row>
    <row r="100" spans="2:9" x14ac:dyDescent="0.25">
      <c r="B100" s="447"/>
      <c r="C100" s="447"/>
      <c r="D100" s="447"/>
      <c r="E100" s="447"/>
      <c r="F100" s="447"/>
      <c r="G100" s="447"/>
      <c r="H100" s="447"/>
      <c r="I100" s="447"/>
    </row>
    <row r="101" spans="2:9" x14ac:dyDescent="0.25">
      <c r="B101" s="447"/>
      <c r="C101" s="447"/>
      <c r="D101" s="447"/>
      <c r="E101" s="447"/>
      <c r="F101" s="447"/>
      <c r="G101" s="447"/>
      <c r="H101" s="447"/>
      <c r="I101" s="447"/>
    </row>
    <row r="102" spans="2:9" x14ac:dyDescent="0.25">
      <c r="B102" s="447"/>
      <c r="C102" s="447"/>
      <c r="D102" s="447"/>
      <c r="E102" s="447"/>
      <c r="F102" s="447"/>
      <c r="G102" s="447"/>
      <c r="H102" s="447"/>
      <c r="I102" s="447"/>
    </row>
    <row r="103" spans="2:9" x14ac:dyDescent="0.25">
      <c r="B103" s="447"/>
      <c r="C103" s="447"/>
      <c r="D103" s="447"/>
      <c r="E103" s="447"/>
      <c r="F103" s="447"/>
      <c r="G103" s="447"/>
      <c r="H103" s="447"/>
      <c r="I103" s="447"/>
    </row>
    <row r="104" spans="2:9" x14ac:dyDescent="0.25">
      <c r="B104" s="447"/>
      <c r="C104" s="447"/>
      <c r="D104" s="447"/>
      <c r="E104" s="447"/>
      <c r="F104" s="447"/>
      <c r="G104" s="447"/>
      <c r="H104" s="447"/>
      <c r="I104" s="447"/>
    </row>
    <row r="105" spans="2:9" x14ac:dyDescent="0.25">
      <c r="B105" s="447"/>
      <c r="C105" s="447"/>
      <c r="D105" s="447"/>
      <c r="E105" s="447"/>
      <c r="F105" s="447"/>
      <c r="G105" s="447"/>
      <c r="H105" s="447"/>
      <c r="I105" s="447"/>
    </row>
    <row r="106" spans="2:9" x14ac:dyDescent="0.25">
      <c r="B106" s="447"/>
      <c r="C106" s="447"/>
      <c r="D106" s="447"/>
      <c r="E106" s="447"/>
      <c r="F106" s="447"/>
      <c r="G106" s="447"/>
      <c r="H106" s="447"/>
      <c r="I106" s="447"/>
    </row>
    <row r="107" spans="2:9" x14ac:dyDescent="0.25">
      <c r="B107" s="447"/>
      <c r="C107" s="447"/>
      <c r="D107" s="447"/>
      <c r="E107" s="447"/>
      <c r="F107" s="447"/>
      <c r="G107" s="447"/>
      <c r="H107" s="447"/>
      <c r="I107" s="447"/>
    </row>
    <row r="108" spans="2:9" x14ac:dyDescent="0.25">
      <c r="B108" s="447"/>
      <c r="C108" s="447"/>
      <c r="D108" s="447"/>
      <c r="E108" s="447"/>
      <c r="F108" s="447"/>
      <c r="G108" s="447"/>
      <c r="H108" s="447"/>
      <c r="I108" s="447"/>
    </row>
    <row r="109" spans="2:9" x14ac:dyDescent="0.25">
      <c r="B109" s="447"/>
      <c r="C109" s="447"/>
      <c r="D109" s="447"/>
      <c r="E109" s="447"/>
      <c r="F109" s="447"/>
      <c r="G109" s="447"/>
      <c r="H109" s="447"/>
      <c r="I109" s="447"/>
    </row>
    <row r="110" spans="2:9" x14ac:dyDescent="0.25">
      <c r="F110" s="232"/>
    </row>
    <row r="111" spans="2:9" x14ac:dyDescent="0.25">
      <c r="C111" s="4"/>
    </row>
    <row r="112" spans="2:9" x14ac:dyDescent="0.25">
      <c r="F112" s="165"/>
      <c r="G112" s="54"/>
    </row>
    <row r="113" spans="6:9" x14ac:dyDescent="0.25">
      <c r="F113" s="165"/>
      <c r="G113" s="54"/>
    </row>
    <row r="124" spans="6:9" x14ac:dyDescent="0.25">
      <c r="I124" s="273">
        <v>17</v>
      </c>
    </row>
  </sheetData>
  <mergeCells count="3">
    <mergeCell ref="B5:I10"/>
    <mergeCell ref="B94:I109"/>
    <mergeCell ref="B32:I38"/>
  </mergeCells>
  <pageMargins left="0.70866141732283472" right="0.70866141732283472" top="0.74803149606299213" bottom="0.74803149606299213" header="0.31496062992125984" footer="0.31496062992125984"/>
  <pageSetup paperSize="9" scale="75" firstPageNumber="23" fitToHeight="0" orientation="portrait" useFirstPageNumber="1" r:id="rId1"/>
  <headerFooter>
    <oddHeader>&amp;LSisu BV&amp;CWaardering
&amp;R&amp;D</oddHeader>
  </headerFooter>
  <rowBreaks count="1" manualBreakCount="1">
    <brk id="64"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M159"/>
  <sheetViews>
    <sheetView showGridLines="0" topLeftCell="A67" zoomScale="85" zoomScaleNormal="85" workbookViewId="0">
      <selection activeCell="G98" sqref="G98"/>
    </sheetView>
  </sheetViews>
  <sheetFormatPr defaultRowHeight="15" x14ac:dyDescent="0.25"/>
  <cols>
    <col min="2" max="2" width="8.5703125" customWidth="1"/>
    <col min="3" max="3" width="12.5703125" customWidth="1"/>
    <col min="4" max="4" width="23.7109375" bestFit="1" customWidth="1"/>
    <col min="5" max="5" width="9.85546875" bestFit="1" customWidth="1"/>
    <col min="6" max="6" width="12.28515625" hidden="1" customWidth="1"/>
    <col min="7" max="11" width="11.28515625" bestFit="1" customWidth="1"/>
    <col min="12" max="12" width="13.140625" bestFit="1" customWidth="1"/>
    <col min="13" max="13" width="11.85546875" bestFit="1" customWidth="1"/>
    <col min="14" max="250" width="8.85546875"/>
    <col min="251" max="251" width="11.5703125" customWidth="1"/>
    <col min="252" max="252" width="17" customWidth="1"/>
    <col min="253" max="253" width="8.85546875"/>
    <col min="254" max="254" width="2.85546875" customWidth="1"/>
    <col min="255" max="255" width="14.140625" customWidth="1"/>
    <col min="256" max="256" width="15.42578125" customWidth="1"/>
    <col min="257" max="257" width="13.5703125" customWidth="1"/>
    <col min="258" max="258" width="13.85546875" customWidth="1"/>
    <col min="259" max="259" width="13.140625" customWidth="1"/>
    <col min="260" max="260" width="14.85546875" bestFit="1" customWidth="1"/>
    <col min="261" max="261" width="2.7109375" customWidth="1"/>
    <col min="262" max="262" width="8.85546875"/>
    <col min="263" max="263" width="10.85546875" customWidth="1"/>
    <col min="264" max="264" width="7.85546875" customWidth="1"/>
    <col min="265" max="265" width="11.28515625" customWidth="1"/>
    <col min="266" max="506" width="8.85546875"/>
    <col min="507" max="507" width="11.5703125" customWidth="1"/>
    <col min="508" max="508" width="17" customWidth="1"/>
    <col min="509" max="509" width="8.85546875"/>
    <col min="510" max="510" width="2.85546875" customWidth="1"/>
    <col min="511" max="511" width="14.140625" customWidth="1"/>
    <col min="512" max="512" width="15.42578125" customWidth="1"/>
    <col min="513" max="513" width="13.5703125" customWidth="1"/>
    <col min="514" max="514" width="13.85546875" customWidth="1"/>
    <col min="515" max="515" width="13.140625" customWidth="1"/>
    <col min="516" max="516" width="14.85546875" bestFit="1" customWidth="1"/>
    <col min="517" max="517" width="2.7109375" customWidth="1"/>
    <col min="518" max="518" width="8.85546875"/>
    <col min="519" max="519" width="10.85546875" customWidth="1"/>
    <col min="520" max="520" width="7.85546875" customWidth="1"/>
    <col min="521" max="521" width="11.28515625" customWidth="1"/>
    <col min="522" max="762" width="8.85546875"/>
    <col min="763" max="763" width="11.5703125" customWidth="1"/>
    <col min="764" max="764" width="17" customWidth="1"/>
    <col min="765" max="765" width="8.85546875"/>
    <col min="766" max="766" width="2.85546875" customWidth="1"/>
    <col min="767" max="767" width="14.140625" customWidth="1"/>
    <col min="768" max="768" width="15.42578125" customWidth="1"/>
    <col min="769" max="769" width="13.5703125" customWidth="1"/>
    <col min="770" max="770" width="13.85546875" customWidth="1"/>
    <col min="771" max="771" width="13.140625" customWidth="1"/>
    <col min="772" max="772" width="14.85546875" bestFit="1" customWidth="1"/>
    <col min="773" max="773" width="2.7109375" customWidth="1"/>
    <col min="774" max="774" width="8.85546875"/>
    <col min="775" max="775" width="10.85546875" customWidth="1"/>
    <col min="776" max="776" width="7.85546875" customWidth="1"/>
    <col min="777" max="777" width="11.28515625" customWidth="1"/>
    <col min="778" max="1018" width="8.85546875"/>
    <col min="1019" max="1019" width="11.5703125" customWidth="1"/>
    <col min="1020" max="1020" width="17" customWidth="1"/>
    <col min="1021" max="1021" width="8.85546875"/>
    <col min="1022" max="1022" width="2.85546875" customWidth="1"/>
    <col min="1023" max="1023" width="14.140625" customWidth="1"/>
    <col min="1024" max="1024" width="15.42578125" customWidth="1"/>
    <col min="1025" max="1025" width="13.5703125" customWidth="1"/>
    <col min="1026" max="1026" width="13.85546875" customWidth="1"/>
    <col min="1027" max="1027" width="13.140625" customWidth="1"/>
    <col min="1028" max="1028" width="14.85546875" bestFit="1" customWidth="1"/>
    <col min="1029" max="1029" width="2.7109375" customWidth="1"/>
    <col min="1030" max="1030" width="8.85546875"/>
    <col min="1031" max="1031" width="10.85546875" customWidth="1"/>
    <col min="1032" max="1032" width="7.85546875" customWidth="1"/>
    <col min="1033" max="1033" width="11.28515625" customWidth="1"/>
    <col min="1034" max="1274" width="8.85546875"/>
    <col min="1275" max="1275" width="11.5703125" customWidth="1"/>
    <col min="1276" max="1276" width="17" customWidth="1"/>
    <col min="1277" max="1277" width="8.85546875"/>
    <col min="1278" max="1278" width="2.85546875" customWidth="1"/>
    <col min="1279" max="1279" width="14.140625" customWidth="1"/>
    <col min="1280" max="1280" width="15.42578125" customWidth="1"/>
    <col min="1281" max="1281" width="13.5703125" customWidth="1"/>
    <col min="1282" max="1282" width="13.85546875" customWidth="1"/>
    <col min="1283" max="1283" width="13.140625" customWidth="1"/>
    <col min="1284" max="1284" width="14.85546875" bestFit="1" customWidth="1"/>
    <col min="1285" max="1285" width="2.7109375" customWidth="1"/>
    <col min="1286" max="1286" width="8.85546875"/>
    <col min="1287" max="1287" width="10.85546875" customWidth="1"/>
    <col min="1288" max="1288" width="7.85546875" customWidth="1"/>
    <col min="1289" max="1289" width="11.28515625" customWidth="1"/>
    <col min="1290" max="1530" width="8.85546875"/>
    <col min="1531" max="1531" width="11.5703125" customWidth="1"/>
    <col min="1532" max="1532" width="17" customWidth="1"/>
    <col min="1533" max="1533" width="8.85546875"/>
    <col min="1534" max="1534" width="2.85546875" customWidth="1"/>
    <col min="1535" max="1535" width="14.140625" customWidth="1"/>
    <col min="1536" max="1536" width="15.42578125" customWidth="1"/>
    <col min="1537" max="1537" width="13.5703125" customWidth="1"/>
    <col min="1538" max="1538" width="13.85546875" customWidth="1"/>
    <col min="1539" max="1539" width="13.140625" customWidth="1"/>
    <col min="1540" max="1540" width="14.85546875" bestFit="1" customWidth="1"/>
    <col min="1541" max="1541" width="2.7109375" customWidth="1"/>
    <col min="1542" max="1542" width="8.85546875"/>
    <col min="1543" max="1543" width="10.85546875" customWidth="1"/>
    <col min="1544" max="1544" width="7.85546875" customWidth="1"/>
    <col min="1545" max="1545" width="11.28515625" customWidth="1"/>
    <col min="1546" max="1786" width="8.85546875"/>
    <col min="1787" max="1787" width="11.5703125" customWidth="1"/>
    <col min="1788" max="1788" width="17" customWidth="1"/>
    <col min="1789" max="1789" width="8.85546875"/>
    <col min="1790" max="1790" width="2.85546875" customWidth="1"/>
    <col min="1791" max="1791" width="14.140625" customWidth="1"/>
    <col min="1792" max="1792" width="15.42578125" customWidth="1"/>
    <col min="1793" max="1793" width="13.5703125" customWidth="1"/>
    <col min="1794" max="1794" width="13.85546875" customWidth="1"/>
    <col min="1795" max="1795" width="13.140625" customWidth="1"/>
    <col min="1796" max="1796" width="14.85546875" bestFit="1" customWidth="1"/>
    <col min="1797" max="1797" width="2.7109375" customWidth="1"/>
    <col min="1798" max="1798" width="8.85546875"/>
    <col min="1799" max="1799" width="10.85546875" customWidth="1"/>
    <col min="1800" max="1800" width="7.85546875" customWidth="1"/>
    <col min="1801" max="1801" width="11.28515625" customWidth="1"/>
    <col min="1802" max="2042" width="8.85546875"/>
    <col min="2043" max="2043" width="11.5703125" customWidth="1"/>
    <col min="2044" max="2044" width="17" customWidth="1"/>
    <col min="2045" max="2045" width="8.85546875"/>
    <col min="2046" max="2046" width="2.85546875" customWidth="1"/>
    <col min="2047" max="2047" width="14.140625" customWidth="1"/>
    <col min="2048" max="2048" width="15.42578125" customWidth="1"/>
    <col min="2049" max="2049" width="13.5703125" customWidth="1"/>
    <col min="2050" max="2050" width="13.85546875" customWidth="1"/>
    <col min="2051" max="2051" width="13.140625" customWidth="1"/>
    <col min="2052" max="2052" width="14.85546875" bestFit="1" customWidth="1"/>
    <col min="2053" max="2053" width="2.7109375" customWidth="1"/>
    <col min="2054" max="2054" width="8.85546875"/>
    <col min="2055" max="2055" width="10.85546875" customWidth="1"/>
    <col min="2056" max="2056" width="7.85546875" customWidth="1"/>
    <col min="2057" max="2057" width="11.28515625" customWidth="1"/>
    <col min="2058" max="2298" width="8.85546875"/>
    <col min="2299" max="2299" width="11.5703125" customWidth="1"/>
    <col min="2300" max="2300" width="17" customWidth="1"/>
    <col min="2301" max="2301" width="8.85546875"/>
    <col min="2302" max="2302" width="2.85546875" customWidth="1"/>
    <col min="2303" max="2303" width="14.140625" customWidth="1"/>
    <col min="2304" max="2304" width="15.42578125" customWidth="1"/>
    <col min="2305" max="2305" width="13.5703125" customWidth="1"/>
    <col min="2306" max="2306" width="13.85546875" customWidth="1"/>
    <col min="2307" max="2307" width="13.140625" customWidth="1"/>
    <col min="2308" max="2308" width="14.85546875" bestFit="1" customWidth="1"/>
    <col min="2309" max="2309" width="2.7109375" customWidth="1"/>
    <col min="2310" max="2310" width="8.85546875"/>
    <col min="2311" max="2311" width="10.85546875" customWidth="1"/>
    <col min="2312" max="2312" width="7.85546875" customWidth="1"/>
    <col min="2313" max="2313" width="11.28515625" customWidth="1"/>
    <col min="2314" max="2554" width="8.85546875"/>
    <col min="2555" max="2555" width="11.5703125" customWidth="1"/>
    <col min="2556" max="2556" width="17" customWidth="1"/>
    <col min="2557" max="2557" width="8.85546875"/>
    <col min="2558" max="2558" width="2.85546875" customWidth="1"/>
    <col min="2559" max="2559" width="14.140625" customWidth="1"/>
    <col min="2560" max="2560" width="15.42578125" customWidth="1"/>
    <col min="2561" max="2561" width="13.5703125" customWidth="1"/>
    <col min="2562" max="2562" width="13.85546875" customWidth="1"/>
    <col min="2563" max="2563" width="13.140625" customWidth="1"/>
    <col min="2564" max="2564" width="14.85546875" bestFit="1" customWidth="1"/>
    <col min="2565" max="2565" width="2.7109375" customWidth="1"/>
    <col min="2566" max="2566" width="8.85546875"/>
    <col min="2567" max="2567" width="10.85546875" customWidth="1"/>
    <col min="2568" max="2568" width="7.85546875" customWidth="1"/>
    <col min="2569" max="2569" width="11.28515625" customWidth="1"/>
    <col min="2570" max="2810" width="8.85546875"/>
    <col min="2811" max="2811" width="11.5703125" customWidth="1"/>
    <col min="2812" max="2812" width="17" customWidth="1"/>
    <col min="2813" max="2813" width="8.85546875"/>
    <col min="2814" max="2814" width="2.85546875" customWidth="1"/>
    <col min="2815" max="2815" width="14.140625" customWidth="1"/>
    <col min="2816" max="2816" width="15.42578125" customWidth="1"/>
    <col min="2817" max="2817" width="13.5703125" customWidth="1"/>
    <col min="2818" max="2818" width="13.85546875" customWidth="1"/>
    <col min="2819" max="2819" width="13.140625" customWidth="1"/>
    <col min="2820" max="2820" width="14.85546875" bestFit="1" customWidth="1"/>
    <col min="2821" max="2821" width="2.7109375" customWidth="1"/>
    <col min="2822" max="2822" width="8.85546875"/>
    <col min="2823" max="2823" width="10.85546875" customWidth="1"/>
    <col min="2824" max="2824" width="7.85546875" customWidth="1"/>
    <col min="2825" max="2825" width="11.28515625" customWidth="1"/>
    <col min="2826" max="3066" width="8.85546875"/>
    <col min="3067" max="3067" width="11.5703125" customWidth="1"/>
    <col min="3068" max="3068" width="17" customWidth="1"/>
    <col min="3069" max="3069" width="8.85546875"/>
    <col min="3070" max="3070" width="2.85546875" customWidth="1"/>
    <col min="3071" max="3071" width="14.140625" customWidth="1"/>
    <col min="3072" max="3072" width="15.42578125" customWidth="1"/>
    <col min="3073" max="3073" width="13.5703125" customWidth="1"/>
    <col min="3074" max="3074" width="13.85546875" customWidth="1"/>
    <col min="3075" max="3075" width="13.140625" customWidth="1"/>
    <col min="3076" max="3076" width="14.85546875" bestFit="1" customWidth="1"/>
    <col min="3077" max="3077" width="2.7109375" customWidth="1"/>
    <col min="3078" max="3078" width="8.85546875"/>
    <col min="3079" max="3079" width="10.85546875" customWidth="1"/>
    <col min="3080" max="3080" width="7.85546875" customWidth="1"/>
    <col min="3081" max="3081" width="11.28515625" customWidth="1"/>
    <col min="3082" max="3322" width="8.85546875"/>
    <col min="3323" max="3323" width="11.5703125" customWidth="1"/>
    <col min="3324" max="3324" width="17" customWidth="1"/>
    <col min="3325" max="3325" width="8.85546875"/>
    <col min="3326" max="3326" width="2.85546875" customWidth="1"/>
    <col min="3327" max="3327" width="14.140625" customWidth="1"/>
    <col min="3328" max="3328" width="15.42578125" customWidth="1"/>
    <col min="3329" max="3329" width="13.5703125" customWidth="1"/>
    <col min="3330" max="3330" width="13.85546875" customWidth="1"/>
    <col min="3331" max="3331" width="13.140625" customWidth="1"/>
    <col min="3332" max="3332" width="14.85546875" bestFit="1" customWidth="1"/>
    <col min="3333" max="3333" width="2.7109375" customWidth="1"/>
    <col min="3334" max="3334" width="8.85546875"/>
    <col min="3335" max="3335" width="10.85546875" customWidth="1"/>
    <col min="3336" max="3336" width="7.85546875" customWidth="1"/>
    <col min="3337" max="3337" width="11.28515625" customWidth="1"/>
    <col min="3338" max="3578" width="8.85546875"/>
    <col min="3579" max="3579" width="11.5703125" customWidth="1"/>
    <col min="3580" max="3580" width="17" customWidth="1"/>
    <col min="3581" max="3581" width="8.85546875"/>
    <col min="3582" max="3582" width="2.85546875" customWidth="1"/>
    <col min="3583" max="3583" width="14.140625" customWidth="1"/>
    <col min="3584" max="3584" width="15.42578125" customWidth="1"/>
    <col min="3585" max="3585" width="13.5703125" customWidth="1"/>
    <col min="3586" max="3586" width="13.85546875" customWidth="1"/>
    <col min="3587" max="3587" width="13.140625" customWidth="1"/>
    <col min="3588" max="3588" width="14.85546875" bestFit="1" customWidth="1"/>
    <col min="3589" max="3589" width="2.7109375" customWidth="1"/>
    <col min="3590" max="3590" width="8.85546875"/>
    <col min="3591" max="3591" width="10.85546875" customWidth="1"/>
    <col min="3592" max="3592" width="7.85546875" customWidth="1"/>
    <col min="3593" max="3593" width="11.28515625" customWidth="1"/>
    <col min="3594" max="3834" width="8.85546875"/>
    <col min="3835" max="3835" width="11.5703125" customWidth="1"/>
    <col min="3836" max="3836" width="17" customWidth="1"/>
    <col min="3837" max="3837" width="8.85546875"/>
    <col min="3838" max="3838" width="2.85546875" customWidth="1"/>
    <col min="3839" max="3839" width="14.140625" customWidth="1"/>
    <col min="3840" max="3840" width="15.42578125" customWidth="1"/>
    <col min="3841" max="3841" width="13.5703125" customWidth="1"/>
    <col min="3842" max="3842" width="13.85546875" customWidth="1"/>
    <col min="3843" max="3843" width="13.140625" customWidth="1"/>
    <col min="3844" max="3844" width="14.85546875" bestFit="1" customWidth="1"/>
    <col min="3845" max="3845" width="2.7109375" customWidth="1"/>
    <col min="3846" max="3846" width="8.85546875"/>
    <col min="3847" max="3847" width="10.85546875" customWidth="1"/>
    <col min="3848" max="3848" width="7.85546875" customWidth="1"/>
    <col min="3849" max="3849" width="11.28515625" customWidth="1"/>
    <col min="3850" max="4090" width="8.85546875"/>
    <col min="4091" max="4091" width="11.5703125" customWidth="1"/>
    <col min="4092" max="4092" width="17" customWidth="1"/>
    <col min="4093" max="4093" width="8.85546875"/>
    <col min="4094" max="4094" width="2.85546875" customWidth="1"/>
    <col min="4095" max="4095" width="14.140625" customWidth="1"/>
    <col min="4096" max="4096" width="15.42578125" customWidth="1"/>
    <col min="4097" max="4097" width="13.5703125" customWidth="1"/>
    <col min="4098" max="4098" width="13.85546875" customWidth="1"/>
    <col min="4099" max="4099" width="13.140625" customWidth="1"/>
    <col min="4100" max="4100" width="14.85546875" bestFit="1" customWidth="1"/>
    <col min="4101" max="4101" width="2.7109375" customWidth="1"/>
    <col min="4102" max="4102" width="8.85546875"/>
    <col min="4103" max="4103" width="10.85546875" customWidth="1"/>
    <col min="4104" max="4104" width="7.85546875" customWidth="1"/>
    <col min="4105" max="4105" width="11.28515625" customWidth="1"/>
    <col min="4106" max="4346" width="8.85546875"/>
    <col min="4347" max="4347" width="11.5703125" customWidth="1"/>
    <col min="4348" max="4348" width="17" customWidth="1"/>
    <col min="4349" max="4349" width="8.85546875"/>
    <col min="4350" max="4350" width="2.85546875" customWidth="1"/>
    <col min="4351" max="4351" width="14.140625" customWidth="1"/>
    <col min="4352" max="4352" width="15.42578125" customWidth="1"/>
    <col min="4353" max="4353" width="13.5703125" customWidth="1"/>
    <col min="4354" max="4354" width="13.85546875" customWidth="1"/>
    <col min="4355" max="4355" width="13.140625" customWidth="1"/>
    <col min="4356" max="4356" width="14.85546875" bestFit="1" customWidth="1"/>
    <col min="4357" max="4357" width="2.7109375" customWidth="1"/>
    <col min="4358" max="4358" width="8.85546875"/>
    <col min="4359" max="4359" width="10.85546875" customWidth="1"/>
    <col min="4360" max="4360" width="7.85546875" customWidth="1"/>
    <col min="4361" max="4361" width="11.28515625" customWidth="1"/>
    <col min="4362" max="4602" width="8.85546875"/>
    <col min="4603" max="4603" width="11.5703125" customWidth="1"/>
    <col min="4604" max="4604" width="17" customWidth="1"/>
    <col min="4605" max="4605" width="8.85546875"/>
    <col min="4606" max="4606" width="2.85546875" customWidth="1"/>
    <col min="4607" max="4607" width="14.140625" customWidth="1"/>
    <col min="4608" max="4608" width="15.42578125" customWidth="1"/>
    <col min="4609" max="4609" width="13.5703125" customWidth="1"/>
    <col min="4610" max="4610" width="13.85546875" customWidth="1"/>
    <col min="4611" max="4611" width="13.140625" customWidth="1"/>
    <col min="4612" max="4612" width="14.85546875" bestFit="1" customWidth="1"/>
    <col min="4613" max="4613" width="2.7109375" customWidth="1"/>
    <col min="4614" max="4614" width="8.85546875"/>
    <col min="4615" max="4615" width="10.85546875" customWidth="1"/>
    <col min="4616" max="4616" width="7.85546875" customWidth="1"/>
    <col min="4617" max="4617" width="11.28515625" customWidth="1"/>
    <col min="4618" max="4858" width="8.85546875"/>
    <col min="4859" max="4859" width="11.5703125" customWidth="1"/>
    <col min="4860" max="4860" width="17" customWidth="1"/>
    <col min="4861" max="4861" width="8.85546875"/>
    <col min="4862" max="4862" width="2.85546875" customWidth="1"/>
    <col min="4863" max="4863" width="14.140625" customWidth="1"/>
    <col min="4864" max="4864" width="15.42578125" customWidth="1"/>
    <col min="4865" max="4865" width="13.5703125" customWidth="1"/>
    <col min="4866" max="4866" width="13.85546875" customWidth="1"/>
    <col min="4867" max="4867" width="13.140625" customWidth="1"/>
    <col min="4868" max="4868" width="14.85546875" bestFit="1" customWidth="1"/>
    <col min="4869" max="4869" width="2.7109375" customWidth="1"/>
    <col min="4870" max="4870" width="8.85546875"/>
    <col min="4871" max="4871" width="10.85546875" customWidth="1"/>
    <col min="4872" max="4872" width="7.85546875" customWidth="1"/>
    <col min="4873" max="4873" width="11.28515625" customWidth="1"/>
    <col min="4874" max="5114" width="8.85546875"/>
    <col min="5115" max="5115" width="11.5703125" customWidth="1"/>
    <col min="5116" max="5116" width="17" customWidth="1"/>
    <col min="5117" max="5117" width="8.85546875"/>
    <col min="5118" max="5118" width="2.85546875" customWidth="1"/>
    <col min="5119" max="5119" width="14.140625" customWidth="1"/>
    <col min="5120" max="5120" width="15.42578125" customWidth="1"/>
    <col min="5121" max="5121" width="13.5703125" customWidth="1"/>
    <col min="5122" max="5122" width="13.85546875" customWidth="1"/>
    <col min="5123" max="5123" width="13.140625" customWidth="1"/>
    <col min="5124" max="5124" width="14.85546875" bestFit="1" customWidth="1"/>
    <col min="5125" max="5125" width="2.7109375" customWidth="1"/>
    <col min="5126" max="5126" width="8.85546875"/>
    <col min="5127" max="5127" width="10.85546875" customWidth="1"/>
    <col min="5128" max="5128" width="7.85546875" customWidth="1"/>
    <col min="5129" max="5129" width="11.28515625" customWidth="1"/>
    <col min="5130" max="5370" width="8.85546875"/>
    <col min="5371" max="5371" width="11.5703125" customWidth="1"/>
    <col min="5372" max="5372" width="17" customWidth="1"/>
    <col min="5373" max="5373" width="8.85546875"/>
    <col min="5374" max="5374" width="2.85546875" customWidth="1"/>
    <col min="5375" max="5375" width="14.140625" customWidth="1"/>
    <col min="5376" max="5376" width="15.42578125" customWidth="1"/>
    <col min="5377" max="5377" width="13.5703125" customWidth="1"/>
    <col min="5378" max="5378" width="13.85546875" customWidth="1"/>
    <col min="5379" max="5379" width="13.140625" customWidth="1"/>
    <col min="5380" max="5380" width="14.85546875" bestFit="1" customWidth="1"/>
    <col min="5381" max="5381" width="2.7109375" customWidth="1"/>
    <col min="5382" max="5382" width="8.85546875"/>
    <col min="5383" max="5383" width="10.85546875" customWidth="1"/>
    <col min="5384" max="5384" width="7.85546875" customWidth="1"/>
    <col min="5385" max="5385" width="11.28515625" customWidth="1"/>
    <col min="5386" max="5626" width="8.85546875"/>
    <col min="5627" max="5627" width="11.5703125" customWidth="1"/>
    <col min="5628" max="5628" width="17" customWidth="1"/>
    <col min="5629" max="5629" width="8.85546875"/>
    <col min="5630" max="5630" width="2.85546875" customWidth="1"/>
    <col min="5631" max="5631" width="14.140625" customWidth="1"/>
    <col min="5632" max="5632" width="15.42578125" customWidth="1"/>
    <col min="5633" max="5633" width="13.5703125" customWidth="1"/>
    <col min="5634" max="5634" width="13.85546875" customWidth="1"/>
    <col min="5635" max="5635" width="13.140625" customWidth="1"/>
    <col min="5636" max="5636" width="14.85546875" bestFit="1" customWidth="1"/>
    <col min="5637" max="5637" width="2.7109375" customWidth="1"/>
    <col min="5638" max="5638" width="8.85546875"/>
    <col min="5639" max="5639" width="10.85546875" customWidth="1"/>
    <col min="5640" max="5640" width="7.85546875" customWidth="1"/>
    <col min="5641" max="5641" width="11.28515625" customWidth="1"/>
    <col min="5642" max="5882" width="8.85546875"/>
    <col min="5883" max="5883" width="11.5703125" customWidth="1"/>
    <col min="5884" max="5884" width="17" customWidth="1"/>
    <col min="5885" max="5885" width="8.85546875"/>
    <col min="5886" max="5886" width="2.85546875" customWidth="1"/>
    <col min="5887" max="5887" width="14.140625" customWidth="1"/>
    <col min="5888" max="5888" width="15.42578125" customWidth="1"/>
    <col min="5889" max="5889" width="13.5703125" customWidth="1"/>
    <col min="5890" max="5890" width="13.85546875" customWidth="1"/>
    <col min="5891" max="5891" width="13.140625" customWidth="1"/>
    <col min="5892" max="5892" width="14.85546875" bestFit="1" customWidth="1"/>
    <col min="5893" max="5893" width="2.7109375" customWidth="1"/>
    <col min="5894" max="5894" width="8.85546875"/>
    <col min="5895" max="5895" width="10.85546875" customWidth="1"/>
    <col min="5896" max="5896" width="7.85546875" customWidth="1"/>
    <col min="5897" max="5897" width="11.28515625" customWidth="1"/>
    <col min="5898" max="6138" width="8.85546875"/>
    <col min="6139" max="6139" width="11.5703125" customWidth="1"/>
    <col min="6140" max="6140" width="17" customWidth="1"/>
    <col min="6141" max="6141" width="8.85546875"/>
    <col min="6142" max="6142" width="2.85546875" customWidth="1"/>
    <col min="6143" max="6143" width="14.140625" customWidth="1"/>
    <col min="6144" max="6144" width="15.42578125" customWidth="1"/>
    <col min="6145" max="6145" width="13.5703125" customWidth="1"/>
    <col min="6146" max="6146" width="13.85546875" customWidth="1"/>
    <col min="6147" max="6147" width="13.140625" customWidth="1"/>
    <col min="6148" max="6148" width="14.85546875" bestFit="1" customWidth="1"/>
    <col min="6149" max="6149" width="2.7109375" customWidth="1"/>
    <col min="6150" max="6150" width="8.85546875"/>
    <col min="6151" max="6151" width="10.85546875" customWidth="1"/>
    <col min="6152" max="6152" width="7.85546875" customWidth="1"/>
    <col min="6153" max="6153" width="11.28515625" customWidth="1"/>
    <col min="6154" max="6394" width="8.85546875"/>
    <col min="6395" max="6395" width="11.5703125" customWidth="1"/>
    <col min="6396" max="6396" width="17" customWidth="1"/>
    <col min="6397" max="6397" width="8.85546875"/>
    <col min="6398" max="6398" width="2.85546875" customWidth="1"/>
    <col min="6399" max="6399" width="14.140625" customWidth="1"/>
    <col min="6400" max="6400" width="15.42578125" customWidth="1"/>
    <col min="6401" max="6401" width="13.5703125" customWidth="1"/>
    <col min="6402" max="6402" width="13.85546875" customWidth="1"/>
    <col min="6403" max="6403" width="13.140625" customWidth="1"/>
    <col min="6404" max="6404" width="14.85546875" bestFit="1" customWidth="1"/>
    <col min="6405" max="6405" width="2.7109375" customWidth="1"/>
    <col min="6406" max="6406" width="8.85546875"/>
    <col min="6407" max="6407" width="10.85546875" customWidth="1"/>
    <col min="6408" max="6408" width="7.85546875" customWidth="1"/>
    <col min="6409" max="6409" width="11.28515625" customWidth="1"/>
    <col min="6410" max="6650" width="8.85546875"/>
    <col min="6651" max="6651" width="11.5703125" customWidth="1"/>
    <col min="6652" max="6652" width="17" customWidth="1"/>
    <col min="6653" max="6653" width="8.85546875"/>
    <col min="6654" max="6654" width="2.85546875" customWidth="1"/>
    <col min="6655" max="6655" width="14.140625" customWidth="1"/>
    <col min="6656" max="6656" width="15.42578125" customWidth="1"/>
    <col min="6657" max="6657" width="13.5703125" customWidth="1"/>
    <col min="6658" max="6658" width="13.85546875" customWidth="1"/>
    <col min="6659" max="6659" width="13.140625" customWidth="1"/>
    <col min="6660" max="6660" width="14.85546875" bestFit="1" customWidth="1"/>
    <col min="6661" max="6661" width="2.7109375" customWidth="1"/>
    <col min="6662" max="6662" width="8.85546875"/>
    <col min="6663" max="6663" width="10.85546875" customWidth="1"/>
    <col min="6664" max="6664" width="7.85546875" customWidth="1"/>
    <col min="6665" max="6665" width="11.28515625" customWidth="1"/>
    <col min="6666" max="6906" width="8.85546875"/>
    <col min="6907" max="6907" width="11.5703125" customWidth="1"/>
    <col min="6908" max="6908" width="17" customWidth="1"/>
    <col min="6909" max="6909" width="8.85546875"/>
    <col min="6910" max="6910" width="2.85546875" customWidth="1"/>
    <col min="6911" max="6911" width="14.140625" customWidth="1"/>
    <col min="6912" max="6912" width="15.42578125" customWidth="1"/>
    <col min="6913" max="6913" width="13.5703125" customWidth="1"/>
    <col min="6914" max="6914" width="13.85546875" customWidth="1"/>
    <col min="6915" max="6915" width="13.140625" customWidth="1"/>
    <col min="6916" max="6916" width="14.85546875" bestFit="1" customWidth="1"/>
    <col min="6917" max="6917" width="2.7109375" customWidth="1"/>
    <col min="6918" max="6918" width="8.85546875"/>
    <col min="6919" max="6919" width="10.85546875" customWidth="1"/>
    <col min="6920" max="6920" width="7.85546875" customWidth="1"/>
    <col min="6921" max="6921" width="11.28515625" customWidth="1"/>
    <col min="6922" max="7162" width="8.85546875"/>
    <col min="7163" max="7163" width="11.5703125" customWidth="1"/>
    <col min="7164" max="7164" width="17" customWidth="1"/>
    <col min="7165" max="7165" width="8.85546875"/>
    <col min="7166" max="7166" width="2.85546875" customWidth="1"/>
    <col min="7167" max="7167" width="14.140625" customWidth="1"/>
    <col min="7168" max="7168" width="15.42578125" customWidth="1"/>
    <col min="7169" max="7169" width="13.5703125" customWidth="1"/>
    <col min="7170" max="7170" width="13.85546875" customWidth="1"/>
    <col min="7171" max="7171" width="13.140625" customWidth="1"/>
    <col min="7172" max="7172" width="14.85546875" bestFit="1" customWidth="1"/>
    <col min="7173" max="7173" width="2.7109375" customWidth="1"/>
    <col min="7174" max="7174" width="8.85546875"/>
    <col min="7175" max="7175" width="10.85546875" customWidth="1"/>
    <col min="7176" max="7176" width="7.85546875" customWidth="1"/>
    <col min="7177" max="7177" width="11.28515625" customWidth="1"/>
    <col min="7178" max="7418" width="8.85546875"/>
    <col min="7419" max="7419" width="11.5703125" customWidth="1"/>
    <col min="7420" max="7420" width="17" customWidth="1"/>
    <col min="7421" max="7421" width="8.85546875"/>
    <col min="7422" max="7422" width="2.85546875" customWidth="1"/>
    <col min="7423" max="7423" width="14.140625" customWidth="1"/>
    <col min="7424" max="7424" width="15.42578125" customWidth="1"/>
    <col min="7425" max="7425" width="13.5703125" customWidth="1"/>
    <col min="7426" max="7426" width="13.85546875" customWidth="1"/>
    <col min="7427" max="7427" width="13.140625" customWidth="1"/>
    <col min="7428" max="7428" width="14.85546875" bestFit="1" customWidth="1"/>
    <col min="7429" max="7429" width="2.7109375" customWidth="1"/>
    <col min="7430" max="7430" width="8.85546875"/>
    <col min="7431" max="7431" width="10.85546875" customWidth="1"/>
    <col min="7432" max="7432" width="7.85546875" customWidth="1"/>
    <col min="7433" max="7433" width="11.28515625" customWidth="1"/>
    <col min="7434" max="7674" width="8.85546875"/>
    <col min="7675" max="7675" width="11.5703125" customWidth="1"/>
    <col min="7676" max="7676" width="17" customWidth="1"/>
    <col min="7677" max="7677" width="8.85546875"/>
    <col min="7678" max="7678" width="2.85546875" customWidth="1"/>
    <col min="7679" max="7679" width="14.140625" customWidth="1"/>
    <col min="7680" max="7680" width="15.42578125" customWidth="1"/>
    <col min="7681" max="7681" width="13.5703125" customWidth="1"/>
    <col min="7682" max="7682" width="13.85546875" customWidth="1"/>
    <col min="7683" max="7683" width="13.140625" customWidth="1"/>
    <col min="7684" max="7684" width="14.85546875" bestFit="1" customWidth="1"/>
    <col min="7685" max="7685" width="2.7109375" customWidth="1"/>
    <col min="7686" max="7686" width="8.85546875"/>
    <col min="7687" max="7687" width="10.85546875" customWidth="1"/>
    <col min="7688" max="7688" width="7.85546875" customWidth="1"/>
    <col min="7689" max="7689" width="11.28515625" customWidth="1"/>
    <col min="7690" max="7930" width="8.85546875"/>
    <col min="7931" max="7931" width="11.5703125" customWidth="1"/>
    <col min="7932" max="7932" width="17" customWidth="1"/>
    <col min="7933" max="7933" width="8.85546875"/>
    <col min="7934" max="7934" width="2.85546875" customWidth="1"/>
    <col min="7935" max="7935" width="14.140625" customWidth="1"/>
    <col min="7936" max="7936" width="15.42578125" customWidth="1"/>
    <col min="7937" max="7937" width="13.5703125" customWidth="1"/>
    <col min="7938" max="7938" width="13.85546875" customWidth="1"/>
    <col min="7939" max="7939" width="13.140625" customWidth="1"/>
    <col min="7940" max="7940" width="14.85546875" bestFit="1" customWidth="1"/>
    <col min="7941" max="7941" width="2.7109375" customWidth="1"/>
    <col min="7942" max="7942" width="8.85546875"/>
    <col min="7943" max="7943" width="10.85546875" customWidth="1"/>
    <col min="7944" max="7944" width="7.85546875" customWidth="1"/>
    <col min="7945" max="7945" width="11.28515625" customWidth="1"/>
    <col min="7946" max="8186" width="8.85546875"/>
    <col min="8187" max="8187" width="11.5703125" customWidth="1"/>
    <col min="8188" max="8188" width="17" customWidth="1"/>
    <col min="8189" max="8189" width="8.85546875"/>
    <col min="8190" max="8190" width="2.85546875" customWidth="1"/>
    <col min="8191" max="8191" width="14.140625" customWidth="1"/>
    <col min="8192" max="8192" width="15.42578125" customWidth="1"/>
    <col min="8193" max="8193" width="13.5703125" customWidth="1"/>
    <col min="8194" max="8194" width="13.85546875" customWidth="1"/>
    <col min="8195" max="8195" width="13.140625" customWidth="1"/>
    <col min="8196" max="8196" width="14.85546875" bestFit="1" customWidth="1"/>
    <col min="8197" max="8197" width="2.7109375" customWidth="1"/>
    <col min="8198" max="8198" width="8.85546875"/>
    <col min="8199" max="8199" width="10.85546875" customWidth="1"/>
    <col min="8200" max="8200" width="7.85546875" customWidth="1"/>
    <col min="8201" max="8201" width="11.28515625" customWidth="1"/>
    <col min="8202" max="8442" width="8.85546875"/>
    <col min="8443" max="8443" width="11.5703125" customWidth="1"/>
    <col min="8444" max="8444" width="17" customWidth="1"/>
    <col min="8445" max="8445" width="8.85546875"/>
    <col min="8446" max="8446" width="2.85546875" customWidth="1"/>
    <col min="8447" max="8447" width="14.140625" customWidth="1"/>
    <col min="8448" max="8448" width="15.42578125" customWidth="1"/>
    <col min="8449" max="8449" width="13.5703125" customWidth="1"/>
    <col min="8450" max="8450" width="13.85546875" customWidth="1"/>
    <col min="8451" max="8451" width="13.140625" customWidth="1"/>
    <col min="8452" max="8452" width="14.85546875" bestFit="1" customWidth="1"/>
    <col min="8453" max="8453" width="2.7109375" customWidth="1"/>
    <col min="8454" max="8454" width="8.85546875"/>
    <col min="8455" max="8455" width="10.85546875" customWidth="1"/>
    <col min="8456" max="8456" width="7.85546875" customWidth="1"/>
    <col min="8457" max="8457" width="11.28515625" customWidth="1"/>
    <col min="8458" max="8698" width="8.85546875"/>
    <col min="8699" max="8699" width="11.5703125" customWidth="1"/>
    <col min="8700" max="8700" width="17" customWidth="1"/>
    <col min="8701" max="8701" width="8.85546875"/>
    <col min="8702" max="8702" width="2.85546875" customWidth="1"/>
    <col min="8703" max="8703" width="14.140625" customWidth="1"/>
    <col min="8704" max="8704" width="15.42578125" customWidth="1"/>
    <col min="8705" max="8705" width="13.5703125" customWidth="1"/>
    <col min="8706" max="8706" width="13.85546875" customWidth="1"/>
    <col min="8707" max="8707" width="13.140625" customWidth="1"/>
    <col min="8708" max="8708" width="14.85546875" bestFit="1" customWidth="1"/>
    <col min="8709" max="8709" width="2.7109375" customWidth="1"/>
    <col min="8710" max="8710" width="8.85546875"/>
    <col min="8711" max="8711" width="10.85546875" customWidth="1"/>
    <col min="8712" max="8712" width="7.85546875" customWidth="1"/>
    <col min="8713" max="8713" width="11.28515625" customWidth="1"/>
    <col min="8714" max="8954" width="8.85546875"/>
    <col min="8955" max="8955" width="11.5703125" customWidth="1"/>
    <col min="8956" max="8956" width="17" customWidth="1"/>
    <col min="8957" max="8957" width="8.85546875"/>
    <col min="8958" max="8958" width="2.85546875" customWidth="1"/>
    <col min="8959" max="8959" width="14.140625" customWidth="1"/>
    <col min="8960" max="8960" width="15.42578125" customWidth="1"/>
    <col min="8961" max="8961" width="13.5703125" customWidth="1"/>
    <col min="8962" max="8962" width="13.85546875" customWidth="1"/>
    <col min="8963" max="8963" width="13.140625" customWidth="1"/>
    <col min="8964" max="8964" width="14.85546875" bestFit="1" customWidth="1"/>
    <col min="8965" max="8965" width="2.7109375" customWidth="1"/>
    <col min="8966" max="8966" width="8.85546875"/>
    <col min="8967" max="8967" width="10.85546875" customWidth="1"/>
    <col min="8968" max="8968" width="7.85546875" customWidth="1"/>
    <col min="8969" max="8969" width="11.28515625" customWidth="1"/>
    <col min="8970" max="9210" width="8.85546875"/>
    <col min="9211" max="9211" width="11.5703125" customWidth="1"/>
    <col min="9212" max="9212" width="17" customWidth="1"/>
    <col min="9213" max="9213" width="8.85546875"/>
    <col min="9214" max="9214" width="2.85546875" customWidth="1"/>
    <col min="9215" max="9215" width="14.140625" customWidth="1"/>
    <col min="9216" max="9216" width="15.42578125" customWidth="1"/>
    <col min="9217" max="9217" width="13.5703125" customWidth="1"/>
    <col min="9218" max="9218" width="13.85546875" customWidth="1"/>
    <col min="9219" max="9219" width="13.140625" customWidth="1"/>
    <col min="9220" max="9220" width="14.85546875" bestFit="1" customWidth="1"/>
    <col min="9221" max="9221" width="2.7109375" customWidth="1"/>
    <col min="9222" max="9222" width="8.85546875"/>
    <col min="9223" max="9223" width="10.85546875" customWidth="1"/>
    <col min="9224" max="9224" width="7.85546875" customWidth="1"/>
    <col min="9225" max="9225" width="11.28515625" customWidth="1"/>
    <col min="9226" max="9466" width="8.85546875"/>
    <col min="9467" max="9467" width="11.5703125" customWidth="1"/>
    <col min="9468" max="9468" width="17" customWidth="1"/>
    <col min="9469" max="9469" width="8.85546875"/>
    <col min="9470" max="9470" width="2.85546875" customWidth="1"/>
    <col min="9471" max="9471" width="14.140625" customWidth="1"/>
    <col min="9472" max="9472" width="15.42578125" customWidth="1"/>
    <col min="9473" max="9473" width="13.5703125" customWidth="1"/>
    <col min="9474" max="9474" width="13.85546875" customWidth="1"/>
    <col min="9475" max="9475" width="13.140625" customWidth="1"/>
    <col min="9476" max="9476" width="14.85546875" bestFit="1" customWidth="1"/>
    <col min="9477" max="9477" width="2.7109375" customWidth="1"/>
    <col min="9478" max="9478" width="8.85546875"/>
    <col min="9479" max="9479" width="10.85546875" customWidth="1"/>
    <col min="9480" max="9480" width="7.85546875" customWidth="1"/>
    <col min="9481" max="9481" width="11.28515625" customWidth="1"/>
    <col min="9482" max="9722" width="8.85546875"/>
    <col min="9723" max="9723" width="11.5703125" customWidth="1"/>
    <col min="9724" max="9724" width="17" customWidth="1"/>
    <col min="9725" max="9725" width="8.85546875"/>
    <col min="9726" max="9726" width="2.85546875" customWidth="1"/>
    <col min="9727" max="9727" width="14.140625" customWidth="1"/>
    <col min="9728" max="9728" width="15.42578125" customWidth="1"/>
    <col min="9729" max="9729" width="13.5703125" customWidth="1"/>
    <col min="9730" max="9730" width="13.85546875" customWidth="1"/>
    <col min="9731" max="9731" width="13.140625" customWidth="1"/>
    <col min="9732" max="9732" width="14.85546875" bestFit="1" customWidth="1"/>
    <col min="9733" max="9733" width="2.7109375" customWidth="1"/>
    <col min="9734" max="9734" width="8.85546875"/>
    <col min="9735" max="9735" width="10.85546875" customWidth="1"/>
    <col min="9736" max="9736" width="7.85546875" customWidth="1"/>
    <col min="9737" max="9737" width="11.28515625" customWidth="1"/>
    <col min="9738" max="9978" width="8.85546875"/>
    <col min="9979" max="9979" width="11.5703125" customWidth="1"/>
    <col min="9980" max="9980" width="17" customWidth="1"/>
    <col min="9981" max="9981" width="8.85546875"/>
    <col min="9982" max="9982" width="2.85546875" customWidth="1"/>
    <col min="9983" max="9983" width="14.140625" customWidth="1"/>
    <col min="9984" max="9984" width="15.42578125" customWidth="1"/>
    <col min="9985" max="9985" width="13.5703125" customWidth="1"/>
    <col min="9986" max="9986" width="13.85546875" customWidth="1"/>
    <col min="9987" max="9987" width="13.140625" customWidth="1"/>
    <col min="9988" max="9988" width="14.85546875" bestFit="1" customWidth="1"/>
    <col min="9989" max="9989" width="2.7109375" customWidth="1"/>
    <col min="9990" max="9990" width="8.85546875"/>
    <col min="9991" max="9991" width="10.85546875" customWidth="1"/>
    <col min="9992" max="9992" width="7.85546875" customWidth="1"/>
    <col min="9993" max="9993" width="11.28515625" customWidth="1"/>
    <col min="9994" max="10234" width="8.85546875"/>
    <col min="10235" max="10235" width="11.5703125" customWidth="1"/>
    <col min="10236" max="10236" width="17" customWidth="1"/>
    <col min="10237" max="10237" width="8.85546875"/>
    <col min="10238" max="10238" width="2.85546875" customWidth="1"/>
    <col min="10239" max="10239" width="14.140625" customWidth="1"/>
    <col min="10240" max="10240" width="15.42578125" customWidth="1"/>
    <col min="10241" max="10241" width="13.5703125" customWidth="1"/>
    <col min="10242" max="10242" width="13.85546875" customWidth="1"/>
    <col min="10243" max="10243" width="13.140625" customWidth="1"/>
    <col min="10244" max="10244" width="14.85546875" bestFit="1" customWidth="1"/>
    <col min="10245" max="10245" width="2.7109375" customWidth="1"/>
    <col min="10246" max="10246" width="8.85546875"/>
    <col min="10247" max="10247" width="10.85546875" customWidth="1"/>
    <col min="10248" max="10248" width="7.85546875" customWidth="1"/>
    <col min="10249" max="10249" width="11.28515625" customWidth="1"/>
    <col min="10250" max="10490" width="8.85546875"/>
    <col min="10491" max="10491" width="11.5703125" customWidth="1"/>
    <col min="10492" max="10492" width="17" customWidth="1"/>
    <col min="10493" max="10493" width="8.85546875"/>
    <col min="10494" max="10494" width="2.85546875" customWidth="1"/>
    <col min="10495" max="10495" width="14.140625" customWidth="1"/>
    <col min="10496" max="10496" width="15.42578125" customWidth="1"/>
    <col min="10497" max="10497" width="13.5703125" customWidth="1"/>
    <col min="10498" max="10498" width="13.85546875" customWidth="1"/>
    <col min="10499" max="10499" width="13.140625" customWidth="1"/>
    <col min="10500" max="10500" width="14.85546875" bestFit="1" customWidth="1"/>
    <col min="10501" max="10501" width="2.7109375" customWidth="1"/>
    <col min="10502" max="10502" width="8.85546875"/>
    <col min="10503" max="10503" width="10.85546875" customWidth="1"/>
    <col min="10504" max="10504" width="7.85546875" customWidth="1"/>
    <col min="10505" max="10505" width="11.28515625" customWidth="1"/>
    <col min="10506" max="10746" width="8.85546875"/>
    <col min="10747" max="10747" width="11.5703125" customWidth="1"/>
    <col min="10748" max="10748" width="17" customWidth="1"/>
    <col min="10749" max="10749" width="8.85546875"/>
    <col min="10750" max="10750" width="2.85546875" customWidth="1"/>
    <col min="10751" max="10751" width="14.140625" customWidth="1"/>
    <col min="10752" max="10752" width="15.42578125" customWidth="1"/>
    <col min="10753" max="10753" width="13.5703125" customWidth="1"/>
    <col min="10754" max="10754" width="13.85546875" customWidth="1"/>
    <col min="10755" max="10755" width="13.140625" customWidth="1"/>
    <col min="10756" max="10756" width="14.85546875" bestFit="1" customWidth="1"/>
    <col min="10757" max="10757" width="2.7109375" customWidth="1"/>
    <col min="10758" max="10758" width="8.85546875"/>
    <col min="10759" max="10759" width="10.85546875" customWidth="1"/>
    <col min="10760" max="10760" width="7.85546875" customWidth="1"/>
    <col min="10761" max="10761" width="11.28515625" customWidth="1"/>
    <col min="10762" max="11002" width="8.85546875"/>
    <col min="11003" max="11003" width="11.5703125" customWidth="1"/>
    <col min="11004" max="11004" width="17" customWidth="1"/>
    <col min="11005" max="11005" width="8.85546875"/>
    <col min="11006" max="11006" width="2.85546875" customWidth="1"/>
    <col min="11007" max="11007" width="14.140625" customWidth="1"/>
    <col min="11008" max="11008" width="15.42578125" customWidth="1"/>
    <col min="11009" max="11009" width="13.5703125" customWidth="1"/>
    <col min="11010" max="11010" width="13.85546875" customWidth="1"/>
    <col min="11011" max="11011" width="13.140625" customWidth="1"/>
    <col min="11012" max="11012" width="14.85546875" bestFit="1" customWidth="1"/>
    <col min="11013" max="11013" width="2.7109375" customWidth="1"/>
    <col min="11014" max="11014" width="8.85546875"/>
    <col min="11015" max="11015" width="10.85546875" customWidth="1"/>
    <col min="11016" max="11016" width="7.85546875" customWidth="1"/>
    <col min="11017" max="11017" width="11.28515625" customWidth="1"/>
    <col min="11018" max="11258" width="8.85546875"/>
    <col min="11259" max="11259" width="11.5703125" customWidth="1"/>
    <col min="11260" max="11260" width="17" customWidth="1"/>
    <col min="11261" max="11261" width="8.85546875"/>
    <col min="11262" max="11262" width="2.85546875" customWidth="1"/>
    <col min="11263" max="11263" width="14.140625" customWidth="1"/>
    <col min="11264" max="11264" width="15.42578125" customWidth="1"/>
    <col min="11265" max="11265" width="13.5703125" customWidth="1"/>
    <col min="11266" max="11266" width="13.85546875" customWidth="1"/>
    <col min="11267" max="11267" width="13.140625" customWidth="1"/>
    <col min="11268" max="11268" width="14.85546875" bestFit="1" customWidth="1"/>
    <col min="11269" max="11269" width="2.7109375" customWidth="1"/>
    <col min="11270" max="11270" width="8.85546875"/>
    <col min="11271" max="11271" width="10.85546875" customWidth="1"/>
    <col min="11272" max="11272" width="7.85546875" customWidth="1"/>
    <col min="11273" max="11273" width="11.28515625" customWidth="1"/>
    <col min="11274" max="11514" width="8.85546875"/>
    <col min="11515" max="11515" width="11.5703125" customWidth="1"/>
    <col min="11516" max="11516" width="17" customWidth="1"/>
    <col min="11517" max="11517" width="8.85546875"/>
    <col min="11518" max="11518" width="2.85546875" customWidth="1"/>
    <col min="11519" max="11519" width="14.140625" customWidth="1"/>
    <col min="11520" max="11520" width="15.42578125" customWidth="1"/>
    <col min="11521" max="11521" width="13.5703125" customWidth="1"/>
    <col min="11522" max="11522" width="13.85546875" customWidth="1"/>
    <col min="11523" max="11523" width="13.140625" customWidth="1"/>
    <col min="11524" max="11524" width="14.85546875" bestFit="1" customWidth="1"/>
    <col min="11525" max="11525" width="2.7109375" customWidth="1"/>
    <col min="11526" max="11526" width="8.85546875"/>
    <col min="11527" max="11527" width="10.85546875" customWidth="1"/>
    <col min="11528" max="11528" width="7.85546875" customWidth="1"/>
    <col min="11529" max="11529" width="11.28515625" customWidth="1"/>
    <col min="11530" max="11770" width="8.85546875"/>
    <col min="11771" max="11771" width="11.5703125" customWidth="1"/>
    <col min="11772" max="11772" width="17" customWidth="1"/>
    <col min="11773" max="11773" width="8.85546875"/>
    <col min="11774" max="11774" width="2.85546875" customWidth="1"/>
    <col min="11775" max="11775" width="14.140625" customWidth="1"/>
    <col min="11776" max="11776" width="15.42578125" customWidth="1"/>
    <col min="11777" max="11777" width="13.5703125" customWidth="1"/>
    <col min="11778" max="11778" width="13.85546875" customWidth="1"/>
    <col min="11779" max="11779" width="13.140625" customWidth="1"/>
    <col min="11780" max="11780" width="14.85546875" bestFit="1" customWidth="1"/>
    <col min="11781" max="11781" width="2.7109375" customWidth="1"/>
    <col min="11782" max="11782" width="8.85546875"/>
    <col min="11783" max="11783" width="10.85546875" customWidth="1"/>
    <col min="11784" max="11784" width="7.85546875" customWidth="1"/>
    <col min="11785" max="11785" width="11.28515625" customWidth="1"/>
    <col min="11786" max="12026" width="8.85546875"/>
    <col min="12027" max="12027" width="11.5703125" customWidth="1"/>
    <col min="12028" max="12028" width="17" customWidth="1"/>
    <col min="12029" max="12029" width="8.85546875"/>
    <col min="12030" max="12030" width="2.85546875" customWidth="1"/>
    <col min="12031" max="12031" width="14.140625" customWidth="1"/>
    <col min="12032" max="12032" width="15.42578125" customWidth="1"/>
    <col min="12033" max="12033" width="13.5703125" customWidth="1"/>
    <col min="12034" max="12034" width="13.85546875" customWidth="1"/>
    <col min="12035" max="12035" width="13.140625" customWidth="1"/>
    <col min="12036" max="12036" width="14.85546875" bestFit="1" customWidth="1"/>
    <col min="12037" max="12037" width="2.7109375" customWidth="1"/>
    <col min="12038" max="12038" width="8.85546875"/>
    <col min="12039" max="12039" width="10.85546875" customWidth="1"/>
    <col min="12040" max="12040" width="7.85546875" customWidth="1"/>
    <col min="12041" max="12041" width="11.28515625" customWidth="1"/>
    <col min="12042" max="12282" width="8.85546875"/>
    <col min="12283" max="12283" width="11.5703125" customWidth="1"/>
    <col min="12284" max="12284" width="17" customWidth="1"/>
    <col min="12285" max="12285" width="8.85546875"/>
    <col min="12286" max="12286" width="2.85546875" customWidth="1"/>
    <col min="12287" max="12287" width="14.140625" customWidth="1"/>
    <col min="12288" max="12288" width="15.42578125" customWidth="1"/>
    <col min="12289" max="12289" width="13.5703125" customWidth="1"/>
    <col min="12290" max="12290" width="13.85546875" customWidth="1"/>
    <col min="12291" max="12291" width="13.140625" customWidth="1"/>
    <col min="12292" max="12292" width="14.85546875" bestFit="1" customWidth="1"/>
    <col min="12293" max="12293" width="2.7109375" customWidth="1"/>
    <col min="12294" max="12294" width="8.85546875"/>
    <col min="12295" max="12295" width="10.85546875" customWidth="1"/>
    <col min="12296" max="12296" width="7.85546875" customWidth="1"/>
    <col min="12297" max="12297" width="11.28515625" customWidth="1"/>
    <col min="12298" max="12538" width="8.85546875"/>
    <col min="12539" max="12539" width="11.5703125" customWidth="1"/>
    <col min="12540" max="12540" width="17" customWidth="1"/>
    <col min="12541" max="12541" width="8.85546875"/>
    <col min="12542" max="12542" width="2.85546875" customWidth="1"/>
    <col min="12543" max="12543" width="14.140625" customWidth="1"/>
    <col min="12544" max="12544" width="15.42578125" customWidth="1"/>
    <col min="12545" max="12545" width="13.5703125" customWidth="1"/>
    <col min="12546" max="12546" width="13.85546875" customWidth="1"/>
    <col min="12547" max="12547" width="13.140625" customWidth="1"/>
    <col min="12548" max="12548" width="14.85546875" bestFit="1" customWidth="1"/>
    <col min="12549" max="12549" width="2.7109375" customWidth="1"/>
    <col min="12550" max="12550" width="8.85546875"/>
    <col min="12551" max="12551" width="10.85546875" customWidth="1"/>
    <col min="12552" max="12552" width="7.85546875" customWidth="1"/>
    <col min="12553" max="12553" width="11.28515625" customWidth="1"/>
    <col min="12554" max="12794" width="8.85546875"/>
    <col min="12795" max="12795" width="11.5703125" customWidth="1"/>
    <col min="12796" max="12796" width="17" customWidth="1"/>
    <col min="12797" max="12797" width="8.85546875"/>
    <col min="12798" max="12798" width="2.85546875" customWidth="1"/>
    <col min="12799" max="12799" width="14.140625" customWidth="1"/>
    <col min="12800" max="12800" width="15.42578125" customWidth="1"/>
    <col min="12801" max="12801" width="13.5703125" customWidth="1"/>
    <col min="12802" max="12802" width="13.85546875" customWidth="1"/>
    <col min="12803" max="12803" width="13.140625" customWidth="1"/>
    <col min="12804" max="12804" width="14.85546875" bestFit="1" customWidth="1"/>
    <col min="12805" max="12805" width="2.7109375" customWidth="1"/>
    <col min="12806" max="12806" width="8.85546875"/>
    <col min="12807" max="12807" width="10.85546875" customWidth="1"/>
    <col min="12808" max="12808" width="7.85546875" customWidth="1"/>
    <col min="12809" max="12809" width="11.28515625" customWidth="1"/>
    <col min="12810" max="13050" width="8.85546875"/>
    <col min="13051" max="13051" width="11.5703125" customWidth="1"/>
    <col min="13052" max="13052" width="17" customWidth="1"/>
    <col min="13053" max="13053" width="8.85546875"/>
    <col min="13054" max="13054" width="2.85546875" customWidth="1"/>
    <col min="13055" max="13055" width="14.140625" customWidth="1"/>
    <col min="13056" max="13056" width="15.42578125" customWidth="1"/>
    <col min="13057" max="13057" width="13.5703125" customWidth="1"/>
    <col min="13058" max="13058" width="13.85546875" customWidth="1"/>
    <col min="13059" max="13059" width="13.140625" customWidth="1"/>
    <col min="13060" max="13060" width="14.85546875" bestFit="1" customWidth="1"/>
    <col min="13061" max="13061" width="2.7109375" customWidth="1"/>
    <col min="13062" max="13062" width="8.85546875"/>
    <col min="13063" max="13063" width="10.85546875" customWidth="1"/>
    <col min="13064" max="13064" width="7.85546875" customWidth="1"/>
    <col min="13065" max="13065" width="11.28515625" customWidth="1"/>
    <col min="13066" max="13306" width="8.85546875"/>
    <col min="13307" max="13307" width="11.5703125" customWidth="1"/>
    <col min="13308" max="13308" width="17" customWidth="1"/>
    <col min="13309" max="13309" width="8.85546875"/>
    <col min="13310" max="13310" width="2.85546875" customWidth="1"/>
    <col min="13311" max="13311" width="14.140625" customWidth="1"/>
    <col min="13312" max="13312" width="15.42578125" customWidth="1"/>
    <col min="13313" max="13313" width="13.5703125" customWidth="1"/>
    <col min="13314" max="13314" width="13.85546875" customWidth="1"/>
    <col min="13315" max="13315" width="13.140625" customWidth="1"/>
    <col min="13316" max="13316" width="14.85546875" bestFit="1" customWidth="1"/>
    <col min="13317" max="13317" width="2.7109375" customWidth="1"/>
    <col min="13318" max="13318" width="8.85546875"/>
    <col min="13319" max="13319" width="10.85546875" customWidth="1"/>
    <col min="13320" max="13320" width="7.85546875" customWidth="1"/>
    <col min="13321" max="13321" width="11.28515625" customWidth="1"/>
    <col min="13322" max="13562" width="8.85546875"/>
    <col min="13563" max="13563" width="11.5703125" customWidth="1"/>
    <col min="13564" max="13564" width="17" customWidth="1"/>
    <col min="13565" max="13565" width="8.85546875"/>
    <col min="13566" max="13566" width="2.85546875" customWidth="1"/>
    <col min="13567" max="13567" width="14.140625" customWidth="1"/>
    <col min="13568" max="13568" width="15.42578125" customWidth="1"/>
    <col min="13569" max="13569" width="13.5703125" customWidth="1"/>
    <col min="13570" max="13570" width="13.85546875" customWidth="1"/>
    <col min="13571" max="13571" width="13.140625" customWidth="1"/>
    <col min="13572" max="13572" width="14.85546875" bestFit="1" customWidth="1"/>
    <col min="13573" max="13573" width="2.7109375" customWidth="1"/>
    <col min="13574" max="13574" width="8.85546875"/>
    <col min="13575" max="13575" width="10.85546875" customWidth="1"/>
    <col min="13576" max="13576" width="7.85546875" customWidth="1"/>
    <col min="13577" max="13577" width="11.28515625" customWidth="1"/>
    <col min="13578" max="13818" width="8.85546875"/>
    <col min="13819" max="13819" width="11.5703125" customWidth="1"/>
    <col min="13820" max="13820" width="17" customWidth="1"/>
    <col min="13821" max="13821" width="8.85546875"/>
    <col min="13822" max="13822" width="2.85546875" customWidth="1"/>
    <col min="13823" max="13823" width="14.140625" customWidth="1"/>
    <col min="13824" max="13824" width="15.42578125" customWidth="1"/>
    <col min="13825" max="13825" width="13.5703125" customWidth="1"/>
    <col min="13826" max="13826" width="13.85546875" customWidth="1"/>
    <col min="13827" max="13827" width="13.140625" customWidth="1"/>
    <col min="13828" max="13828" width="14.85546875" bestFit="1" customWidth="1"/>
    <col min="13829" max="13829" width="2.7109375" customWidth="1"/>
    <col min="13830" max="13830" width="8.85546875"/>
    <col min="13831" max="13831" width="10.85546875" customWidth="1"/>
    <col min="13832" max="13832" width="7.85546875" customWidth="1"/>
    <col min="13833" max="13833" width="11.28515625" customWidth="1"/>
    <col min="13834" max="14074" width="8.85546875"/>
    <col min="14075" max="14075" width="11.5703125" customWidth="1"/>
    <col min="14076" max="14076" width="17" customWidth="1"/>
    <col min="14077" max="14077" width="8.85546875"/>
    <col min="14078" max="14078" width="2.85546875" customWidth="1"/>
    <col min="14079" max="14079" width="14.140625" customWidth="1"/>
    <col min="14080" max="14080" width="15.42578125" customWidth="1"/>
    <col min="14081" max="14081" width="13.5703125" customWidth="1"/>
    <col min="14082" max="14082" width="13.85546875" customWidth="1"/>
    <col min="14083" max="14083" width="13.140625" customWidth="1"/>
    <col min="14084" max="14084" width="14.85546875" bestFit="1" customWidth="1"/>
    <col min="14085" max="14085" width="2.7109375" customWidth="1"/>
    <col min="14086" max="14086" width="8.85546875"/>
    <col min="14087" max="14087" width="10.85546875" customWidth="1"/>
    <col min="14088" max="14088" width="7.85546875" customWidth="1"/>
    <col min="14089" max="14089" width="11.28515625" customWidth="1"/>
    <col min="14090" max="14330" width="8.85546875"/>
    <col min="14331" max="14331" width="11.5703125" customWidth="1"/>
    <col min="14332" max="14332" width="17" customWidth="1"/>
    <col min="14333" max="14333" width="8.85546875"/>
    <col min="14334" max="14334" width="2.85546875" customWidth="1"/>
    <col min="14335" max="14335" width="14.140625" customWidth="1"/>
    <col min="14336" max="14336" width="15.42578125" customWidth="1"/>
    <col min="14337" max="14337" width="13.5703125" customWidth="1"/>
    <col min="14338" max="14338" width="13.85546875" customWidth="1"/>
    <col min="14339" max="14339" width="13.140625" customWidth="1"/>
    <col min="14340" max="14340" width="14.85546875" bestFit="1" customWidth="1"/>
    <col min="14341" max="14341" width="2.7109375" customWidth="1"/>
    <col min="14342" max="14342" width="8.85546875"/>
    <col min="14343" max="14343" width="10.85546875" customWidth="1"/>
    <col min="14344" max="14344" width="7.85546875" customWidth="1"/>
    <col min="14345" max="14345" width="11.28515625" customWidth="1"/>
    <col min="14346" max="14586" width="8.85546875"/>
    <col min="14587" max="14587" width="11.5703125" customWidth="1"/>
    <col min="14588" max="14588" width="17" customWidth="1"/>
    <col min="14589" max="14589" width="8.85546875"/>
    <col min="14590" max="14590" width="2.85546875" customWidth="1"/>
    <col min="14591" max="14591" width="14.140625" customWidth="1"/>
    <col min="14592" max="14592" width="15.42578125" customWidth="1"/>
    <col min="14593" max="14593" width="13.5703125" customWidth="1"/>
    <col min="14594" max="14594" width="13.85546875" customWidth="1"/>
    <col min="14595" max="14595" width="13.140625" customWidth="1"/>
    <col min="14596" max="14596" width="14.85546875" bestFit="1" customWidth="1"/>
    <col min="14597" max="14597" width="2.7109375" customWidth="1"/>
    <col min="14598" max="14598" width="8.85546875"/>
    <col min="14599" max="14599" width="10.85546875" customWidth="1"/>
    <col min="14600" max="14600" width="7.85546875" customWidth="1"/>
    <col min="14601" max="14601" width="11.28515625" customWidth="1"/>
    <col min="14602" max="14842" width="8.85546875"/>
    <col min="14843" max="14843" width="11.5703125" customWidth="1"/>
    <col min="14844" max="14844" width="17" customWidth="1"/>
    <col min="14845" max="14845" width="8.85546875"/>
    <col min="14846" max="14846" width="2.85546875" customWidth="1"/>
    <col min="14847" max="14847" width="14.140625" customWidth="1"/>
    <col min="14848" max="14848" width="15.42578125" customWidth="1"/>
    <col min="14849" max="14849" width="13.5703125" customWidth="1"/>
    <col min="14850" max="14850" width="13.85546875" customWidth="1"/>
    <col min="14851" max="14851" width="13.140625" customWidth="1"/>
    <col min="14852" max="14852" width="14.85546875" bestFit="1" customWidth="1"/>
    <col min="14853" max="14853" width="2.7109375" customWidth="1"/>
    <col min="14854" max="14854" width="8.85546875"/>
    <col min="14855" max="14855" width="10.85546875" customWidth="1"/>
    <col min="14856" max="14856" width="7.85546875" customWidth="1"/>
    <col min="14857" max="14857" width="11.28515625" customWidth="1"/>
    <col min="14858" max="15098" width="8.85546875"/>
    <col min="15099" max="15099" width="11.5703125" customWidth="1"/>
    <col min="15100" max="15100" width="17" customWidth="1"/>
    <col min="15101" max="15101" width="8.85546875"/>
    <col min="15102" max="15102" width="2.85546875" customWidth="1"/>
    <col min="15103" max="15103" width="14.140625" customWidth="1"/>
    <col min="15104" max="15104" width="15.42578125" customWidth="1"/>
    <col min="15105" max="15105" width="13.5703125" customWidth="1"/>
    <col min="15106" max="15106" width="13.85546875" customWidth="1"/>
    <col min="15107" max="15107" width="13.140625" customWidth="1"/>
    <col min="15108" max="15108" width="14.85546875" bestFit="1" customWidth="1"/>
    <col min="15109" max="15109" width="2.7109375" customWidth="1"/>
    <col min="15110" max="15110" width="8.85546875"/>
    <col min="15111" max="15111" width="10.85546875" customWidth="1"/>
    <col min="15112" max="15112" width="7.85546875" customWidth="1"/>
    <col min="15113" max="15113" width="11.28515625" customWidth="1"/>
    <col min="15114" max="15354" width="8.85546875"/>
    <col min="15355" max="15355" width="11.5703125" customWidth="1"/>
    <col min="15356" max="15356" width="17" customWidth="1"/>
    <col min="15357" max="15357" width="8.85546875"/>
    <col min="15358" max="15358" width="2.85546875" customWidth="1"/>
    <col min="15359" max="15359" width="14.140625" customWidth="1"/>
    <col min="15360" max="15360" width="15.42578125" customWidth="1"/>
    <col min="15361" max="15361" width="13.5703125" customWidth="1"/>
    <col min="15362" max="15362" width="13.85546875" customWidth="1"/>
    <col min="15363" max="15363" width="13.140625" customWidth="1"/>
    <col min="15364" max="15364" width="14.85546875" bestFit="1" customWidth="1"/>
    <col min="15365" max="15365" width="2.7109375" customWidth="1"/>
    <col min="15366" max="15366" width="8.85546875"/>
    <col min="15367" max="15367" width="10.85546875" customWidth="1"/>
    <col min="15368" max="15368" width="7.85546875" customWidth="1"/>
    <col min="15369" max="15369" width="11.28515625" customWidth="1"/>
    <col min="15370" max="15610" width="8.85546875"/>
    <col min="15611" max="15611" width="11.5703125" customWidth="1"/>
    <col min="15612" max="15612" width="17" customWidth="1"/>
    <col min="15613" max="15613" width="8.85546875"/>
    <col min="15614" max="15614" width="2.85546875" customWidth="1"/>
    <col min="15615" max="15615" width="14.140625" customWidth="1"/>
    <col min="15616" max="15616" width="15.42578125" customWidth="1"/>
    <col min="15617" max="15617" width="13.5703125" customWidth="1"/>
    <col min="15618" max="15618" width="13.85546875" customWidth="1"/>
    <col min="15619" max="15619" width="13.140625" customWidth="1"/>
    <col min="15620" max="15620" width="14.85546875" bestFit="1" customWidth="1"/>
    <col min="15621" max="15621" width="2.7109375" customWidth="1"/>
    <col min="15622" max="15622" width="8.85546875"/>
    <col min="15623" max="15623" width="10.85546875" customWidth="1"/>
    <col min="15624" max="15624" width="7.85546875" customWidth="1"/>
    <col min="15625" max="15625" width="11.28515625" customWidth="1"/>
    <col min="15626" max="15866" width="8.85546875"/>
    <col min="15867" max="15867" width="11.5703125" customWidth="1"/>
    <col min="15868" max="15868" width="17" customWidth="1"/>
    <col min="15869" max="15869" width="8.85546875"/>
    <col min="15870" max="15870" width="2.85546875" customWidth="1"/>
    <col min="15871" max="15871" width="14.140625" customWidth="1"/>
    <col min="15872" max="15872" width="15.42578125" customWidth="1"/>
    <col min="15873" max="15873" width="13.5703125" customWidth="1"/>
    <col min="15874" max="15874" width="13.85546875" customWidth="1"/>
    <col min="15875" max="15875" width="13.140625" customWidth="1"/>
    <col min="15876" max="15876" width="14.85546875" bestFit="1" customWidth="1"/>
    <col min="15877" max="15877" width="2.7109375" customWidth="1"/>
    <col min="15878" max="15878" width="8.85546875"/>
    <col min="15879" max="15879" width="10.85546875" customWidth="1"/>
    <col min="15880" max="15880" width="7.85546875" customWidth="1"/>
    <col min="15881" max="15881" width="11.28515625" customWidth="1"/>
    <col min="15882" max="16122" width="8.85546875"/>
    <col min="16123" max="16123" width="11.5703125" customWidth="1"/>
    <col min="16124" max="16124" width="17" customWidth="1"/>
    <col min="16125" max="16125" width="8.85546875"/>
    <col min="16126" max="16126" width="2.85546875" customWidth="1"/>
    <col min="16127" max="16127" width="14.140625" customWidth="1"/>
    <col min="16128" max="16128" width="15.42578125" customWidth="1"/>
    <col min="16129" max="16129" width="13.5703125" customWidth="1"/>
    <col min="16130" max="16130" width="13.85546875" customWidth="1"/>
    <col min="16131" max="16131" width="13.140625" customWidth="1"/>
    <col min="16132" max="16132" width="14.85546875" bestFit="1" customWidth="1"/>
    <col min="16133" max="16133" width="2.7109375" customWidth="1"/>
    <col min="16134" max="16134" width="8.85546875"/>
    <col min="16135" max="16135" width="10.85546875" customWidth="1"/>
    <col min="16136" max="16136" width="7.85546875" customWidth="1"/>
    <col min="16137" max="16137" width="11.28515625" customWidth="1"/>
    <col min="16138" max="16384" width="8.85546875"/>
  </cols>
  <sheetData>
    <row r="1" spans="2:12" ht="23.25" x14ac:dyDescent="0.35">
      <c r="B1" s="65" t="s">
        <v>367</v>
      </c>
      <c r="C1" s="67"/>
      <c r="D1" s="69"/>
      <c r="E1" s="60"/>
      <c r="F1" s="60"/>
      <c r="G1" s="60"/>
      <c r="H1" s="60"/>
    </row>
    <row r="2" spans="2:12" ht="15" customHeight="1" x14ac:dyDescent="0.3">
      <c r="C2" s="67"/>
      <c r="D2" s="69"/>
      <c r="E2" s="60"/>
      <c r="F2" s="60"/>
      <c r="G2" s="60"/>
      <c r="H2" s="60"/>
    </row>
    <row r="3" spans="2:12" x14ac:dyDescent="0.25">
      <c r="B3" s="454">
        <f>+waarderingsrapport!B17</f>
        <v>0</v>
      </c>
      <c r="C3" s="455"/>
      <c r="D3" s="455"/>
      <c r="E3" s="60"/>
      <c r="F3" s="60"/>
      <c r="G3" s="60"/>
      <c r="H3" s="60"/>
    </row>
    <row r="4" spans="2:12" ht="18.75" x14ac:dyDescent="0.25">
      <c r="B4" s="64"/>
      <c r="C4" s="66"/>
      <c r="D4" s="66"/>
      <c r="E4" s="60"/>
      <c r="F4" s="60"/>
      <c r="G4" s="60"/>
      <c r="H4" s="60"/>
    </row>
    <row r="5" spans="2:12" ht="15.75" x14ac:dyDescent="0.25">
      <c r="B5" s="5" t="s">
        <v>308</v>
      </c>
      <c r="C5" s="66"/>
      <c r="D5" s="66"/>
      <c r="E5" s="60"/>
      <c r="F5" s="60"/>
      <c r="G5" s="60"/>
      <c r="H5" s="60"/>
    </row>
    <row r="6" spans="2:12" x14ac:dyDescent="0.25">
      <c r="B6" s="447" t="s">
        <v>368</v>
      </c>
      <c r="C6" s="447"/>
      <c r="D6" s="447"/>
      <c r="E6" s="447"/>
      <c r="F6" s="447"/>
      <c r="G6" s="447"/>
      <c r="H6" s="447"/>
      <c r="I6" s="447"/>
      <c r="J6" s="447"/>
      <c r="K6" s="447"/>
      <c r="L6" s="447"/>
    </row>
    <row r="7" spans="2:12" x14ac:dyDescent="0.25">
      <c r="B7" s="447"/>
      <c r="C7" s="447"/>
      <c r="D7" s="447"/>
      <c r="E7" s="447"/>
      <c r="F7" s="447"/>
      <c r="G7" s="447"/>
      <c r="H7" s="447"/>
      <c r="I7" s="447"/>
      <c r="J7" s="447"/>
      <c r="K7" s="447"/>
      <c r="L7" s="447"/>
    </row>
    <row r="8" spans="2:12" x14ac:dyDescent="0.25">
      <c r="B8" s="447"/>
      <c r="C8" s="447"/>
      <c r="D8" s="447"/>
      <c r="E8" s="447"/>
      <c r="F8" s="447"/>
      <c r="G8" s="447"/>
      <c r="H8" s="447"/>
      <c r="I8" s="447"/>
      <c r="J8" s="447"/>
      <c r="K8" s="447"/>
      <c r="L8" s="447"/>
    </row>
    <row r="9" spans="2:12" x14ac:dyDescent="0.25">
      <c r="B9" s="447"/>
      <c r="C9" s="447"/>
      <c r="D9" s="447"/>
      <c r="E9" s="447"/>
      <c r="F9" s="447"/>
      <c r="G9" s="447"/>
      <c r="H9" s="447"/>
      <c r="I9" s="447"/>
      <c r="J9" s="447"/>
      <c r="K9" s="447"/>
      <c r="L9" s="447"/>
    </row>
    <row r="10" spans="2:12" hidden="1" x14ac:dyDescent="0.25">
      <c r="B10" s="59"/>
      <c r="C10" s="59"/>
      <c r="D10" s="59"/>
      <c r="E10" s="59"/>
      <c r="F10" s="59"/>
      <c r="G10" s="59"/>
      <c r="H10" s="59"/>
      <c r="I10" s="59"/>
      <c r="J10" s="59"/>
      <c r="K10" s="59"/>
      <c r="L10" s="59"/>
    </row>
    <row r="11" spans="2:12" hidden="1" x14ac:dyDescent="0.25">
      <c r="B11" s="59"/>
      <c r="C11" s="59"/>
      <c r="D11" s="59"/>
      <c r="E11" s="59"/>
      <c r="F11" s="59"/>
      <c r="G11" s="59"/>
      <c r="H11" s="59"/>
      <c r="I11" s="59"/>
      <c r="J11" s="59"/>
      <c r="K11" s="59"/>
      <c r="L11" s="59"/>
    </row>
    <row r="12" spans="2:12" hidden="1" x14ac:dyDescent="0.25">
      <c r="B12" s="59"/>
      <c r="C12" s="59"/>
      <c r="D12" s="59"/>
      <c r="E12" s="59"/>
      <c r="F12" s="59"/>
      <c r="G12" s="59"/>
      <c r="H12" s="59"/>
      <c r="I12" s="59"/>
      <c r="J12" s="59"/>
      <c r="K12" s="59"/>
      <c r="L12" s="59"/>
    </row>
    <row r="13" spans="2:12" hidden="1" x14ac:dyDescent="0.25">
      <c r="B13" s="59"/>
      <c r="C13" s="59"/>
      <c r="D13" s="59"/>
      <c r="E13" s="59"/>
      <c r="F13" s="59"/>
      <c r="G13" s="59"/>
      <c r="H13" s="59"/>
      <c r="I13" s="59"/>
      <c r="J13" s="59"/>
      <c r="K13" s="59"/>
      <c r="L13" s="59"/>
    </row>
    <row r="14" spans="2:12" ht="15" customHeight="1" x14ac:dyDescent="0.25">
      <c r="B14" s="64"/>
      <c r="C14" s="66"/>
      <c r="D14" s="66"/>
      <c r="E14" s="60"/>
      <c r="F14" s="60"/>
      <c r="G14" s="60"/>
      <c r="H14" s="60"/>
    </row>
    <row r="15" spans="2:12" x14ac:dyDescent="0.25">
      <c r="B15" s="459" t="s">
        <v>51</v>
      </c>
      <c r="C15" s="460"/>
      <c r="D15" s="460"/>
      <c r="E15" s="461"/>
      <c r="F15" s="346">
        <v>42735</v>
      </c>
      <c r="G15" s="345">
        <f>+'Balans &amp; Res.rek'!G42</f>
        <v>45291</v>
      </c>
      <c r="H15" s="345">
        <f>+'Balans &amp; Res.rek'!H42</f>
        <v>45657</v>
      </c>
      <c r="I15" s="345">
        <f>+'Balans &amp; Res.rek'!I42</f>
        <v>45838</v>
      </c>
      <c r="J15" s="346">
        <f>+Prognose!J86</f>
        <v>46022</v>
      </c>
      <c r="K15" s="346">
        <f>+Prognose!K86</f>
        <v>46387</v>
      </c>
      <c r="L15" s="346">
        <f>+Prognose!L86</f>
        <v>46752</v>
      </c>
    </row>
    <row r="16" spans="2:12" x14ac:dyDescent="0.25">
      <c r="B16" s="12"/>
      <c r="C16" s="13"/>
      <c r="D16" s="13"/>
      <c r="E16" s="13"/>
      <c r="F16" s="263"/>
      <c r="G16" s="187"/>
      <c r="H16" s="187"/>
      <c r="I16" s="188"/>
      <c r="J16" s="264"/>
      <c r="K16" s="264"/>
      <c r="L16" s="264"/>
    </row>
    <row r="17" spans="2:13" x14ac:dyDescent="0.25">
      <c r="B17" s="108" t="s">
        <v>369</v>
      </c>
      <c r="F17" s="265">
        <v>0</v>
      </c>
      <c r="G17" s="196">
        <f>'Balans &amp; Res.rek'!G128</f>
        <v>0</v>
      </c>
      <c r="H17" s="196">
        <f>'Balans &amp; Res.rek'!H128</f>
        <v>120948.95</v>
      </c>
      <c r="I17" s="196">
        <f>'Balans &amp; Res.rek'!I128</f>
        <v>63871.450000000012</v>
      </c>
      <c r="J17" s="265">
        <f>Prognose!J127</f>
        <v>74620.958701785712</v>
      </c>
      <c r="K17" s="265">
        <f>Prognose!K127</f>
        <v>80253.090392309532</v>
      </c>
      <c r="L17" s="265">
        <f>Prognose!L127</f>
        <v>86226.102457913657</v>
      </c>
      <c r="M17" s="199"/>
    </row>
    <row r="18" spans="2:13" x14ac:dyDescent="0.25">
      <c r="B18" s="94"/>
      <c r="F18" s="190"/>
      <c r="G18" s="195"/>
      <c r="H18" s="195"/>
      <c r="I18" s="195"/>
      <c r="J18" s="190"/>
      <c r="K18" s="190"/>
      <c r="L18" s="190"/>
    </row>
    <row r="19" spans="2:13" x14ac:dyDescent="0.25">
      <c r="B19" s="318" t="s">
        <v>310</v>
      </c>
      <c r="C19" s="312"/>
      <c r="D19" s="312"/>
      <c r="E19" s="312"/>
      <c r="F19" s="258"/>
      <c r="G19" s="317"/>
      <c r="H19" s="317"/>
      <c r="I19" s="317">
        <v>0</v>
      </c>
      <c r="J19" s="317">
        <v>0</v>
      </c>
      <c r="K19" s="317">
        <v>0</v>
      </c>
      <c r="L19" s="317">
        <v>0</v>
      </c>
    </row>
    <row r="20" spans="2:13" x14ac:dyDescent="0.25">
      <c r="B20" s="94"/>
      <c r="F20" s="190"/>
      <c r="G20" s="195"/>
      <c r="H20" s="195"/>
      <c r="I20" s="195"/>
      <c r="J20" s="190"/>
      <c r="K20" s="190"/>
      <c r="L20" s="190"/>
    </row>
    <row r="21" spans="2:13" x14ac:dyDescent="0.25">
      <c r="B21" s="108" t="s">
        <v>369</v>
      </c>
      <c r="F21" s="190">
        <f t="shared" ref="F21:L21" si="0">+F17+F19</f>
        <v>0</v>
      </c>
      <c r="G21" s="195">
        <f t="shared" si="0"/>
        <v>0</v>
      </c>
      <c r="H21" s="195">
        <f t="shared" si="0"/>
        <v>120948.95</v>
      </c>
      <c r="I21" s="195">
        <f t="shared" si="0"/>
        <v>63871.450000000012</v>
      </c>
      <c r="J21" s="190">
        <f t="shared" si="0"/>
        <v>74620.958701785712</v>
      </c>
      <c r="K21" s="190">
        <f t="shared" si="0"/>
        <v>80253.090392309532</v>
      </c>
      <c r="L21" s="190">
        <f t="shared" si="0"/>
        <v>86226.102457913657</v>
      </c>
    </row>
    <row r="22" spans="2:13" x14ac:dyDescent="0.25">
      <c r="B22" s="94"/>
      <c r="F22" s="190"/>
      <c r="G22" s="195"/>
      <c r="H22" s="195"/>
      <c r="I22" s="195"/>
      <c r="J22" s="190"/>
      <c r="K22" s="190"/>
      <c r="L22" s="190"/>
    </row>
    <row r="23" spans="2:13" x14ac:dyDescent="0.25">
      <c r="B23" s="141" t="s">
        <v>370</v>
      </c>
      <c r="F23" s="190"/>
      <c r="G23" s="195"/>
      <c r="H23" s="195"/>
      <c r="I23" s="195"/>
      <c r="J23" s="190"/>
      <c r="K23" s="190"/>
      <c r="L23" s="190"/>
    </row>
    <row r="24" spans="2:13" x14ac:dyDescent="0.25">
      <c r="B24" s="108"/>
      <c r="C24" t="s">
        <v>371</v>
      </c>
      <c r="F24" s="195">
        <f>+'Balans &amp; Res.rek'!F98</f>
        <v>0</v>
      </c>
      <c r="G24" s="195">
        <f>'Balans &amp; Res.rek'!G98</f>
        <v>0</v>
      </c>
      <c r="H24" s="195">
        <f>'Balans &amp; Res.rek'!H98</f>
        <v>14506.83</v>
      </c>
      <c r="I24" s="195">
        <f>'Balans &amp; Res.rek'!I98</f>
        <v>23293.84</v>
      </c>
      <c r="J24" s="190">
        <f>Prognose!J98</f>
        <v>39932.297142857147</v>
      </c>
      <c r="K24" s="190">
        <f>Prognose!K98</f>
        <v>40930.604571428572</v>
      </c>
      <c r="L24" s="190">
        <f>Prognose!L98</f>
        <v>41953.869685714286</v>
      </c>
    </row>
    <row r="25" spans="2:13" x14ac:dyDescent="0.25">
      <c r="B25" s="141"/>
      <c r="F25" s="190"/>
      <c r="G25" s="195"/>
      <c r="H25" s="195"/>
      <c r="I25" s="195"/>
      <c r="J25" s="190"/>
      <c r="K25" s="190"/>
      <c r="L25" s="190"/>
    </row>
    <row r="26" spans="2:13" x14ac:dyDescent="0.25">
      <c r="B26" s="141" t="s">
        <v>372</v>
      </c>
      <c r="F26" s="190"/>
      <c r="G26" s="195"/>
      <c r="H26" s="195"/>
      <c r="I26" s="195"/>
      <c r="J26" s="190"/>
      <c r="K26" s="190"/>
      <c r="L26" s="190"/>
    </row>
    <row r="27" spans="2:13" x14ac:dyDescent="0.25">
      <c r="B27" s="141"/>
      <c r="C27" t="s">
        <v>373</v>
      </c>
      <c r="F27" s="265">
        <v>0</v>
      </c>
      <c r="G27" s="196">
        <v>0</v>
      </c>
      <c r="H27" s="196">
        <v>0</v>
      </c>
      <c r="I27" s="196">
        <v>0</v>
      </c>
      <c r="J27" s="265">
        <v>0</v>
      </c>
      <c r="K27" s="265">
        <v>0</v>
      </c>
      <c r="L27" s="265">
        <v>0</v>
      </c>
    </row>
    <row r="28" spans="2:13" x14ac:dyDescent="0.25">
      <c r="B28" s="108"/>
      <c r="C28" t="s">
        <v>374</v>
      </c>
      <c r="F28" s="190">
        <v>0</v>
      </c>
      <c r="G28" s="195">
        <v>0</v>
      </c>
      <c r="H28" s="195">
        <v>0</v>
      </c>
      <c r="I28" s="195">
        <v>0</v>
      </c>
      <c r="J28" s="190">
        <v>0</v>
      </c>
      <c r="K28" s="190">
        <v>0</v>
      </c>
      <c r="L28" s="190">
        <v>0</v>
      </c>
    </row>
    <row r="29" spans="2:13" x14ac:dyDescent="0.25">
      <c r="B29" s="141"/>
      <c r="F29" s="190"/>
      <c r="G29" s="195"/>
      <c r="H29" s="195"/>
      <c r="I29" s="195"/>
      <c r="J29" s="190"/>
      <c r="K29" s="190"/>
      <c r="L29" s="190"/>
    </row>
    <row r="30" spans="2:13" x14ac:dyDescent="0.25">
      <c r="B30" s="141" t="s">
        <v>375</v>
      </c>
      <c r="F30" s="190">
        <f>+'Balans &amp; Res.rek'!F113</f>
        <v>0</v>
      </c>
      <c r="G30" s="195">
        <f>'Balans &amp; Res.rek'!G113</f>
        <v>0</v>
      </c>
      <c r="H30" s="195">
        <f>'Balans &amp; Res.rek'!H113</f>
        <v>17157.990000000002</v>
      </c>
      <c r="I30" s="195">
        <f>'Balans &amp; Res.rek'!I113</f>
        <v>50.9</v>
      </c>
      <c r="J30" s="190">
        <f>Prognose!J112</f>
        <v>8882.9447500000024</v>
      </c>
      <c r="K30" s="190">
        <f>Prognose!K112</f>
        <v>8757.9447500000024</v>
      </c>
      <c r="L30" s="190">
        <f>Prognose!L112</f>
        <v>8632.9447500000024</v>
      </c>
    </row>
    <row r="31" spans="2:13" x14ac:dyDescent="0.25">
      <c r="B31" s="163" t="s">
        <v>376</v>
      </c>
      <c r="C31" s="137"/>
      <c r="D31" s="137"/>
      <c r="E31" s="137"/>
      <c r="F31" s="229">
        <f>SUM(F21:F30)</f>
        <v>0</v>
      </c>
      <c r="G31" s="228">
        <f t="shared" ref="G31:L31" si="1">SUM(G21:G30)</f>
        <v>0</v>
      </c>
      <c r="H31" s="228">
        <f t="shared" si="1"/>
        <v>152613.76999999999</v>
      </c>
      <c r="I31" s="228">
        <f t="shared" si="1"/>
        <v>87216.19</v>
      </c>
      <c r="J31" s="229">
        <f>SUM(J21:J30)</f>
        <v>123436.20059464287</v>
      </c>
      <c r="K31" s="229">
        <f t="shared" si="1"/>
        <v>129941.63971373811</v>
      </c>
      <c r="L31" s="229">
        <f t="shared" si="1"/>
        <v>136812.91689362793</v>
      </c>
    </row>
    <row r="32" spans="2:13" x14ac:dyDescent="0.25">
      <c r="B32" s="143"/>
      <c r="C32" s="13"/>
      <c r="D32" s="13"/>
      <c r="E32" s="13"/>
      <c r="F32" s="271"/>
      <c r="G32" s="269"/>
      <c r="H32" s="269"/>
      <c r="I32" s="269"/>
      <c r="J32" s="271"/>
      <c r="K32" s="271"/>
      <c r="L32" s="271"/>
    </row>
    <row r="33" spans="2:12" x14ac:dyDescent="0.25">
      <c r="B33" s="270" t="s">
        <v>377</v>
      </c>
      <c r="C33" s="13"/>
      <c r="D33" s="13"/>
      <c r="E33" s="13"/>
      <c r="F33" s="263"/>
      <c r="G33" s="187"/>
      <c r="H33" s="187"/>
      <c r="I33" s="187"/>
      <c r="J33" s="263"/>
      <c r="K33" s="263"/>
      <c r="L33" s="263"/>
    </row>
    <row r="34" spans="2:12" x14ac:dyDescent="0.25">
      <c r="B34" s="108"/>
      <c r="C34" t="s">
        <v>85</v>
      </c>
      <c r="F34" s="190">
        <f>+'Balans &amp; Res.rek'!F26*-1</f>
        <v>0</v>
      </c>
      <c r="G34" s="195">
        <v>0</v>
      </c>
      <c r="H34" s="195">
        <v>0</v>
      </c>
      <c r="I34" s="195">
        <v>0</v>
      </c>
      <c r="J34" s="190">
        <f>+Prognose!I29-Prognose!J29</f>
        <v>0</v>
      </c>
      <c r="K34" s="190">
        <f>+Prognose!J29-Prognose!K29</f>
        <v>0</v>
      </c>
      <c r="L34" s="190">
        <f>+Prognose!K29-Prognose!L29</f>
        <v>0</v>
      </c>
    </row>
    <row r="35" spans="2:12" x14ac:dyDescent="0.25">
      <c r="B35" s="141"/>
      <c r="C35" t="s">
        <v>378</v>
      </c>
      <c r="F35" s="190">
        <v>0</v>
      </c>
      <c r="G35" s="195">
        <f>'Balans &amp; Res.rek'!G29</f>
        <v>0</v>
      </c>
      <c r="H35" s="195">
        <f>'Balans &amp; Res.rek'!H29</f>
        <v>143270</v>
      </c>
      <c r="I35" s="195">
        <f>'Balans &amp; Res.rek'!I29</f>
        <v>47219.58</v>
      </c>
      <c r="J35" s="190">
        <f>Prognose!J30</f>
        <v>49887.396666666667</v>
      </c>
      <c r="K35" s="190">
        <f>Prognose!K30</f>
        <v>66516.52888888889</v>
      </c>
      <c r="L35" s="190">
        <f>Prognose!L30</f>
        <v>40932.038518518522</v>
      </c>
    </row>
    <row r="36" spans="2:12" x14ac:dyDescent="0.25">
      <c r="B36" s="108"/>
      <c r="C36" t="s">
        <v>379</v>
      </c>
      <c r="F36" s="190">
        <v>0</v>
      </c>
      <c r="G36" s="195">
        <v>0</v>
      </c>
      <c r="H36" s="195">
        <f>+'Balans &amp; Res.rek'!G21-'Balans &amp; Res.rek'!H21</f>
        <v>0</v>
      </c>
      <c r="I36" s="195">
        <f>+'Balans &amp; Res.rek'!H21-'Balans &amp; Res.rek'!I21</f>
        <v>0</v>
      </c>
      <c r="J36" s="190">
        <f>+Prognose!I22-Prognose!J22</f>
        <v>0</v>
      </c>
      <c r="K36" s="190">
        <f>+Prognose!J22-Prognose!K22</f>
        <v>0</v>
      </c>
      <c r="L36" s="190">
        <f>+Prognose!K22-Prognose!L22</f>
        <v>0</v>
      </c>
    </row>
    <row r="37" spans="2:12" x14ac:dyDescent="0.25">
      <c r="B37" s="141"/>
      <c r="C37" t="s">
        <v>92</v>
      </c>
      <c r="F37" s="265">
        <v>0</v>
      </c>
      <c r="G37" s="196">
        <f>'Balans &amp; Res.rek'!G33</f>
        <v>0</v>
      </c>
      <c r="H37" s="196">
        <f>'Balans &amp; Res.rek'!H33</f>
        <v>0</v>
      </c>
      <c r="I37" s="196">
        <f>'Balans &amp; Res.rek'!I33</f>
        <v>0</v>
      </c>
      <c r="J37" s="190">
        <f>Prognose!J34</f>
        <v>0</v>
      </c>
      <c r="K37" s="190">
        <f>Prognose!K34</f>
        <v>0</v>
      </c>
      <c r="L37" s="190">
        <f>Prognose!L34</f>
        <v>0</v>
      </c>
    </row>
    <row r="38" spans="2:12" x14ac:dyDescent="0.25">
      <c r="B38" s="108"/>
      <c r="C38" t="s">
        <v>380</v>
      </c>
      <c r="F38" s="190">
        <v>0</v>
      </c>
      <c r="G38" s="195">
        <f>'Balans &amp; Res.rek'!G37</f>
        <v>0</v>
      </c>
      <c r="H38" s="195">
        <f>'Balans &amp; Res.rek'!H37</f>
        <v>53.84</v>
      </c>
      <c r="I38" s="195">
        <f>'Balans &amp; Res.rek'!I37</f>
        <v>7138.99</v>
      </c>
      <c r="J38" s="190">
        <f>Prognose!J38</f>
        <v>0</v>
      </c>
      <c r="K38" s="190">
        <f>Prognose!K38</f>
        <v>0</v>
      </c>
      <c r="L38" s="190">
        <f>Prognose!L38</f>
        <v>0</v>
      </c>
    </row>
    <row r="39" spans="2:12" x14ac:dyDescent="0.25">
      <c r="B39" s="108" t="s">
        <v>381</v>
      </c>
      <c r="F39" s="190"/>
      <c r="G39" s="195"/>
      <c r="H39" s="195"/>
      <c r="I39" s="195"/>
      <c r="J39" s="190"/>
      <c r="K39" s="190"/>
      <c r="L39" s="190"/>
    </row>
    <row r="40" spans="2:12" x14ac:dyDescent="0.25">
      <c r="B40" s="108"/>
      <c r="C40" t="s">
        <v>382</v>
      </c>
      <c r="F40" s="190">
        <v>0</v>
      </c>
      <c r="G40" s="195">
        <f>'Balans &amp; Res.rek'!G75</f>
        <v>0</v>
      </c>
      <c r="H40" s="195">
        <f>'Balans &amp; Res.rek'!H75</f>
        <v>28851.81</v>
      </c>
      <c r="I40" s="195">
        <f>'Balans &amp; Res.rek'!I75</f>
        <v>17598.86</v>
      </c>
      <c r="J40" s="190">
        <f>Prognose!J76</f>
        <v>15483.556666666665</v>
      </c>
      <c r="K40" s="190">
        <f>Prognose!K76</f>
        <v>20644.742222222219</v>
      </c>
      <c r="L40" s="190">
        <f>Prognose!L76</f>
        <v>17909.05296296296</v>
      </c>
    </row>
    <row r="41" spans="2:12" x14ac:dyDescent="0.25">
      <c r="B41" s="108"/>
      <c r="C41" t="s">
        <v>383</v>
      </c>
      <c r="F41" s="190">
        <v>0</v>
      </c>
      <c r="G41" s="195">
        <v>0</v>
      </c>
      <c r="H41" s="195">
        <f>+'Balans &amp; Res.rek'!H76-'Balans &amp; Res.rek'!G76</f>
        <v>0</v>
      </c>
      <c r="I41" s="195">
        <f>+'Balans &amp; Res.rek'!I76-'Balans &amp; Res.rek'!H76</f>
        <v>0</v>
      </c>
      <c r="J41" s="190">
        <f>+Prognose!J77-Prognose!I77</f>
        <v>0</v>
      </c>
      <c r="K41" s="190">
        <f>+Prognose!K77-Prognose!J77</f>
        <v>0</v>
      </c>
      <c r="L41" s="190">
        <f>+Prognose!L77-Prognose!K77</f>
        <v>0</v>
      </c>
    </row>
    <row r="42" spans="2:12" x14ac:dyDescent="0.25">
      <c r="B42" s="108"/>
      <c r="C42" t="s">
        <v>384</v>
      </c>
      <c r="F42" s="190">
        <v>0</v>
      </c>
      <c r="G42" s="195">
        <f>'Balans &amp; Res.rek'!G77</f>
        <v>0</v>
      </c>
      <c r="H42" s="195">
        <f>'Balans &amp; Res.rek'!H77</f>
        <v>958.44</v>
      </c>
      <c r="I42" s="195">
        <f>'Balans &amp; Res.rek'!I77</f>
        <v>1887.91</v>
      </c>
      <c r="J42" s="190">
        <f>Prognose!J78</f>
        <v>948.78333333333342</v>
      </c>
      <c r="K42" s="190">
        <f>Prognose!K78</f>
        <v>1265.0444444444445</v>
      </c>
      <c r="L42" s="190">
        <f>Prognose!L78</f>
        <v>1367.245925925926</v>
      </c>
    </row>
    <row r="43" spans="2:12" x14ac:dyDescent="0.25">
      <c r="B43" s="108"/>
      <c r="C43" t="s">
        <v>136</v>
      </c>
      <c r="F43" s="190">
        <v>0</v>
      </c>
      <c r="G43" s="195">
        <f>'Balans &amp; Res.rek'!G78</f>
        <v>0</v>
      </c>
      <c r="H43" s="195">
        <f>'Balans &amp; Res.rek'!H78</f>
        <v>19831.61</v>
      </c>
      <c r="I43" s="195">
        <f>'Balans &amp; Res.rek'!I78</f>
        <v>3097</v>
      </c>
      <c r="J43" s="190">
        <f>+Prognose!J79</f>
        <v>7642.87</v>
      </c>
      <c r="K43" s="190">
        <f>+Prognose!K79</f>
        <v>10190.493333333334</v>
      </c>
      <c r="L43" s="190">
        <f>+Prognose!L79</f>
        <v>6976.7877777777785</v>
      </c>
    </row>
    <row r="44" spans="2:12" x14ac:dyDescent="0.25">
      <c r="B44" s="108"/>
      <c r="C44" t="s">
        <v>385</v>
      </c>
      <c r="F44" s="190">
        <v>0</v>
      </c>
      <c r="G44" s="195">
        <v>0</v>
      </c>
      <c r="H44" s="195">
        <f>+'Balans &amp; Res.rek'!H79-'Balans &amp; Res.rek'!G79</f>
        <v>0</v>
      </c>
      <c r="I44" s="195">
        <f>'Balans &amp; Res.rek'!I80</f>
        <v>286.12</v>
      </c>
      <c r="J44" s="190">
        <f>Prognose!J81</f>
        <v>95.373333333333335</v>
      </c>
      <c r="K44" s="190">
        <f>Prognose!K81</f>
        <v>127.16444444444444</v>
      </c>
      <c r="L44" s="190">
        <f>Prognose!L81</f>
        <v>169.55259259259259</v>
      </c>
    </row>
    <row r="45" spans="2:12" x14ac:dyDescent="0.25">
      <c r="B45" s="164" t="s">
        <v>386</v>
      </c>
      <c r="C45" s="137"/>
      <c r="D45" s="137"/>
      <c r="E45" s="137"/>
      <c r="F45" s="229">
        <f>SUM(F31:F44)</f>
        <v>0</v>
      </c>
      <c r="G45" s="228">
        <f t="shared" ref="G45:L45" si="2">SUM(G31:G44)</f>
        <v>0</v>
      </c>
      <c r="H45" s="228">
        <f>SUM(H31:H44)</f>
        <v>345579.47000000003</v>
      </c>
      <c r="I45" s="228">
        <f t="shared" si="2"/>
        <v>164444.65</v>
      </c>
      <c r="J45" s="229">
        <f>SUM(J31:J44)</f>
        <v>197494.18059464285</v>
      </c>
      <c r="K45" s="229">
        <f t="shared" si="2"/>
        <v>228685.61304707144</v>
      </c>
      <c r="L45" s="229">
        <f t="shared" si="2"/>
        <v>204167.59467140574</v>
      </c>
    </row>
    <row r="46" spans="2:12" x14ac:dyDescent="0.25">
      <c r="B46" s="143"/>
      <c r="C46" s="13"/>
      <c r="D46" s="13"/>
      <c r="E46" s="13"/>
      <c r="F46" s="144"/>
      <c r="G46" s="144"/>
      <c r="H46" s="144"/>
      <c r="I46" s="144"/>
      <c r="J46" s="144"/>
      <c r="K46" s="144"/>
      <c r="L46" s="144"/>
    </row>
    <row r="47" spans="2:12" x14ac:dyDescent="0.25">
      <c r="B47" s="459" t="s">
        <v>387</v>
      </c>
      <c r="C47" s="460"/>
      <c r="D47" s="460"/>
      <c r="E47" s="461"/>
      <c r="F47" s="346">
        <v>42735</v>
      </c>
      <c r="G47" s="345">
        <f>G15</f>
        <v>45291</v>
      </c>
      <c r="H47" s="345">
        <f t="shared" ref="H47:L47" si="3">H15</f>
        <v>45657</v>
      </c>
      <c r="I47" s="345">
        <f t="shared" si="3"/>
        <v>45838</v>
      </c>
      <c r="J47" s="345">
        <f t="shared" si="3"/>
        <v>46022</v>
      </c>
      <c r="K47" s="345">
        <f t="shared" si="3"/>
        <v>46387</v>
      </c>
      <c r="L47" s="345">
        <f t="shared" si="3"/>
        <v>46752</v>
      </c>
    </row>
    <row r="48" spans="2:12" x14ac:dyDescent="0.25">
      <c r="B48" s="12"/>
      <c r="C48" s="13"/>
      <c r="D48" s="13"/>
      <c r="E48" s="13"/>
      <c r="F48" s="373"/>
      <c r="G48" s="41"/>
      <c r="H48" s="41"/>
      <c r="I48" s="105"/>
      <c r="J48" s="167"/>
      <c r="K48" s="167"/>
      <c r="L48" s="167"/>
    </row>
    <row r="49" spans="2:12" x14ac:dyDescent="0.25">
      <c r="B49" s="108" t="s">
        <v>388</v>
      </c>
      <c r="F49" s="168"/>
      <c r="G49" s="142"/>
      <c r="H49" s="142"/>
      <c r="I49" s="142"/>
      <c r="J49" s="169"/>
      <c r="K49" s="169"/>
      <c r="L49" s="169"/>
    </row>
    <row r="50" spans="2:12" x14ac:dyDescent="0.25">
      <c r="B50" s="94"/>
      <c r="C50" t="s">
        <v>389</v>
      </c>
      <c r="F50" s="265">
        <f>+'Balans &amp; Res.rek'!F4</f>
        <v>0</v>
      </c>
      <c r="G50" s="196">
        <f>+'Balans &amp; Res.rek'!G4</f>
        <v>0</v>
      </c>
      <c r="H50" s="195">
        <v>0</v>
      </c>
      <c r="I50" s="196">
        <f>+'Balans &amp; Res.rek'!I4</f>
        <v>0</v>
      </c>
      <c r="J50" s="265">
        <f>+'Balans &amp; Res.rek'!J4</f>
        <v>0</v>
      </c>
      <c r="K50" s="265">
        <f>+'Balans &amp; Res.rek'!K4</f>
        <v>0</v>
      </c>
      <c r="L50" s="265">
        <f>+'Balans &amp; Res.rek'!L4</f>
        <v>0</v>
      </c>
    </row>
    <row r="51" spans="2:12" x14ac:dyDescent="0.25">
      <c r="B51" s="141"/>
      <c r="C51" t="s">
        <v>390</v>
      </c>
      <c r="F51" s="190">
        <f>+'Balans &amp; Res.rek'!F6</f>
        <v>0</v>
      </c>
      <c r="G51" s="195">
        <f>'Balans &amp; Res.rek'!G6</f>
        <v>0</v>
      </c>
      <c r="H51" s="195">
        <f>'Balans &amp; Res.rek'!H6</f>
        <v>0</v>
      </c>
      <c r="I51" s="195">
        <f>'Balans &amp; Res.rek'!I6</f>
        <v>9500</v>
      </c>
      <c r="J51" s="190">
        <f>Prognose!J7</f>
        <v>7870.5</v>
      </c>
      <c r="K51" s="190">
        <f>Prognose!K7</f>
        <v>6241</v>
      </c>
      <c r="L51" s="190">
        <f>60000</f>
        <v>60000</v>
      </c>
    </row>
    <row r="52" spans="2:12" x14ac:dyDescent="0.25">
      <c r="B52" s="108"/>
      <c r="C52" t="s">
        <v>391</v>
      </c>
      <c r="F52" s="190">
        <v>0</v>
      </c>
      <c r="G52" s="195">
        <f>'Balans &amp; Res.rek'!G8</f>
        <v>0</v>
      </c>
      <c r="H52" s="195">
        <f>'Balans &amp; Res.rek'!H8</f>
        <v>1387663.8900000001</v>
      </c>
      <c r="I52" s="195">
        <f>'Balans &amp; Res.rek'!I8</f>
        <v>1394990.19</v>
      </c>
      <c r="J52" s="190">
        <f>+Prognose!J9</f>
        <v>1363450.19</v>
      </c>
      <c r="K52" s="190">
        <f>+Prognose!K9</f>
        <v>1336910.19</v>
      </c>
      <c r="L52" s="190">
        <f>+Prognose!L9</f>
        <v>1315910.19</v>
      </c>
    </row>
    <row r="53" spans="2:12" x14ac:dyDescent="0.25">
      <c r="B53" s="141"/>
      <c r="C53" t="s">
        <v>392</v>
      </c>
      <c r="F53" s="265">
        <f>+'Balans &amp; Res.rek'!F98*-1</f>
        <v>0</v>
      </c>
      <c r="G53" s="196">
        <f>'Balans &amp; Res.rek'!G98</f>
        <v>0</v>
      </c>
      <c r="H53" s="196">
        <f>'Balans &amp; Res.rek'!H98</f>
        <v>14506.83</v>
      </c>
      <c r="I53" s="196">
        <f>'Balans &amp; Res.rek'!I98</f>
        <v>23293.84</v>
      </c>
      <c r="J53" s="190">
        <f>Prognose!J98</f>
        <v>39932.297142857147</v>
      </c>
      <c r="K53" s="190">
        <f>Prognose!K98</f>
        <v>40930.604571428572</v>
      </c>
      <c r="L53" s="190">
        <f>Prognose!L98</f>
        <v>41953.869685714286</v>
      </c>
    </row>
    <row r="54" spans="2:12" x14ac:dyDescent="0.25">
      <c r="B54" s="141"/>
      <c r="C54" t="s">
        <v>393</v>
      </c>
      <c r="E54" s="23"/>
      <c r="F54" s="191">
        <f>+'Balans &amp; Res.rek'!F16</f>
        <v>0</v>
      </c>
      <c r="G54" s="195">
        <v>0</v>
      </c>
      <c r="H54" s="195">
        <f>+'Balans &amp; Res.rek'!G16-'Balans &amp; Res.rek'!H16</f>
        <v>0</v>
      </c>
      <c r="I54" s="195">
        <f>+'Balans &amp; Res.rek'!H16-'Balans &amp; Res.rek'!I16</f>
        <v>0</v>
      </c>
      <c r="J54" s="190">
        <f>-Prognose!J99</f>
        <v>0</v>
      </c>
      <c r="K54" s="190">
        <f>-Prognose!K99</f>
        <v>0</v>
      </c>
      <c r="L54" s="190">
        <f>-Prognose!L99</f>
        <v>0</v>
      </c>
    </row>
    <row r="55" spans="2:12" x14ac:dyDescent="0.25">
      <c r="B55" s="141"/>
      <c r="C55" t="s">
        <v>394</v>
      </c>
      <c r="F55" s="265">
        <f>+'Balans &amp; Res.rek'!F99</f>
        <v>0</v>
      </c>
      <c r="G55" s="196">
        <f>+'Balans &amp; Res.rek'!G99</f>
        <v>0</v>
      </c>
      <c r="H55" s="196">
        <f>+'Balans &amp; Res.rek'!H99</f>
        <v>0</v>
      </c>
      <c r="I55" s="196">
        <f>+'Balans &amp; Res.rek'!I99</f>
        <v>0</v>
      </c>
      <c r="J55" s="265">
        <f>+'Balans &amp; Res.rek'!J99</f>
        <v>0</v>
      </c>
      <c r="K55" s="265">
        <f>+'Balans &amp; Res.rek'!K99</f>
        <v>0</v>
      </c>
      <c r="L55" s="265">
        <f>+'Balans &amp; Res.rek'!L99</f>
        <v>0</v>
      </c>
    </row>
    <row r="56" spans="2:12" x14ac:dyDescent="0.25">
      <c r="B56" s="108" t="s">
        <v>395</v>
      </c>
      <c r="F56" s="190">
        <v>0</v>
      </c>
      <c r="G56" s="195">
        <v>0</v>
      </c>
      <c r="H56" s="195">
        <v>0</v>
      </c>
      <c r="I56" s="195">
        <v>0</v>
      </c>
      <c r="J56" s="190">
        <v>0</v>
      </c>
      <c r="K56" s="190">
        <v>0</v>
      </c>
      <c r="L56" s="190">
        <v>0</v>
      </c>
    </row>
    <row r="57" spans="2:12" x14ac:dyDescent="0.25">
      <c r="B57" s="141"/>
      <c r="F57" s="190"/>
      <c r="G57" s="195"/>
      <c r="H57" s="195"/>
      <c r="I57" s="195"/>
      <c r="J57" s="190"/>
      <c r="K57" s="190"/>
      <c r="L57" s="190"/>
    </row>
    <row r="58" spans="2:12" x14ac:dyDescent="0.25">
      <c r="B58" s="163" t="s">
        <v>396</v>
      </c>
      <c r="C58" s="137"/>
      <c r="D58" s="137"/>
      <c r="E58" s="137"/>
      <c r="F58" s="229">
        <f t="shared" ref="F58" si="4">SUM(F50:F57)</f>
        <v>0</v>
      </c>
      <c r="G58" s="228">
        <v>0</v>
      </c>
      <c r="H58" s="228">
        <v>0</v>
      </c>
      <c r="I58" s="228">
        <v>0</v>
      </c>
      <c r="J58" s="228">
        <v>0</v>
      </c>
      <c r="K58" s="228">
        <v>0</v>
      </c>
      <c r="L58" s="228">
        <v>0</v>
      </c>
    </row>
    <row r="59" spans="2:12" x14ac:dyDescent="0.25">
      <c r="B59" s="145"/>
      <c r="E59" s="156"/>
      <c r="F59" s="200"/>
      <c r="G59" s="200"/>
      <c r="H59" s="200"/>
      <c r="I59" s="200"/>
      <c r="J59" s="200"/>
      <c r="K59" s="200"/>
      <c r="L59" s="200"/>
    </row>
    <row r="60" spans="2:12" x14ac:dyDescent="0.25">
      <c r="B60" s="160" t="s">
        <v>397</v>
      </c>
      <c r="C60" s="158"/>
      <c r="D60" s="32"/>
      <c r="E60" s="159"/>
      <c r="F60" s="229">
        <v>0</v>
      </c>
      <c r="G60" s="228">
        <f>G31</f>
        <v>0</v>
      </c>
      <c r="H60" s="228">
        <f t="shared" ref="H60:L60" si="5">H31</f>
        <v>152613.76999999999</v>
      </c>
      <c r="I60" s="228">
        <f t="shared" si="5"/>
        <v>87216.19</v>
      </c>
      <c r="J60" s="228">
        <f t="shared" si="5"/>
        <v>123436.20059464287</v>
      </c>
      <c r="K60" s="228">
        <f t="shared" si="5"/>
        <v>129941.63971373811</v>
      </c>
      <c r="L60" s="228">
        <f t="shared" si="5"/>
        <v>136812.91689362793</v>
      </c>
    </row>
    <row r="61" spans="2:12" x14ac:dyDescent="0.25">
      <c r="C61" s="157"/>
      <c r="E61" s="54"/>
      <c r="F61" s="33"/>
      <c r="G61" s="33"/>
      <c r="H61" s="33"/>
      <c r="I61" s="33"/>
      <c r="J61" s="33"/>
      <c r="K61" s="33"/>
      <c r="L61" s="33"/>
    </row>
    <row r="62" spans="2:12" x14ac:dyDescent="0.25">
      <c r="B62" s="160" t="s">
        <v>398</v>
      </c>
      <c r="C62" s="161"/>
      <c r="D62" s="137"/>
      <c r="E62" s="162"/>
      <c r="F62" s="346">
        <v>42735</v>
      </c>
      <c r="G62" s="345">
        <f>G47</f>
        <v>45291</v>
      </c>
      <c r="H62" s="345">
        <f t="shared" ref="H62:L62" si="6">H47</f>
        <v>45657</v>
      </c>
      <c r="I62" s="345">
        <f t="shared" si="6"/>
        <v>45838</v>
      </c>
      <c r="J62" s="345">
        <f t="shared" si="6"/>
        <v>46022</v>
      </c>
      <c r="K62" s="345">
        <f t="shared" si="6"/>
        <v>46387</v>
      </c>
      <c r="L62" s="345">
        <f t="shared" si="6"/>
        <v>46752</v>
      </c>
    </row>
    <row r="63" spans="2:12" x14ac:dyDescent="0.25">
      <c r="B63" s="10"/>
      <c r="C63" s="157" t="s">
        <v>399</v>
      </c>
      <c r="E63" s="54"/>
      <c r="F63" s="190">
        <v>0</v>
      </c>
      <c r="G63" s="187">
        <v>0</v>
      </c>
      <c r="H63" s="187">
        <v>0</v>
      </c>
      <c r="I63" s="187">
        <v>0</v>
      </c>
      <c r="J63" s="263">
        <v>0</v>
      </c>
      <c r="K63" s="263">
        <v>0</v>
      </c>
      <c r="L63" s="263">
        <v>0</v>
      </c>
    </row>
    <row r="64" spans="2:12" x14ac:dyDescent="0.25">
      <c r="B64" s="10"/>
      <c r="C64" s="157" t="s">
        <v>400</v>
      </c>
      <c r="E64" s="54"/>
      <c r="F64" s="190">
        <v>0</v>
      </c>
      <c r="G64" s="195">
        <v>0</v>
      </c>
      <c r="H64" s="195">
        <v>0</v>
      </c>
      <c r="I64" s="195">
        <v>0</v>
      </c>
      <c r="J64" s="190">
        <v>0</v>
      </c>
      <c r="K64" s="190">
        <v>0</v>
      </c>
      <c r="L64" s="190">
        <v>0</v>
      </c>
    </row>
    <row r="65" spans="2:12" x14ac:dyDescent="0.25">
      <c r="B65" s="10"/>
      <c r="C65" s="145" t="s">
        <v>401</v>
      </c>
      <c r="E65" s="54"/>
      <c r="F65" s="267">
        <v>0</v>
      </c>
      <c r="G65" s="266">
        <v>0</v>
      </c>
      <c r="H65" s="195">
        <v>0</v>
      </c>
      <c r="I65" s="266">
        <f>+'Balans &amp; Res.rek'!I44-'Balans &amp; Res.rek'!H44</f>
        <v>0</v>
      </c>
      <c r="J65" s="190">
        <v>0</v>
      </c>
      <c r="K65" s="267">
        <f>+'Balans &amp; Res.rek'!K44-'Balans &amp; Res.rek'!J44</f>
        <v>0</v>
      </c>
      <c r="L65" s="267">
        <f>+'Balans &amp; Res.rek'!L44-'Balans &amp; Res.rek'!K44</f>
        <v>0</v>
      </c>
    </row>
    <row r="66" spans="2:12" x14ac:dyDescent="0.25">
      <c r="B66" s="108"/>
      <c r="C66" s="145" t="s">
        <v>402</v>
      </c>
      <c r="F66" s="190">
        <v>0</v>
      </c>
      <c r="G66" s="195">
        <v>0</v>
      </c>
      <c r="H66" s="195">
        <v>0</v>
      </c>
      <c r="I66" s="195">
        <v>0</v>
      </c>
      <c r="J66" s="190">
        <v>0</v>
      </c>
      <c r="K66" s="190">
        <v>0</v>
      </c>
      <c r="L66" s="190">
        <v>0</v>
      </c>
    </row>
    <row r="67" spans="2:12" x14ac:dyDescent="0.25">
      <c r="B67" s="10"/>
      <c r="C67" s="145" t="s">
        <v>403</v>
      </c>
      <c r="F67" s="190">
        <v>0</v>
      </c>
      <c r="G67" s="195">
        <v>0</v>
      </c>
      <c r="H67" s="195">
        <v>0</v>
      </c>
      <c r="I67" s="195">
        <v>0</v>
      </c>
      <c r="J67" s="190">
        <v>0</v>
      </c>
      <c r="K67" s="190">
        <v>0</v>
      </c>
      <c r="L67" s="190">
        <v>0</v>
      </c>
    </row>
    <row r="68" spans="2:12" x14ac:dyDescent="0.25">
      <c r="B68" s="108"/>
      <c r="C68" s="145" t="s">
        <v>404</v>
      </c>
      <c r="E68" s="33"/>
      <c r="F68" s="190">
        <v>0</v>
      </c>
      <c r="G68" s="195">
        <v>0</v>
      </c>
      <c r="H68" s="195">
        <v>0</v>
      </c>
      <c r="I68" s="195">
        <v>0</v>
      </c>
      <c r="J68" s="190">
        <v>0</v>
      </c>
      <c r="K68" s="190">
        <v>0</v>
      </c>
      <c r="L68" s="190">
        <v>0</v>
      </c>
    </row>
    <row r="69" spans="2:12" x14ac:dyDescent="0.25">
      <c r="B69" s="108"/>
      <c r="C69" s="145" t="s">
        <v>405</v>
      </c>
      <c r="F69" s="190">
        <f>-'Balans &amp; Res.rek'!F113</f>
        <v>0</v>
      </c>
      <c r="G69" s="195">
        <v>0</v>
      </c>
      <c r="H69" s="195">
        <v>0</v>
      </c>
      <c r="I69" s="195">
        <v>0</v>
      </c>
      <c r="J69" s="190">
        <v>0</v>
      </c>
      <c r="K69" s="190">
        <v>0</v>
      </c>
      <c r="L69" s="190">
        <v>0</v>
      </c>
    </row>
    <row r="70" spans="2:12" x14ac:dyDescent="0.25">
      <c r="B70" s="108"/>
      <c r="C70" s="145" t="s">
        <v>406</v>
      </c>
      <c r="F70" s="267"/>
      <c r="G70" s="266"/>
      <c r="H70" s="266"/>
      <c r="I70" s="266">
        <v>0</v>
      </c>
      <c r="J70" s="416">
        <v>0</v>
      </c>
      <c r="K70" s="267"/>
      <c r="L70" s="267"/>
    </row>
    <row r="71" spans="2:12" x14ac:dyDescent="0.25">
      <c r="B71" s="164" t="s">
        <v>407</v>
      </c>
      <c r="C71" s="137"/>
      <c r="D71" s="137"/>
      <c r="E71" s="137"/>
      <c r="F71" s="229">
        <f t="shared" ref="F71:L71" si="7">SUM(F63:F70)</f>
        <v>0</v>
      </c>
      <c r="G71" s="228">
        <f t="shared" si="7"/>
        <v>0</v>
      </c>
      <c r="H71" s="228">
        <f t="shared" si="7"/>
        <v>0</v>
      </c>
      <c r="I71" s="228">
        <f t="shared" si="7"/>
        <v>0</v>
      </c>
      <c r="J71" s="229">
        <f t="shared" si="7"/>
        <v>0</v>
      </c>
      <c r="K71" s="229">
        <v>0</v>
      </c>
      <c r="L71" s="229">
        <f t="shared" si="7"/>
        <v>0</v>
      </c>
    </row>
    <row r="72" spans="2:12" x14ac:dyDescent="0.25">
      <c r="F72" s="268"/>
      <c r="G72" s="268"/>
      <c r="H72" s="268"/>
      <c r="I72" s="268"/>
      <c r="J72" s="268"/>
      <c r="K72" s="268"/>
      <c r="L72" s="268"/>
    </row>
    <row r="73" spans="2:12" x14ac:dyDescent="0.25">
      <c r="B73" s="160" t="s">
        <v>408</v>
      </c>
      <c r="C73" s="137"/>
      <c r="D73" s="137"/>
      <c r="E73" s="137"/>
      <c r="F73" s="229">
        <f t="shared" ref="F73" si="8">+F60+F71</f>
        <v>0</v>
      </c>
      <c r="G73" s="228">
        <f>G60</f>
        <v>0</v>
      </c>
      <c r="H73" s="228">
        <f t="shared" ref="H73:L73" si="9">H60</f>
        <v>152613.76999999999</v>
      </c>
      <c r="I73" s="228">
        <f t="shared" si="9"/>
        <v>87216.19</v>
      </c>
      <c r="J73" s="228">
        <f t="shared" si="9"/>
        <v>123436.20059464287</v>
      </c>
      <c r="K73" s="228">
        <f t="shared" si="9"/>
        <v>129941.63971373811</v>
      </c>
      <c r="L73" s="228">
        <f t="shared" si="9"/>
        <v>136812.91689362793</v>
      </c>
    </row>
    <row r="74" spans="2:12" x14ac:dyDescent="0.25">
      <c r="B74" s="58"/>
      <c r="F74" s="33"/>
      <c r="G74" s="33"/>
      <c r="H74" s="33"/>
      <c r="I74" s="33"/>
    </row>
    <row r="75" spans="2:12" hidden="1" x14ac:dyDescent="0.25">
      <c r="B75" s="58"/>
      <c r="F75" s="200"/>
      <c r="G75" s="33"/>
      <c r="H75" s="33"/>
      <c r="I75" s="33"/>
    </row>
    <row r="76" spans="2:12" hidden="1" x14ac:dyDescent="0.25">
      <c r="B76" s="58"/>
      <c r="F76" s="33"/>
      <c r="G76" s="33"/>
      <c r="H76" s="33"/>
      <c r="I76" s="33"/>
    </row>
    <row r="77" spans="2:12" hidden="1" x14ac:dyDescent="0.25">
      <c r="B77" s="272" t="s">
        <v>409</v>
      </c>
      <c r="C77" s="273"/>
      <c r="D77" s="273"/>
      <c r="E77" s="273"/>
      <c r="F77" s="370">
        <v>0</v>
      </c>
      <c r="G77" s="362">
        <v>11425.3</v>
      </c>
      <c r="H77" s="362">
        <f>+'Balans &amp; Res.rek'!G35</f>
        <v>0</v>
      </c>
      <c r="I77" s="362">
        <f>+'Balans &amp; Res.rek'!H35</f>
        <v>51044.9</v>
      </c>
      <c r="J77" s="302">
        <f>+I79</f>
        <v>138261.09</v>
      </c>
      <c r="K77" s="361">
        <f>+J79</f>
        <v>261697.29059464287</v>
      </c>
      <c r="L77" s="361">
        <f>+K79</f>
        <v>391638.93030838098</v>
      </c>
    </row>
    <row r="78" spans="2:12" hidden="1" x14ac:dyDescent="0.25">
      <c r="B78" s="27" t="s">
        <v>408</v>
      </c>
      <c r="C78" s="148"/>
      <c r="D78" s="148"/>
      <c r="E78" s="148"/>
      <c r="F78" s="371">
        <f t="shared" ref="F78:L78" si="10">+F73</f>
        <v>0</v>
      </c>
      <c r="G78" s="363">
        <f>+G79-G77</f>
        <v>-11425.3</v>
      </c>
      <c r="H78" s="363">
        <f>+H73</f>
        <v>152613.76999999999</v>
      </c>
      <c r="I78" s="363">
        <f t="shared" si="10"/>
        <v>87216.19</v>
      </c>
      <c r="J78" s="363">
        <f t="shared" si="10"/>
        <v>123436.20059464287</v>
      </c>
      <c r="K78" s="363">
        <f t="shared" si="10"/>
        <v>129941.63971373811</v>
      </c>
      <c r="L78" s="363">
        <f t="shared" si="10"/>
        <v>136812.91689362793</v>
      </c>
    </row>
    <row r="79" spans="2:12" hidden="1" x14ac:dyDescent="0.25">
      <c r="B79" s="273" t="s">
        <v>410</v>
      </c>
      <c r="C79" s="273"/>
      <c r="D79" s="273"/>
      <c r="E79" s="273"/>
      <c r="F79" s="372">
        <f>+F77+F78</f>
        <v>0</v>
      </c>
      <c r="G79" s="302">
        <f>+'Balans &amp; Res.rek'!G35</f>
        <v>0</v>
      </c>
      <c r="H79" s="302">
        <f>+H77+H78</f>
        <v>152613.76999999999</v>
      </c>
      <c r="I79" s="302">
        <f>+I77+I78</f>
        <v>138261.09</v>
      </c>
      <c r="J79" s="302">
        <f>+J77+J78</f>
        <v>261697.29059464287</v>
      </c>
      <c r="K79" s="302">
        <f>+K77+K78</f>
        <v>391638.93030838098</v>
      </c>
      <c r="L79" s="302">
        <f>+L77+L78</f>
        <v>528451.84720200894</v>
      </c>
    </row>
    <row r="80" spans="2:12" hidden="1" x14ac:dyDescent="0.25">
      <c r="B80" s="273"/>
      <c r="C80" s="273"/>
      <c r="D80" s="273"/>
      <c r="E80" s="273"/>
      <c r="F80" s="302"/>
      <c r="G80" s="302"/>
      <c r="H80" s="302"/>
      <c r="I80" s="302"/>
      <c r="J80" s="302"/>
      <c r="K80" s="302"/>
      <c r="L80" s="302"/>
    </row>
    <row r="81" spans="2:13" hidden="1" x14ac:dyDescent="0.25">
      <c r="B81" s="273"/>
      <c r="C81" s="273"/>
      <c r="D81" s="273"/>
      <c r="E81" s="273"/>
      <c r="F81" s="302"/>
      <c r="G81" s="302"/>
      <c r="H81" s="302"/>
      <c r="I81" s="302"/>
      <c r="J81" s="302"/>
      <c r="K81" s="302"/>
    </row>
    <row r="82" spans="2:13" hidden="1" x14ac:dyDescent="0.25">
      <c r="B82" s="273"/>
      <c r="C82" s="273"/>
      <c r="D82" s="273"/>
      <c r="E82" s="273"/>
      <c r="F82" s="302"/>
      <c r="G82" s="302"/>
      <c r="H82" s="302"/>
      <c r="I82" s="302"/>
      <c r="J82" s="302"/>
      <c r="K82" s="302"/>
      <c r="L82" s="302">
        <v>19</v>
      </c>
    </row>
    <row r="83" spans="2:13" ht="23.25" x14ac:dyDescent="0.35">
      <c r="B83" s="65" t="s">
        <v>367</v>
      </c>
      <c r="C83" s="67"/>
      <c r="D83" s="69"/>
      <c r="E83" s="273"/>
      <c r="F83" s="302"/>
      <c r="G83" s="302"/>
      <c r="H83" s="302"/>
      <c r="I83" s="302"/>
      <c r="J83" s="302"/>
      <c r="K83" s="302"/>
      <c r="L83" s="302"/>
    </row>
    <row r="84" spans="2:13" ht="18.75" x14ac:dyDescent="0.3">
      <c r="C84" s="67"/>
      <c r="D84" s="69"/>
    </row>
    <row r="85" spans="2:13" x14ac:dyDescent="0.25">
      <c r="B85" s="454">
        <f>B3</f>
        <v>0</v>
      </c>
      <c r="C85" s="455"/>
      <c r="D85" s="455"/>
      <c r="M85" s="302"/>
    </row>
    <row r="86" spans="2:13" x14ac:dyDescent="0.25">
      <c r="B86" s="12"/>
      <c r="C86" s="13"/>
      <c r="D86" s="13"/>
      <c r="E86" s="13"/>
      <c r="F86" s="13"/>
      <c r="G86" s="13"/>
      <c r="H86" s="13"/>
      <c r="I86" s="13"/>
      <c r="J86" s="13"/>
      <c r="K86" s="13"/>
      <c r="L86" s="13"/>
      <c r="M86" s="393"/>
    </row>
    <row r="87" spans="2:13" x14ac:dyDescent="0.25">
      <c r="B87" s="10"/>
      <c r="E87" s="368"/>
      <c r="F87" s="368"/>
      <c r="G87" s="329">
        <f t="shared" ref="G87:L87" si="11">+G15</f>
        <v>45291</v>
      </c>
      <c r="H87" s="329">
        <f t="shared" si="11"/>
        <v>45657</v>
      </c>
      <c r="I87" s="329">
        <f t="shared" si="11"/>
        <v>45838</v>
      </c>
      <c r="J87" s="330">
        <f t="shared" si="11"/>
        <v>46022</v>
      </c>
      <c r="K87" s="330">
        <f t="shared" si="11"/>
        <v>46387</v>
      </c>
      <c r="L87" s="330">
        <f t="shared" si="11"/>
        <v>46752</v>
      </c>
      <c r="M87" s="23"/>
    </row>
    <row r="88" spans="2:13" x14ac:dyDescent="0.25">
      <c r="B88" s="43" t="s">
        <v>411</v>
      </c>
      <c r="C88" s="32"/>
      <c r="D88" s="32"/>
      <c r="E88" s="369">
        <f>+F60</f>
        <v>0</v>
      </c>
      <c r="F88" s="369"/>
      <c r="G88" s="303">
        <f>G60</f>
        <v>0</v>
      </c>
      <c r="H88" s="303">
        <f>+H60</f>
        <v>152613.76999999999</v>
      </c>
      <c r="I88" s="303">
        <f>+I60</f>
        <v>87216.19</v>
      </c>
      <c r="J88" s="258">
        <f>+J60</f>
        <v>123436.20059464287</v>
      </c>
      <c r="K88" s="258">
        <f>+K60</f>
        <v>129941.63971373811</v>
      </c>
      <c r="L88" s="258">
        <f>+L60</f>
        <v>136812.91689362793</v>
      </c>
      <c r="M88" s="304">
        <f>+L88*(1.01/0.0656)</f>
        <v>2106418.3851000639</v>
      </c>
    </row>
    <row r="89" spans="2:13" x14ac:dyDescent="0.25">
      <c r="B89" s="43" t="s">
        <v>412</v>
      </c>
      <c r="C89" s="32"/>
      <c r="D89" s="159"/>
      <c r="E89" s="369">
        <f>+F60</f>
        <v>0</v>
      </c>
      <c r="F89" s="369"/>
      <c r="G89" s="303">
        <f>+G60</f>
        <v>0</v>
      </c>
      <c r="H89" s="303">
        <f>+H60</f>
        <v>152613.76999999999</v>
      </c>
      <c r="I89" s="303">
        <f>+I60</f>
        <v>87216.19</v>
      </c>
      <c r="J89" s="367">
        <f>+J88/(1+J91)</f>
        <v>119666.15310483512</v>
      </c>
      <c r="K89" s="367">
        <f>+K88/(1+J91)</f>
        <v>125972.8999901862</v>
      </c>
      <c r="L89" s="367">
        <f>+L88/(1+J91)</f>
        <v>132634.31133526401</v>
      </c>
      <c r="M89" s="304">
        <f>+M88*(1/(1.0656)^7)</f>
        <v>1350159.7404954433</v>
      </c>
    </row>
    <row r="90" spans="2:13" x14ac:dyDescent="0.25">
      <c r="B90" s="10"/>
      <c r="D90" s="54"/>
      <c r="M90" s="23"/>
    </row>
    <row r="91" spans="2:13" x14ac:dyDescent="0.25">
      <c r="B91" s="3" t="s">
        <v>413</v>
      </c>
      <c r="I91" t="s">
        <v>18</v>
      </c>
      <c r="J91" s="118">
        <f>+WACC!G44</f>
        <v>3.1504710329452526E-2</v>
      </c>
      <c r="M91" s="23"/>
    </row>
    <row r="92" spans="2:13" x14ac:dyDescent="0.25">
      <c r="B92" s="10" t="s">
        <v>414</v>
      </c>
      <c r="G92" s="199">
        <f>SUM(J89:L89)</f>
        <v>378273.36443028529</v>
      </c>
      <c r="M92" s="23"/>
    </row>
    <row r="93" spans="2:13" x14ac:dyDescent="0.25">
      <c r="B93" s="10" t="s">
        <v>415</v>
      </c>
      <c r="G93" s="199">
        <f>+M89</f>
        <v>1350159.7404954433</v>
      </c>
      <c r="M93" s="23"/>
    </row>
    <row r="94" spans="2:13" x14ac:dyDescent="0.25">
      <c r="B94" s="3" t="s">
        <v>416</v>
      </c>
      <c r="C94" s="4"/>
      <c r="D94" s="4"/>
      <c r="E94" s="4"/>
      <c r="F94" s="4"/>
      <c r="G94" s="231">
        <f>SUM(G92:G93)</f>
        <v>1728433.1049257286</v>
      </c>
      <c r="M94" s="23"/>
    </row>
    <row r="95" spans="2:13" x14ac:dyDescent="0.25">
      <c r="B95" s="10"/>
      <c r="D95" s="157" t="s">
        <v>326</v>
      </c>
      <c r="G95" s="199">
        <f>+EBITDA!E48</f>
        <v>-950625</v>
      </c>
      <c r="M95" s="23"/>
    </row>
    <row r="96" spans="2:13" x14ac:dyDescent="0.25">
      <c r="B96" s="10"/>
      <c r="D96" s="157" t="s">
        <v>327</v>
      </c>
      <c r="G96" s="199">
        <f>+EBITDA!E49</f>
        <v>-27910.46</v>
      </c>
      <c r="M96" s="23"/>
    </row>
    <row r="97" spans="2:13" x14ac:dyDescent="0.25">
      <c r="B97" s="10"/>
      <c r="D97" s="157" t="s">
        <v>328</v>
      </c>
      <c r="G97" s="199">
        <f>+EBITDA!E50</f>
        <v>8844.27</v>
      </c>
      <c r="M97" s="23"/>
    </row>
    <row r="98" spans="2:13" x14ac:dyDescent="0.25">
      <c r="B98" s="10"/>
      <c r="D98" s="157" t="s">
        <v>329</v>
      </c>
      <c r="G98" s="199">
        <f>+EBITDA!E51</f>
        <v>1652224.9963915041</v>
      </c>
      <c r="M98" s="23"/>
    </row>
    <row r="99" spans="2:13" x14ac:dyDescent="0.25">
      <c r="B99" s="10"/>
      <c r="D99" s="143" t="s">
        <v>330</v>
      </c>
      <c r="E99" s="13"/>
      <c r="F99" s="13"/>
      <c r="G99" s="305">
        <f>SUM(G94:G98)</f>
        <v>2410966.911317233</v>
      </c>
      <c r="M99" s="23"/>
    </row>
    <row r="100" spans="2:13" x14ac:dyDescent="0.25">
      <c r="B100" s="17"/>
      <c r="C100" s="18"/>
      <c r="D100" s="18"/>
      <c r="E100" s="18"/>
      <c r="F100" s="18"/>
      <c r="G100" s="18"/>
      <c r="H100" s="18"/>
      <c r="I100" s="18"/>
      <c r="J100" s="18"/>
      <c r="K100" s="18"/>
      <c r="L100" s="18"/>
      <c r="M100" s="21"/>
    </row>
    <row r="101" spans="2:13" x14ac:dyDescent="0.25">
      <c r="D101" s="145"/>
    </row>
    <row r="159" spans="12:12" x14ac:dyDescent="0.25">
      <c r="L159">
        <v>20</v>
      </c>
    </row>
  </sheetData>
  <mergeCells count="5">
    <mergeCell ref="B3:D3"/>
    <mergeCell ref="B15:E15"/>
    <mergeCell ref="B47:E47"/>
    <mergeCell ref="B6:L9"/>
    <mergeCell ref="B85:D85"/>
  </mergeCell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&amp;R&amp;D</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49"/>
  <sheetViews>
    <sheetView workbookViewId="0"/>
  </sheetViews>
  <sheetFormatPr defaultRowHeight="15" x14ac:dyDescent="0.25"/>
  <cols>
    <col min="1" max="1" width="6.5703125" customWidth="1"/>
    <col min="2" max="2" width="12.5703125" customWidth="1"/>
    <col min="3" max="3" width="7.85546875" bestFit="1" customWidth="1"/>
    <col min="4" max="4" width="7.42578125" customWidth="1"/>
    <col min="5" max="5" width="7.42578125" style="83" customWidth="1"/>
    <col min="6" max="10" width="7.42578125" customWidth="1"/>
    <col min="11" max="249" width="8.85546875"/>
    <col min="250" max="250" width="11.5703125" customWidth="1"/>
    <col min="251" max="251" width="17" customWidth="1"/>
    <col min="252" max="252" width="8.85546875"/>
    <col min="253" max="253" width="2.85546875" customWidth="1"/>
    <col min="254" max="254" width="14.140625" customWidth="1"/>
    <col min="255" max="255" width="15.42578125" customWidth="1"/>
    <col min="256" max="256" width="13.5703125" customWidth="1"/>
    <col min="257" max="257" width="13.85546875" customWidth="1"/>
    <col min="258" max="258" width="13.140625" customWidth="1"/>
    <col min="259" max="259" width="14.85546875" bestFit="1" customWidth="1"/>
    <col min="260" max="260" width="2.7109375" customWidth="1"/>
    <col min="261" max="261" width="8.85546875"/>
    <col min="262" max="262" width="10.85546875" customWidth="1"/>
    <col min="263" max="263" width="7.85546875" customWidth="1"/>
    <col min="264" max="264" width="11.28515625" customWidth="1"/>
    <col min="265" max="505" width="8.85546875"/>
    <col min="506" max="506" width="11.5703125" customWidth="1"/>
    <col min="507" max="507" width="17" customWidth="1"/>
    <col min="508" max="508" width="8.85546875"/>
    <col min="509" max="509" width="2.85546875" customWidth="1"/>
    <col min="510" max="510" width="14.140625" customWidth="1"/>
    <col min="511" max="511" width="15.42578125" customWidth="1"/>
    <col min="512" max="512" width="13.5703125" customWidth="1"/>
    <col min="513" max="513" width="13.85546875" customWidth="1"/>
    <col min="514" max="514" width="13.140625" customWidth="1"/>
    <col min="515" max="515" width="14.85546875" bestFit="1" customWidth="1"/>
    <col min="516" max="516" width="2.7109375" customWidth="1"/>
    <col min="517" max="517" width="8.85546875"/>
    <col min="518" max="518" width="10.85546875" customWidth="1"/>
    <col min="519" max="519" width="7.85546875" customWidth="1"/>
    <col min="520" max="520" width="11.28515625" customWidth="1"/>
    <col min="521" max="761" width="8.85546875"/>
    <col min="762" max="762" width="11.5703125" customWidth="1"/>
    <col min="763" max="763" width="17" customWidth="1"/>
    <col min="764" max="764" width="8.85546875"/>
    <col min="765" max="765" width="2.85546875" customWidth="1"/>
    <col min="766" max="766" width="14.140625" customWidth="1"/>
    <col min="767" max="767" width="15.42578125" customWidth="1"/>
    <col min="768" max="768" width="13.5703125" customWidth="1"/>
    <col min="769" max="769" width="13.85546875" customWidth="1"/>
    <col min="770" max="770" width="13.140625" customWidth="1"/>
    <col min="771" max="771" width="14.85546875" bestFit="1" customWidth="1"/>
    <col min="772" max="772" width="2.7109375" customWidth="1"/>
    <col min="773" max="773" width="8.85546875"/>
    <col min="774" max="774" width="10.85546875" customWidth="1"/>
    <col min="775" max="775" width="7.85546875" customWidth="1"/>
    <col min="776" max="776" width="11.28515625" customWidth="1"/>
    <col min="777" max="1017" width="8.85546875"/>
    <col min="1018" max="1018" width="11.5703125" customWidth="1"/>
    <col min="1019" max="1019" width="17" customWidth="1"/>
    <col min="1020" max="1020" width="8.85546875"/>
    <col min="1021" max="1021" width="2.85546875" customWidth="1"/>
    <col min="1022" max="1022" width="14.140625" customWidth="1"/>
    <col min="1023" max="1023" width="15.42578125" customWidth="1"/>
    <col min="1024" max="1024" width="13.5703125" customWidth="1"/>
    <col min="1025" max="1025" width="13.85546875" customWidth="1"/>
    <col min="1026" max="1026" width="13.140625" customWidth="1"/>
    <col min="1027" max="1027" width="14.85546875" bestFit="1" customWidth="1"/>
    <col min="1028" max="1028" width="2.7109375" customWidth="1"/>
    <col min="1029" max="1029" width="8.85546875"/>
    <col min="1030" max="1030" width="10.85546875" customWidth="1"/>
    <col min="1031" max="1031" width="7.85546875" customWidth="1"/>
    <col min="1032" max="1032" width="11.28515625" customWidth="1"/>
    <col min="1033" max="1273" width="8.85546875"/>
    <col min="1274" max="1274" width="11.5703125" customWidth="1"/>
    <col min="1275" max="1275" width="17" customWidth="1"/>
    <col min="1276" max="1276" width="8.85546875"/>
    <col min="1277" max="1277" width="2.85546875" customWidth="1"/>
    <col min="1278" max="1278" width="14.140625" customWidth="1"/>
    <col min="1279" max="1279" width="15.42578125" customWidth="1"/>
    <col min="1280" max="1280" width="13.5703125" customWidth="1"/>
    <col min="1281" max="1281" width="13.85546875" customWidth="1"/>
    <col min="1282" max="1282" width="13.140625" customWidth="1"/>
    <col min="1283" max="1283" width="14.85546875" bestFit="1" customWidth="1"/>
    <col min="1284" max="1284" width="2.7109375" customWidth="1"/>
    <col min="1285" max="1285" width="8.85546875"/>
    <col min="1286" max="1286" width="10.85546875" customWidth="1"/>
    <col min="1287" max="1287" width="7.85546875" customWidth="1"/>
    <col min="1288" max="1288" width="11.28515625" customWidth="1"/>
    <col min="1289" max="1529" width="8.85546875"/>
    <col min="1530" max="1530" width="11.5703125" customWidth="1"/>
    <col min="1531" max="1531" width="17" customWidth="1"/>
    <col min="1532" max="1532" width="8.85546875"/>
    <col min="1533" max="1533" width="2.85546875" customWidth="1"/>
    <col min="1534" max="1534" width="14.140625" customWidth="1"/>
    <col min="1535" max="1535" width="15.42578125" customWidth="1"/>
    <col min="1536" max="1536" width="13.5703125" customWidth="1"/>
    <col min="1537" max="1537" width="13.85546875" customWidth="1"/>
    <col min="1538" max="1538" width="13.140625" customWidth="1"/>
    <col min="1539" max="1539" width="14.85546875" bestFit="1" customWidth="1"/>
    <col min="1540" max="1540" width="2.7109375" customWidth="1"/>
    <col min="1541" max="1541" width="8.85546875"/>
    <col min="1542" max="1542" width="10.85546875" customWidth="1"/>
    <col min="1543" max="1543" width="7.85546875" customWidth="1"/>
    <col min="1544" max="1544" width="11.28515625" customWidth="1"/>
    <col min="1545" max="1785" width="8.85546875"/>
    <col min="1786" max="1786" width="11.5703125" customWidth="1"/>
    <col min="1787" max="1787" width="17" customWidth="1"/>
    <col min="1788" max="1788" width="8.85546875"/>
    <col min="1789" max="1789" width="2.85546875" customWidth="1"/>
    <col min="1790" max="1790" width="14.140625" customWidth="1"/>
    <col min="1791" max="1791" width="15.42578125" customWidth="1"/>
    <col min="1792" max="1792" width="13.5703125" customWidth="1"/>
    <col min="1793" max="1793" width="13.85546875" customWidth="1"/>
    <col min="1794" max="1794" width="13.140625" customWidth="1"/>
    <col min="1795" max="1795" width="14.85546875" bestFit="1" customWidth="1"/>
    <col min="1796" max="1796" width="2.7109375" customWidth="1"/>
    <col min="1797" max="1797" width="8.85546875"/>
    <col min="1798" max="1798" width="10.85546875" customWidth="1"/>
    <col min="1799" max="1799" width="7.85546875" customWidth="1"/>
    <col min="1800" max="1800" width="11.28515625" customWidth="1"/>
    <col min="1801" max="2041" width="8.85546875"/>
    <col min="2042" max="2042" width="11.5703125" customWidth="1"/>
    <col min="2043" max="2043" width="17" customWidth="1"/>
    <col min="2044" max="2044" width="8.85546875"/>
    <col min="2045" max="2045" width="2.85546875" customWidth="1"/>
    <col min="2046" max="2046" width="14.140625" customWidth="1"/>
    <col min="2047" max="2047" width="15.42578125" customWidth="1"/>
    <col min="2048" max="2048" width="13.5703125" customWidth="1"/>
    <col min="2049" max="2049" width="13.85546875" customWidth="1"/>
    <col min="2050" max="2050" width="13.140625" customWidth="1"/>
    <col min="2051" max="2051" width="14.85546875" bestFit="1" customWidth="1"/>
    <col min="2052" max="2052" width="2.7109375" customWidth="1"/>
    <col min="2053" max="2053" width="8.85546875"/>
    <col min="2054" max="2054" width="10.85546875" customWidth="1"/>
    <col min="2055" max="2055" width="7.85546875" customWidth="1"/>
    <col min="2056" max="2056" width="11.28515625" customWidth="1"/>
    <col min="2057" max="2297" width="8.85546875"/>
    <col min="2298" max="2298" width="11.5703125" customWidth="1"/>
    <col min="2299" max="2299" width="17" customWidth="1"/>
    <col min="2300" max="2300" width="8.85546875"/>
    <col min="2301" max="2301" width="2.85546875" customWidth="1"/>
    <col min="2302" max="2302" width="14.140625" customWidth="1"/>
    <col min="2303" max="2303" width="15.42578125" customWidth="1"/>
    <col min="2304" max="2304" width="13.5703125" customWidth="1"/>
    <col min="2305" max="2305" width="13.85546875" customWidth="1"/>
    <col min="2306" max="2306" width="13.140625" customWidth="1"/>
    <col min="2307" max="2307" width="14.85546875" bestFit="1" customWidth="1"/>
    <col min="2308" max="2308" width="2.7109375" customWidth="1"/>
    <col min="2309" max="2309" width="8.85546875"/>
    <col min="2310" max="2310" width="10.85546875" customWidth="1"/>
    <col min="2311" max="2311" width="7.85546875" customWidth="1"/>
    <col min="2312" max="2312" width="11.28515625" customWidth="1"/>
    <col min="2313" max="2553" width="8.85546875"/>
    <col min="2554" max="2554" width="11.5703125" customWidth="1"/>
    <col min="2555" max="2555" width="17" customWidth="1"/>
    <col min="2556" max="2556" width="8.85546875"/>
    <col min="2557" max="2557" width="2.85546875" customWidth="1"/>
    <col min="2558" max="2558" width="14.140625" customWidth="1"/>
    <col min="2559" max="2559" width="15.42578125" customWidth="1"/>
    <col min="2560" max="2560" width="13.5703125" customWidth="1"/>
    <col min="2561" max="2561" width="13.85546875" customWidth="1"/>
    <col min="2562" max="2562" width="13.140625" customWidth="1"/>
    <col min="2563" max="2563" width="14.85546875" bestFit="1" customWidth="1"/>
    <col min="2564" max="2564" width="2.7109375" customWidth="1"/>
    <col min="2565" max="2565" width="8.85546875"/>
    <col min="2566" max="2566" width="10.85546875" customWidth="1"/>
    <col min="2567" max="2567" width="7.85546875" customWidth="1"/>
    <col min="2568" max="2568" width="11.28515625" customWidth="1"/>
    <col min="2569" max="2809" width="8.85546875"/>
    <col min="2810" max="2810" width="11.5703125" customWidth="1"/>
    <col min="2811" max="2811" width="17" customWidth="1"/>
    <col min="2812" max="2812" width="8.85546875"/>
    <col min="2813" max="2813" width="2.85546875" customWidth="1"/>
    <col min="2814" max="2814" width="14.140625" customWidth="1"/>
    <col min="2815" max="2815" width="15.42578125" customWidth="1"/>
    <col min="2816" max="2816" width="13.5703125" customWidth="1"/>
    <col min="2817" max="2817" width="13.85546875" customWidth="1"/>
    <col min="2818" max="2818" width="13.140625" customWidth="1"/>
    <col min="2819" max="2819" width="14.85546875" bestFit="1" customWidth="1"/>
    <col min="2820" max="2820" width="2.7109375" customWidth="1"/>
    <col min="2821" max="2821" width="8.85546875"/>
    <col min="2822" max="2822" width="10.85546875" customWidth="1"/>
    <col min="2823" max="2823" width="7.85546875" customWidth="1"/>
    <col min="2824" max="2824" width="11.28515625" customWidth="1"/>
    <col min="2825" max="3065" width="8.85546875"/>
    <col min="3066" max="3066" width="11.5703125" customWidth="1"/>
    <col min="3067" max="3067" width="17" customWidth="1"/>
    <col min="3068" max="3068" width="8.85546875"/>
    <col min="3069" max="3069" width="2.85546875" customWidth="1"/>
    <col min="3070" max="3070" width="14.140625" customWidth="1"/>
    <col min="3071" max="3071" width="15.42578125" customWidth="1"/>
    <col min="3072" max="3072" width="13.5703125" customWidth="1"/>
    <col min="3073" max="3073" width="13.85546875" customWidth="1"/>
    <col min="3074" max="3074" width="13.140625" customWidth="1"/>
    <col min="3075" max="3075" width="14.85546875" bestFit="1" customWidth="1"/>
    <col min="3076" max="3076" width="2.7109375" customWidth="1"/>
    <col min="3077" max="3077" width="8.85546875"/>
    <col min="3078" max="3078" width="10.85546875" customWidth="1"/>
    <col min="3079" max="3079" width="7.85546875" customWidth="1"/>
    <col min="3080" max="3080" width="11.28515625" customWidth="1"/>
    <col min="3081" max="3321" width="8.85546875"/>
    <col min="3322" max="3322" width="11.5703125" customWidth="1"/>
    <col min="3323" max="3323" width="17" customWidth="1"/>
    <col min="3324" max="3324" width="8.85546875"/>
    <col min="3325" max="3325" width="2.85546875" customWidth="1"/>
    <col min="3326" max="3326" width="14.140625" customWidth="1"/>
    <col min="3327" max="3327" width="15.42578125" customWidth="1"/>
    <col min="3328" max="3328" width="13.5703125" customWidth="1"/>
    <col min="3329" max="3329" width="13.85546875" customWidth="1"/>
    <col min="3330" max="3330" width="13.140625" customWidth="1"/>
    <col min="3331" max="3331" width="14.85546875" bestFit="1" customWidth="1"/>
    <col min="3332" max="3332" width="2.7109375" customWidth="1"/>
    <col min="3333" max="3333" width="8.85546875"/>
    <col min="3334" max="3334" width="10.85546875" customWidth="1"/>
    <col min="3335" max="3335" width="7.85546875" customWidth="1"/>
    <col min="3336" max="3336" width="11.28515625" customWidth="1"/>
    <col min="3337" max="3577" width="8.85546875"/>
    <col min="3578" max="3578" width="11.5703125" customWidth="1"/>
    <col min="3579" max="3579" width="17" customWidth="1"/>
    <col min="3580" max="3580" width="8.85546875"/>
    <col min="3581" max="3581" width="2.85546875" customWidth="1"/>
    <col min="3582" max="3582" width="14.140625" customWidth="1"/>
    <col min="3583" max="3583" width="15.42578125" customWidth="1"/>
    <col min="3584" max="3584" width="13.5703125" customWidth="1"/>
    <col min="3585" max="3585" width="13.85546875" customWidth="1"/>
    <col min="3586" max="3586" width="13.140625" customWidth="1"/>
    <col min="3587" max="3587" width="14.85546875" bestFit="1" customWidth="1"/>
    <col min="3588" max="3588" width="2.7109375" customWidth="1"/>
    <col min="3589" max="3589" width="8.85546875"/>
    <col min="3590" max="3590" width="10.85546875" customWidth="1"/>
    <col min="3591" max="3591" width="7.85546875" customWidth="1"/>
    <col min="3592" max="3592" width="11.28515625" customWidth="1"/>
    <col min="3593" max="3833" width="8.85546875"/>
    <col min="3834" max="3834" width="11.5703125" customWidth="1"/>
    <col min="3835" max="3835" width="17" customWidth="1"/>
    <col min="3836" max="3836" width="8.85546875"/>
    <col min="3837" max="3837" width="2.85546875" customWidth="1"/>
    <col min="3838" max="3838" width="14.140625" customWidth="1"/>
    <col min="3839" max="3839" width="15.42578125" customWidth="1"/>
    <col min="3840" max="3840" width="13.5703125" customWidth="1"/>
    <col min="3841" max="3841" width="13.85546875" customWidth="1"/>
    <col min="3842" max="3842" width="13.140625" customWidth="1"/>
    <col min="3843" max="3843" width="14.85546875" bestFit="1" customWidth="1"/>
    <col min="3844" max="3844" width="2.7109375" customWidth="1"/>
    <col min="3845" max="3845" width="8.85546875"/>
    <col min="3846" max="3846" width="10.85546875" customWidth="1"/>
    <col min="3847" max="3847" width="7.85546875" customWidth="1"/>
    <col min="3848" max="3848" width="11.28515625" customWidth="1"/>
    <col min="3849" max="4089" width="8.85546875"/>
    <col min="4090" max="4090" width="11.5703125" customWidth="1"/>
    <col min="4091" max="4091" width="17" customWidth="1"/>
    <col min="4092" max="4092" width="8.85546875"/>
    <col min="4093" max="4093" width="2.85546875" customWidth="1"/>
    <col min="4094" max="4094" width="14.140625" customWidth="1"/>
    <col min="4095" max="4095" width="15.42578125" customWidth="1"/>
    <col min="4096" max="4096" width="13.5703125" customWidth="1"/>
    <col min="4097" max="4097" width="13.85546875" customWidth="1"/>
    <col min="4098" max="4098" width="13.140625" customWidth="1"/>
    <col min="4099" max="4099" width="14.85546875" bestFit="1" customWidth="1"/>
    <col min="4100" max="4100" width="2.7109375" customWidth="1"/>
    <col min="4101" max="4101" width="8.85546875"/>
    <col min="4102" max="4102" width="10.85546875" customWidth="1"/>
    <col min="4103" max="4103" width="7.85546875" customWidth="1"/>
    <col min="4104" max="4104" width="11.28515625" customWidth="1"/>
    <col min="4105" max="4345" width="8.85546875"/>
    <col min="4346" max="4346" width="11.5703125" customWidth="1"/>
    <col min="4347" max="4347" width="17" customWidth="1"/>
    <col min="4348" max="4348" width="8.85546875"/>
    <col min="4349" max="4349" width="2.85546875" customWidth="1"/>
    <col min="4350" max="4350" width="14.140625" customWidth="1"/>
    <col min="4351" max="4351" width="15.42578125" customWidth="1"/>
    <col min="4352" max="4352" width="13.5703125" customWidth="1"/>
    <col min="4353" max="4353" width="13.85546875" customWidth="1"/>
    <col min="4354" max="4354" width="13.140625" customWidth="1"/>
    <col min="4355" max="4355" width="14.85546875" bestFit="1" customWidth="1"/>
    <col min="4356" max="4356" width="2.7109375" customWidth="1"/>
    <col min="4357" max="4357" width="8.85546875"/>
    <col min="4358" max="4358" width="10.85546875" customWidth="1"/>
    <col min="4359" max="4359" width="7.85546875" customWidth="1"/>
    <col min="4360" max="4360" width="11.28515625" customWidth="1"/>
    <col min="4361" max="4601" width="8.85546875"/>
    <col min="4602" max="4602" width="11.5703125" customWidth="1"/>
    <col min="4603" max="4603" width="17" customWidth="1"/>
    <col min="4604" max="4604" width="8.85546875"/>
    <col min="4605" max="4605" width="2.85546875" customWidth="1"/>
    <col min="4606" max="4606" width="14.140625" customWidth="1"/>
    <col min="4607" max="4607" width="15.42578125" customWidth="1"/>
    <col min="4608" max="4608" width="13.5703125" customWidth="1"/>
    <col min="4609" max="4609" width="13.85546875" customWidth="1"/>
    <col min="4610" max="4610" width="13.140625" customWidth="1"/>
    <col min="4611" max="4611" width="14.85546875" bestFit="1" customWidth="1"/>
    <col min="4612" max="4612" width="2.7109375" customWidth="1"/>
    <col min="4613" max="4613" width="8.85546875"/>
    <col min="4614" max="4614" width="10.85546875" customWidth="1"/>
    <col min="4615" max="4615" width="7.85546875" customWidth="1"/>
    <col min="4616" max="4616" width="11.28515625" customWidth="1"/>
    <col min="4617" max="4857" width="8.85546875"/>
    <col min="4858" max="4858" width="11.5703125" customWidth="1"/>
    <col min="4859" max="4859" width="17" customWidth="1"/>
    <col min="4860" max="4860" width="8.85546875"/>
    <col min="4861" max="4861" width="2.85546875" customWidth="1"/>
    <col min="4862" max="4862" width="14.140625" customWidth="1"/>
    <col min="4863" max="4863" width="15.42578125" customWidth="1"/>
    <col min="4864" max="4864" width="13.5703125" customWidth="1"/>
    <col min="4865" max="4865" width="13.85546875" customWidth="1"/>
    <col min="4866" max="4866" width="13.140625" customWidth="1"/>
    <col min="4867" max="4867" width="14.85546875" bestFit="1" customWidth="1"/>
    <col min="4868" max="4868" width="2.7109375" customWidth="1"/>
    <col min="4869" max="4869" width="8.85546875"/>
    <col min="4870" max="4870" width="10.85546875" customWidth="1"/>
    <col min="4871" max="4871" width="7.85546875" customWidth="1"/>
    <col min="4872" max="4872" width="11.28515625" customWidth="1"/>
    <col min="4873" max="5113" width="8.85546875"/>
    <col min="5114" max="5114" width="11.5703125" customWidth="1"/>
    <col min="5115" max="5115" width="17" customWidth="1"/>
    <col min="5116" max="5116" width="8.85546875"/>
    <col min="5117" max="5117" width="2.85546875" customWidth="1"/>
    <col min="5118" max="5118" width="14.140625" customWidth="1"/>
    <col min="5119" max="5119" width="15.42578125" customWidth="1"/>
    <col min="5120" max="5120" width="13.5703125" customWidth="1"/>
    <col min="5121" max="5121" width="13.85546875" customWidth="1"/>
    <col min="5122" max="5122" width="13.140625" customWidth="1"/>
    <col min="5123" max="5123" width="14.85546875" bestFit="1" customWidth="1"/>
    <col min="5124" max="5124" width="2.7109375" customWidth="1"/>
    <col min="5125" max="5125" width="8.85546875"/>
    <col min="5126" max="5126" width="10.85546875" customWidth="1"/>
    <col min="5127" max="5127" width="7.85546875" customWidth="1"/>
    <col min="5128" max="5128" width="11.28515625" customWidth="1"/>
    <col min="5129" max="5369" width="8.85546875"/>
    <col min="5370" max="5370" width="11.5703125" customWidth="1"/>
    <col min="5371" max="5371" width="17" customWidth="1"/>
    <col min="5372" max="5372" width="8.85546875"/>
    <col min="5373" max="5373" width="2.85546875" customWidth="1"/>
    <col min="5374" max="5374" width="14.140625" customWidth="1"/>
    <col min="5375" max="5375" width="15.42578125" customWidth="1"/>
    <col min="5376" max="5376" width="13.5703125" customWidth="1"/>
    <col min="5377" max="5377" width="13.85546875" customWidth="1"/>
    <col min="5378" max="5378" width="13.140625" customWidth="1"/>
    <col min="5379" max="5379" width="14.85546875" bestFit="1" customWidth="1"/>
    <col min="5380" max="5380" width="2.7109375" customWidth="1"/>
    <col min="5381" max="5381" width="8.85546875"/>
    <col min="5382" max="5382" width="10.85546875" customWidth="1"/>
    <col min="5383" max="5383" width="7.85546875" customWidth="1"/>
    <col min="5384" max="5384" width="11.28515625" customWidth="1"/>
    <col min="5385" max="5625" width="8.85546875"/>
    <col min="5626" max="5626" width="11.5703125" customWidth="1"/>
    <col min="5627" max="5627" width="17" customWidth="1"/>
    <col min="5628" max="5628" width="8.85546875"/>
    <col min="5629" max="5629" width="2.85546875" customWidth="1"/>
    <col min="5630" max="5630" width="14.140625" customWidth="1"/>
    <col min="5631" max="5631" width="15.42578125" customWidth="1"/>
    <col min="5632" max="5632" width="13.5703125" customWidth="1"/>
    <col min="5633" max="5633" width="13.85546875" customWidth="1"/>
    <col min="5634" max="5634" width="13.140625" customWidth="1"/>
    <col min="5635" max="5635" width="14.85546875" bestFit="1" customWidth="1"/>
    <col min="5636" max="5636" width="2.7109375" customWidth="1"/>
    <col min="5637" max="5637" width="8.85546875"/>
    <col min="5638" max="5638" width="10.85546875" customWidth="1"/>
    <col min="5639" max="5639" width="7.85546875" customWidth="1"/>
    <col min="5640" max="5640" width="11.28515625" customWidth="1"/>
    <col min="5641" max="5881" width="8.85546875"/>
    <col min="5882" max="5882" width="11.5703125" customWidth="1"/>
    <col min="5883" max="5883" width="17" customWidth="1"/>
    <col min="5884" max="5884" width="8.85546875"/>
    <col min="5885" max="5885" width="2.85546875" customWidth="1"/>
    <col min="5886" max="5886" width="14.140625" customWidth="1"/>
    <col min="5887" max="5887" width="15.42578125" customWidth="1"/>
    <col min="5888" max="5888" width="13.5703125" customWidth="1"/>
    <col min="5889" max="5889" width="13.85546875" customWidth="1"/>
    <col min="5890" max="5890" width="13.140625" customWidth="1"/>
    <col min="5891" max="5891" width="14.85546875" bestFit="1" customWidth="1"/>
    <col min="5892" max="5892" width="2.7109375" customWidth="1"/>
    <col min="5893" max="5893" width="8.85546875"/>
    <col min="5894" max="5894" width="10.85546875" customWidth="1"/>
    <col min="5895" max="5895" width="7.85546875" customWidth="1"/>
    <col min="5896" max="5896" width="11.28515625" customWidth="1"/>
    <col min="5897" max="6137" width="8.85546875"/>
    <col min="6138" max="6138" width="11.5703125" customWidth="1"/>
    <col min="6139" max="6139" width="17" customWidth="1"/>
    <col min="6140" max="6140" width="8.85546875"/>
    <col min="6141" max="6141" width="2.85546875" customWidth="1"/>
    <col min="6142" max="6142" width="14.140625" customWidth="1"/>
    <col min="6143" max="6143" width="15.42578125" customWidth="1"/>
    <col min="6144" max="6144" width="13.5703125" customWidth="1"/>
    <col min="6145" max="6145" width="13.85546875" customWidth="1"/>
    <col min="6146" max="6146" width="13.140625" customWidth="1"/>
    <col min="6147" max="6147" width="14.85546875" bestFit="1" customWidth="1"/>
    <col min="6148" max="6148" width="2.7109375" customWidth="1"/>
    <col min="6149" max="6149" width="8.85546875"/>
    <col min="6150" max="6150" width="10.85546875" customWidth="1"/>
    <col min="6151" max="6151" width="7.85546875" customWidth="1"/>
    <col min="6152" max="6152" width="11.28515625" customWidth="1"/>
    <col min="6153" max="6393" width="8.85546875"/>
    <col min="6394" max="6394" width="11.5703125" customWidth="1"/>
    <col min="6395" max="6395" width="17" customWidth="1"/>
    <col min="6396" max="6396" width="8.85546875"/>
    <col min="6397" max="6397" width="2.85546875" customWidth="1"/>
    <col min="6398" max="6398" width="14.140625" customWidth="1"/>
    <col min="6399" max="6399" width="15.42578125" customWidth="1"/>
    <col min="6400" max="6400" width="13.5703125" customWidth="1"/>
    <col min="6401" max="6401" width="13.85546875" customWidth="1"/>
    <col min="6402" max="6402" width="13.140625" customWidth="1"/>
    <col min="6403" max="6403" width="14.85546875" bestFit="1" customWidth="1"/>
    <col min="6404" max="6404" width="2.7109375" customWidth="1"/>
    <col min="6405" max="6405" width="8.85546875"/>
    <col min="6406" max="6406" width="10.85546875" customWidth="1"/>
    <col min="6407" max="6407" width="7.85546875" customWidth="1"/>
    <col min="6408" max="6408" width="11.28515625" customWidth="1"/>
    <col min="6409" max="6649" width="8.85546875"/>
    <col min="6650" max="6650" width="11.5703125" customWidth="1"/>
    <col min="6651" max="6651" width="17" customWidth="1"/>
    <col min="6652" max="6652" width="8.85546875"/>
    <col min="6653" max="6653" width="2.85546875" customWidth="1"/>
    <col min="6654" max="6654" width="14.140625" customWidth="1"/>
    <col min="6655" max="6655" width="15.42578125" customWidth="1"/>
    <col min="6656" max="6656" width="13.5703125" customWidth="1"/>
    <col min="6657" max="6657" width="13.85546875" customWidth="1"/>
    <col min="6658" max="6658" width="13.140625" customWidth="1"/>
    <col min="6659" max="6659" width="14.85546875" bestFit="1" customWidth="1"/>
    <col min="6660" max="6660" width="2.7109375" customWidth="1"/>
    <col min="6661" max="6661" width="8.85546875"/>
    <col min="6662" max="6662" width="10.85546875" customWidth="1"/>
    <col min="6663" max="6663" width="7.85546875" customWidth="1"/>
    <col min="6664" max="6664" width="11.28515625" customWidth="1"/>
    <col min="6665" max="6905" width="8.85546875"/>
    <col min="6906" max="6906" width="11.5703125" customWidth="1"/>
    <col min="6907" max="6907" width="17" customWidth="1"/>
    <col min="6908" max="6908" width="8.85546875"/>
    <col min="6909" max="6909" width="2.85546875" customWidth="1"/>
    <col min="6910" max="6910" width="14.140625" customWidth="1"/>
    <col min="6911" max="6911" width="15.42578125" customWidth="1"/>
    <col min="6912" max="6912" width="13.5703125" customWidth="1"/>
    <col min="6913" max="6913" width="13.85546875" customWidth="1"/>
    <col min="6914" max="6914" width="13.140625" customWidth="1"/>
    <col min="6915" max="6915" width="14.85546875" bestFit="1" customWidth="1"/>
    <col min="6916" max="6916" width="2.7109375" customWidth="1"/>
    <col min="6917" max="6917" width="8.85546875"/>
    <col min="6918" max="6918" width="10.85546875" customWidth="1"/>
    <col min="6919" max="6919" width="7.85546875" customWidth="1"/>
    <col min="6920" max="6920" width="11.28515625" customWidth="1"/>
    <col min="6921" max="7161" width="8.85546875"/>
    <col min="7162" max="7162" width="11.5703125" customWidth="1"/>
    <col min="7163" max="7163" width="17" customWidth="1"/>
    <col min="7164" max="7164" width="8.85546875"/>
    <col min="7165" max="7165" width="2.85546875" customWidth="1"/>
    <col min="7166" max="7166" width="14.140625" customWidth="1"/>
    <col min="7167" max="7167" width="15.42578125" customWidth="1"/>
    <col min="7168" max="7168" width="13.5703125" customWidth="1"/>
    <col min="7169" max="7169" width="13.85546875" customWidth="1"/>
    <col min="7170" max="7170" width="13.140625" customWidth="1"/>
    <col min="7171" max="7171" width="14.85546875" bestFit="1" customWidth="1"/>
    <col min="7172" max="7172" width="2.7109375" customWidth="1"/>
    <col min="7173" max="7173" width="8.85546875"/>
    <col min="7174" max="7174" width="10.85546875" customWidth="1"/>
    <col min="7175" max="7175" width="7.85546875" customWidth="1"/>
    <col min="7176" max="7176" width="11.28515625" customWidth="1"/>
    <col min="7177" max="7417" width="8.85546875"/>
    <col min="7418" max="7418" width="11.5703125" customWidth="1"/>
    <col min="7419" max="7419" width="17" customWidth="1"/>
    <col min="7420" max="7420" width="8.85546875"/>
    <col min="7421" max="7421" width="2.85546875" customWidth="1"/>
    <col min="7422" max="7422" width="14.140625" customWidth="1"/>
    <col min="7423" max="7423" width="15.42578125" customWidth="1"/>
    <col min="7424" max="7424" width="13.5703125" customWidth="1"/>
    <col min="7425" max="7425" width="13.85546875" customWidth="1"/>
    <col min="7426" max="7426" width="13.140625" customWidth="1"/>
    <col min="7427" max="7427" width="14.85546875" bestFit="1" customWidth="1"/>
    <col min="7428" max="7428" width="2.7109375" customWidth="1"/>
    <col min="7429" max="7429" width="8.85546875"/>
    <col min="7430" max="7430" width="10.85546875" customWidth="1"/>
    <col min="7431" max="7431" width="7.85546875" customWidth="1"/>
    <col min="7432" max="7432" width="11.28515625" customWidth="1"/>
    <col min="7433" max="7673" width="8.85546875"/>
    <col min="7674" max="7674" width="11.5703125" customWidth="1"/>
    <col min="7675" max="7675" width="17" customWidth="1"/>
    <col min="7676" max="7676" width="8.85546875"/>
    <col min="7677" max="7677" width="2.85546875" customWidth="1"/>
    <col min="7678" max="7678" width="14.140625" customWidth="1"/>
    <col min="7679" max="7679" width="15.42578125" customWidth="1"/>
    <col min="7680" max="7680" width="13.5703125" customWidth="1"/>
    <col min="7681" max="7681" width="13.85546875" customWidth="1"/>
    <col min="7682" max="7682" width="13.140625" customWidth="1"/>
    <col min="7683" max="7683" width="14.85546875" bestFit="1" customWidth="1"/>
    <col min="7684" max="7684" width="2.7109375" customWidth="1"/>
    <col min="7685" max="7685" width="8.85546875"/>
    <col min="7686" max="7686" width="10.85546875" customWidth="1"/>
    <col min="7687" max="7687" width="7.85546875" customWidth="1"/>
    <col min="7688" max="7688" width="11.28515625" customWidth="1"/>
    <col min="7689" max="7929" width="8.85546875"/>
    <col min="7930" max="7930" width="11.5703125" customWidth="1"/>
    <col min="7931" max="7931" width="17" customWidth="1"/>
    <col min="7932" max="7932" width="8.85546875"/>
    <col min="7933" max="7933" width="2.85546875" customWidth="1"/>
    <col min="7934" max="7934" width="14.140625" customWidth="1"/>
    <col min="7935" max="7935" width="15.42578125" customWidth="1"/>
    <col min="7936" max="7936" width="13.5703125" customWidth="1"/>
    <col min="7937" max="7937" width="13.85546875" customWidth="1"/>
    <col min="7938" max="7938" width="13.140625" customWidth="1"/>
    <col min="7939" max="7939" width="14.85546875" bestFit="1" customWidth="1"/>
    <col min="7940" max="7940" width="2.7109375" customWidth="1"/>
    <col min="7941" max="7941" width="8.85546875"/>
    <col min="7942" max="7942" width="10.85546875" customWidth="1"/>
    <col min="7943" max="7943" width="7.85546875" customWidth="1"/>
    <col min="7944" max="7944" width="11.28515625" customWidth="1"/>
    <col min="7945" max="8185" width="8.85546875"/>
    <col min="8186" max="8186" width="11.5703125" customWidth="1"/>
    <col min="8187" max="8187" width="17" customWidth="1"/>
    <col min="8188" max="8188" width="8.85546875"/>
    <col min="8189" max="8189" width="2.85546875" customWidth="1"/>
    <col min="8190" max="8190" width="14.140625" customWidth="1"/>
    <col min="8191" max="8191" width="15.42578125" customWidth="1"/>
    <col min="8192" max="8192" width="13.5703125" customWidth="1"/>
    <col min="8193" max="8193" width="13.85546875" customWidth="1"/>
    <col min="8194" max="8194" width="13.140625" customWidth="1"/>
    <col min="8195" max="8195" width="14.85546875" bestFit="1" customWidth="1"/>
    <col min="8196" max="8196" width="2.7109375" customWidth="1"/>
    <col min="8197" max="8197" width="8.85546875"/>
    <col min="8198" max="8198" width="10.85546875" customWidth="1"/>
    <col min="8199" max="8199" width="7.85546875" customWidth="1"/>
    <col min="8200" max="8200" width="11.28515625" customWidth="1"/>
    <col min="8201" max="8441" width="8.85546875"/>
    <col min="8442" max="8442" width="11.5703125" customWidth="1"/>
    <col min="8443" max="8443" width="17" customWidth="1"/>
    <col min="8444" max="8444" width="8.85546875"/>
    <col min="8445" max="8445" width="2.85546875" customWidth="1"/>
    <col min="8446" max="8446" width="14.140625" customWidth="1"/>
    <col min="8447" max="8447" width="15.42578125" customWidth="1"/>
    <col min="8448" max="8448" width="13.5703125" customWidth="1"/>
    <col min="8449" max="8449" width="13.85546875" customWidth="1"/>
    <col min="8450" max="8450" width="13.140625" customWidth="1"/>
    <col min="8451" max="8451" width="14.85546875" bestFit="1" customWidth="1"/>
    <col min="8452" max="8452" width="2.7109375" customWidth="1"/>
    <col min="8453" max="8453" width="8.85546875"/>
    <col min="8454" max="8454" width="10.85546875" customWidth="1"/>
    <col min="8455" max="8455" width="7.85546875" customWidth="1"/>
    <col min="8456" max="8456" width="11.28515625" customWidth="1"/>
    <col min="8457" max="8697" width="8.85546875"/>
    <col min="8698" max="8698" width="11.5703125" customWidth="1"/>
    <col min="8699" max="8699" width="17" customWidth="1"/>
    <col min="8700" max="8700" width="8.85546875"/>
    <col min="8701" max="8701" width="2.85546875" customWidth="1"/>
    <col min="8702" max="8702" width="14.140625" customWidth="1"/>
    <col min="8703" max="8703" width="15.42578125" customWidth="1"/>
    <col min="8704" max="8704" width="13.5703125" customWidth="1"/>
    <col min="8705" max="8705" width="13.85546875" customWidth="1"/>
    <col min="8706" max="8706" width="13.140625" customWidth="1"/>
    <col min="8707" max="8707" width="14.85546875" bestFit="1" customWidth="1"/>
    <col min="8708" max="8708" width="2.7109375" customWidth="1"/>
    <col min="8709" max="8709" width="8.85546875"/>
    <col min="8710" max="8710" width="10.85546875" customWidth="1"/>
    <col min="8711" max="8711" width="7.85546875" customWidth="1"/>
    <col min="8712" max="8712" width="11.28515625" customWidth="1"/>
    <col min="8713" max="8953" width="8.85546875"/>
    <col min="8954" max="8954" width="11.5703125" customWidth="1"/>
    <col min="8955" max="8955" width="17" customWidth="1"/>
    <col min="8956" max="8956" width="8.85546875"/>
    <col min="8957" max="8957" width="2.85546875" customWidth="1"/>
    <col min="8958" max="8958" width="14.140625" customWidth="1"/>
    <col min="8959" max="8959" width="15.42578125" customWidth="1"/>
    <col min="8960" max="8960" width="13.5703125" customWidth="1"/>
    <col min="8961" max="8961" width="13.85546875" customWidth="1"/>
    <col min="8962" max="8962" width="13.140625" customWidth="1"/>
    <col min="8963" max="8963" width="14.85546875" bestFit="1" customWidth="1"/>
    <col min="8964" max="8964" width="2.7109375" customWidth="1"/>
    <col min="8965" max="8965" width="8.85546875"/>
    <col min="8966" max="8966" width="10.85546875" customWidth="1"/>
    <col min="8967" max="8967" width="7.85546875" customWidth="1"/>
    <col min="8968" max="8968" width="11.28515625" customWidth="1"/>
    <col min="8969" max="9209" width="8.85546875"/>
    <col min="9210" max="9210" width="11.5703125" customWidth="1"/>
    <col min="9211" max="9211" width="17" customWidth="1"/>
    <col min="9212" max="9212" width="8.85546875"/>
    <col min="9213" max="9213" width="2.85546875" customWidth="1"/>
    <col min="9214" max="9214" width="14.140625" customWidth="1"/>
    <col min="9215" max="9215" width="15.42578125" customWidth="1"/>
    <col min="9216" max="9216" width="13.5703125" customWidth="1"/>
    <col min="9217" max="9217" width="13.85546875" customWidth="1"/>
    <col min="9218" max="9218" width="13.140625" customWidth="1"/>
    <col min="9219" max="9219" width="14.85546875" bestFit="1" customWidth="1"/>
    <col min="9220" max="9220" width="2.7109375" customWidth="1"/>
    <col min="9221" max="9221" width="8.85546875"/>
    <col min="9222" max="9222" width="10.85546875" customWidth="1"/>
    <col min="9223" max="9223" width="7.85546875" customWidth="1"/>
    <col min="9224" max="9224" width="11.28515625" customWidth="1"/>
    <col min="9225" max="9465" width="8.85546875"/>
    <col min="9466" max="9466" width="11.5703125" customWidth="1"/>
    <col min="9467" max="9467" width="17" customWidth="1"/>
    <col min="9468" max="9468" width="8.85546875"/>
    <col min="9469" max="9469" width="2.85546875" customWidth="1"/>
    <col min="9470" max="9470" width="14.140625" customWidth="1"/>
    <col min="9471" max="9471" width="15.42578125" customWidth="1"/>
    <col min="9472" max="9472" width="13.5703125" customWidth="1"/>
    <col min="9473" max="9473" width="13.85546875" customWidth="1"/>
    <col min="9474" max="9474" width="13.140625" customWidth="1"/>
    <col min="9475" max="9475" width="14.85546875" bestFit="1" customWidth="1"/>
    <col min="9476" max="9476" width="2.7109375" customWidth="1"/>
    <col min="9477" max="9477" width="8.85546875"/>
    <col min="9478" max="9478" width="10.85546875" customWidth="1"/>
    <col min="9479" max="9479" width="7.85546875" customWidth="1"/>
    <col min="9480" max="9480" width="11.28515625" customWidth="1"/>
    <col min="9481" max="9721" width="8.85546875"/>
    <col min="9722" max="9722" width="11.5703125" customWidth="1"/>
    <col min="9723" max="9723" width="17" customWidth="1"/>
    <col min="9724" max="9724" width="8.85546875"/>
    <col min="9725" max="9725" width="2.85546875" customWidth="1"/>
    <col min="9726" max="9726" width="14.140625" customWidth="1"/>
    <col min="9727" max="9727" width="15.42578125" customWidth="1"/>
    <col min="9728" max="9728" width="13.5703125" customWidth="1"/>
    <col min="9729" max="9729" width="13.85546875" customWidth="1"/>
    <col min="9730" max="9730" width="13.140625" customWidth="1"/>
    <col min="9731" max="9731" width="14.85546875" bestFit="1" customWidth="1"/>
    <col min="9732" max="9732" width="2.7109375" customWidth="1"/>
    <col min="9733" max="9733" width="8.85546875"/>
    <col min="9734" max="9734" width="10.85546875" customWidth="1"/>
    <col min="9735" max="9735" width="7.85546875" customWidth="1"/>
    <col min="9736" max="9736" width="11.28515625" customWidth="1"/>
    <col min="9737" max="9977" width="8.85546875"/>
    <col min="9978" max="9978" width="11.5703125" customWidth="1"/>
    <col min="9979" max="9979" width="17" customWidth="1"/>
    <col min="9980" max="9980" width="8.85546875"/>
    <col min="9981" max="9981" width="2.85546875" customWidth="1"/>
    <col min="9982" max="9982" width="14.140625" customWidth="1"/>
    <col min="9983" max="9983" width="15.42578125" customWidth="1"/>
    <col min="9984" max="9984" width="13.5703125" customWidth="1"/>
    <col min="9985" max="9985" width="13.85546875" customWidth="1"/>
    <col min="9986" max="9986" width="13.140625" customWidth="1"/>
    <col min="9987" max="9987" width="14.85546875" bestFit="1" customWidth="1"/>
    <col min="9988" max="9988" width="2.7109375" customWidth="1"/>
    <col min="9989" max="9989" width="8.85546875"/>
    <col min="9990" max="9990" width="10.85546875" customWidth="1"/>
    <col min="9991" max="9991" width="7.85546875" customWidth="1"/>
    <col min="9992" max="9992" width="11.28515625" customWidth="1"/>
    <col min="9993" max="10233" width="8.85546875"/>
    <col min="10234" max="10234" width="11.5703125" customWidth="1"/>
    <col min="10235" max="10235" width="17" customWidth="1"/>
    <col min="10236" max="10236" width="8.85546875"/>
    <col min="10237" max="10237" width="2.85546875" customWidth="1"/>
    <col min="10238" max="10238" width="14.140625" customWidth="1"/>
    <col min="10239" max="10239" width="15.42578125" customWidth="1"/>
    <col min="10240" max="10240" width="13.5703125" customWidth="1"/>
    <col min="10241" max="10241" width="13.85546875" customWidth="1"/>
    <col min="10242" max="10242" width="13.140625" customWidth="1"/>
    <col min="10243" max="10243" width="14.85546875" bestFit="1" customWidth="1"/>
    <col min="10244" max="10244" width="2.7109375" customWidth="1"/>
    <col min="10245" max="10245" width="8.85546875"/>
    <col min="10246" max="10246" width="10.85546875" customWidth="1"/>
    <col min="10247" max="10247" width="7.85546875" customWidth="1"/>
    <col min="10248" max="10248" width="11.28515625" customWidth="1"/>
    <col min="10249" max="10489" width="8.85546875"/>
    <col min="10490" max="10490" width="11.5703125" customWidth="1"/>
    <col min="10491" max="10491" width="17" customWidth="1"/>
    <col min="10492" max="10492" width="8.85546875"/>
    <col min="10493" max="10493" width="2.85546875" customWidth="1"/>
    <col min="10494" max="10494" width="14.140625" customWidth="1"/>
    <col min="10495" max="10495" width="15.42578125" customWidth="1"/>
    <col min="10496" max="10496" width="13.5703125" customWidth="1"/>
    <col min="10497" max="10497" width="13.85546875" customWidth="1"/>
    <col min="10498" max="10498" width="13.140625" customWidth="1"/>
    <col min="10499" max="10499" width="14.85546875" bestFit="1" customWidth="1"/>
    <col min="10500" max="10500" width="2.7109375" customWidth="1"/>
    <col min="10501" max="10501" width="8.85546875"/>
    <col min="10502" max="10502" width="10.85546875" customWidth="1"/>
    <col min="10503" max="10503" width="7.85546875" customWidth="1"/>
    <col min="10504" max="10504" width="11.28515625" customWidth="1"/>
    <col min="10505" max="10745" width="8.85546875"/>
    <col min="10746" max="10746" width="11.5703125" customWidth="1"/>
    <col min="10747" max="10747" width="17" customWidth="1"/>
    <col min="10748" max="10748" width="8.85546875"/>
    <col min="10749" max="10749" width="2.85546875" customWidth="1"/>
    <col min="10750" max="10750" width="14.140625" customWidth="1"/>
    <col min="10751" max="10751" width="15.42578125" customWidth="1"/>
    <col min="10752" max="10752" width="13.5703125" customWidth="1"/>
    <col min="10753" max="10753" width="13.85546875" customWidth="1"/>
    <col min="10754" max="10754" width="13.140625" customWidth="1"/>
    <col min="10755" max="10755" width="14.85546875" bestFit="1" customWidth="1"/>
    <col min="10756" max="10756" width="2.7109375" customWidth="1"/>
    <col min="10757" max="10757" width="8.85546875"/>
    <col min="10758" max="10758" width="10.85546875" customWidth="1"/>
    <col min="10759" max="10759" width="7.85546875" customWidth="1"/>
    <col min="10760" max="10760" width="11.28515625" customWidth="1"/>
    <col min="10761" max="11001" width="8.85546875"/>
    <col min="11002" max="11002" width="11.5703125" customWidth="1"/>
    <col min="11003" max="11003" width="17" customWidth="1"/>
    <col min="11004" max="11004" width="8.85546875"/>
    <col min="11005" max="11005" width="2.85546875" customWidth="1"/>
    <col min="11006" max="11006" width="14.140625" customWidth="1"/>
    <col min="11007" max="11007" width="15.42578125" customWidth="1"/>
    <col min="11008" max="11008" width="13.5703125" customWidth="1"/>
    <col min="11009" max="11009" width="13.85546875" customWidth="1"/>
    <col min="11010" max="11010" width="13.140625" customWidth="1"/>
    <col min="11011" max="11011" width="14.85546875" bestFit="1" customWidth="1"/>
    <col min="11012" max="11012" width="2.7109375" customWidth="1"/>
    <col min="11013" max="11013" width="8.85546875"/>
    <col min="11014" max="11014" width="10.85546875" customWidth="1"/>
    <col min="11015" max="11015" width="7.85546875" customWidth="1"/>
    <col min="11016" max="11016" width="11.28515625" customWidth="1"/>
    <col min="11017" max="11257" width="8.85546875"/>
    <col min="11258" max="11258" width="11.5703125" customWidth="1"/>
    <col min="11259" max="11259" width="17" customWidth="1"/>
    <col min="11260" max="11260" width="8.85546875"/>
    <col min="11261" max="11261" width="2.85546875" customWidth="1"/>
    <col min="11262" max="11262" width="14.140625" customWidth="1"/>
    <col min="11263" max="11263" width="15.42578125" customWidth="1"/>
    <col min="11264" max="11264" width="13.5703125" customWidth="1"/>
    <col min="11265" max="11265" width="13.85546875" customWidth="1"/>
    <col min="11266" max="11266" width="13.140625" customWidth="1"/>
    <col min="11267" max="11267" width="14.85546875" bestFit="1" customWidth="1"/>
    <col min="11268" max="11268" width="2.7109375" customWidth="1"/>
    <col min="11269" max="11269" width="8.85546875"/>
    <col min="11270" max="11270" width="10.85546875" customWidth="1"/>
    <col min="11271" max="11271" width="7.85546875" customWidth="1"/>
    <col min="11272" max="11272" width="11.28515625" customWidth="1"/>
    <col min="11273" max="11513" width="8.85546875"/>
    <col min="11514" max="11514" width="11.5703125" customWidth="1"/>
    <col min="11515" max="11515" width="17" customWidth="1"/>
    <col min="11516" max="11516" width="8.85546875"/>
    <col min="11517" max="11517" width="2.85546875" customWidth="1"/>
    <col min="11518" max="11518" width="14.140625" customWidth="1"/>
    <col min="11519" max="11519" width="15.42578125" customWidth="1"/>
    <col min="11520" max="11520" width="13.5703125" customWidth="1"/>
    <col min="11521" max="11521" width="13.85546875" customWidth="1"/>
    <col min="11522" max="11522" width="13.140625" customWidth="1"/>
    <col min="11523" max="11523" width="14.85546875" bestFit="1" customWidth="1"/>
    <col min="11524" max="11524" width="2.7109375" customWidth="1"/>
    <col min="11525" max="11525" width="8.85546875"/>
    <col min="11526" max="11526" width="10.85546875" customWidth="1"/>
    <col min="11527" max="11527" width="7.85546875" customWidth="1"/>
    <col min="11528" max="11528" width="11.28515625" customWidth="1"/>
    <col min="11529" max="11769" width="8.85546875"/>
    <col min="11770" max="11770" width="11.5703125" customWidth="1"/>
    <col min="11771" max="11771" width="17" customWidth="1"/>
    <col min="11772" max="11772" width="8.85546875"/>
    <col min="11773" max="11773" width="2.85546875" customWidth="1"/>
    <col min="11774" max="11774" width="14.140625" customWidth="1"/>
    <col min="11775" max="11775" width="15.42578125" customWidth="1"/>
    <col min="11776" max="11776" width="13.5703125" customWidth="1"/>
    <col min="11777" max="11777" width="13.85546875" customWidth="1"/>
    <col min="11778" max="11778" width="13.140625" customWidth="1"/>
    <col min="11779" max="11779" width="14.85546875" bestFit="1" customWidth="1"/>
    <col min="11780" max="11780" width="2.7109375" customWidth="1"/>
    <col min="11781" max="11781" width="8.85546875"/>
    <col min="11782" max="11782" width="10.85546875" customWidth="1"/>
    <col min="11783" max="11783" width="7.85546875" customWidth="1"/>
    <col min="11784" max="11784" width="11.28515625" customWidth="1"/>
    <col min="11785" max="12025" width="8.85546875"/>
    <col min="12026" max="12026" width="11.5703125" customWidth="1"/>
    <col min="12027" max="12027" width="17" customWidth="1"/>
    <col min="12028" max="12028" width="8.85546875"/>
    <col min="12029" max="12029" width="2.85546875" customWidth="1"/>
    <col min="12030" max="12030" width="14.140625" customWidth="1"/>
    <col min="12031" max="12031" width="15.42578125" customWidth="1"/>
    <col min="12032" max="12032" width="13.5703125" customWidth="1"/>
    <col min="12033" max="12033" width="13.85546875" customWidth="1"/>
    <col min="12034" max="12034" width="13.140625" customWidth="1"/>
    <col min="12035" max="12035" width="14.85546875" bestFit="1" customWidth="1"/>
    <col min="12036" max="12036" width="2.7109375" customWidth="1"/>
    <col min="12037" max="12037" width="8.85546875"/>
    <col min="12038" max="12038" width="10.85546875" customWidth="1"/>
    <col min="12039" max="12039" width="7.85546875" customWidth="1"/>
    <col min="12040" max="12040" width="11.28515625" customWidth="1"/>
    <col min="12041" max="12281" width="8.85546875"/>
    <col min="12282" max="12282" width="11.5703125" customWidth="1"/>
    <col min="12283" max="12283" width="17" customWidth="1"/>
    <col min="12284" max="12284" width="8.85546875"/>
    <col min="12285" max="12285" width="2.85546875" customWidth="1"/>
    <col min="12286" max="12286" width="14.140625" customWidth="1"/>
    <col min="12287" max="12287" width="15.42578125" customWidth="1"/>
    <col min="12288" max="12288" width="13.5703125" customWidth="1"/>
    <col min="12289" max="12289" width="13.85546875" customWidth="1"/>
    <col min="12290" max="12290" width="13.140625" customWidth="1"/>
    <col min="12291" max="12291" width="14.85546875" bestFit="1" customWidth="1"/>
    <col min="12292" max="12292" width="2.7109375" customWidth="1"/>
    <col min="12293" max="12293" width="8.85546875"/>
    <col min="12294" max="12294" width="10.85546875" customWidth="1"/>
    <col min="12295" max="12295" width="7.85546875" customWidth="1"/>
    <col min="12296" max="12296" width="11.28515625" customWidth="1"/>
    <col min="12297" max="12537" width="8.85546875"/>
    <col min="12538" max="12538" width="11.5703125" customWidth="1"/>
    <col min="12539" max="12539" width="17" customWidth="1"/>
    <col min="12540" max="12540" width="8.85546875"/>
    <col min="12541" max="12541" width="2.85546875" customWidth="1"/>
    <col min="12542" max="12542" width="14.140625" customWidth="1"/>
    <col min="12543" max="12543" width="15.42578125" customWidth="1"/>
    <col min="12544" max="12544" width="13.5703125" customWidth="1"/>
    <col min="12545" max="12545" width="13.85546875" customWidth="1"/>
    <col min="12546" max="12546" width="13.140625" customWidth="1"/>
    <col min="12547" max="12547" width="14.85546875" bestFit="1" customWidth="1"/>
    <col min="12548" max="12548" width="2.7109375" customWidth="1"/>
    <col min="12549" max="12549" width="8.85546875"/>
    <col min="12550" max="12550" width="10.85546875" customWidth="1"/>
    <col min="12551" max="12551" width="7.85546875" customWidth="1"/>
    <col min="12552" max="12552" width="11.28515625" customWidth="1"/>
    <col min="12553" max="12793" width="8.85546875"/>
    <col min="12794" max="12794" width="11.5703125" customWidth="1"/>
    <col min="12795" max="12795" width="17" customWidth="1"/>
    <col min="12796" max="12796" width="8.85546875"/>
    <col min="12797" max="12797" width="2.85546875" customWidth="1"/>
    <col min="12798" max="12798" width="14.140625" customWidth="1"/>
    <col min="12799" max="12799" width="15.42578125" customWidth="1"/>
    <col min="12800" max="12800" width="13.5703125" customWidth="1"/>
    <col min="12801" max="12801" width="13.85546875" customWidth="1"/>
    <col min="12802" max="12802" width="13.140625" customWidth="1"/>
    <col min="12803" max="12803" width="14.85546875" bestFit="1" customWidth="1"/>
    <col min="12804" max="12804" width="2.7109375" customWidth="1"/>
    <col min="12805" max="12805" width="8.85546875"/>
    <col min="12806" max="12806" width="10.85546875" customWidth="1"/>
    <col min="12807" max="12807" width="7.85546875" customWidth="1"/>
    <col min="12808" max="12808" width="11.28515625" customWidth="1"/>
    <col min="12809" max="13049" width="8.85546875"/>
    <col min="13050" max="13050" width="11.5703125" customWidth="1"/>
    <col min="13051" max="13051" width="17" customWidth="1"/>
    <col min="13052" max="13052" width="8.85546875"/>
    <col min="13053" max="13053" width="2.85546875" customWidth="1"/>
    <col min="13054" max="13054" width="14.140625" customWidth="1"/>
    <col min="13055" max="13055" width="15.42578125" customWidth="1"/>
    <col min="13056" max="13056" width="13.5703125" customWidth="1"/>
    <col min="13057" max="13057" width="13.85546875" customWidth="1"/>
    <col min="13058" max="13058" width="13.140625" customWidth="1"/>
    <col min="13059" max="13059" width="14.85546875" bestFit="1" customWidth="1"/>
    <col min="13060" max="13060" width="2.7109375" customWidth="1"/>
    <col min="13061" max="13061" width="8.85546875"/>
    <col min="13062" max="13062" width="10.85546875" customWidth="1"/>
    <col min="13063" max="13063" width="7.85546875" customWidth="1"/>
    <col min="13064" max="13064" width="11.28515625" customWidth="1"/>
    <col min="13065" max="13305" width="8.85546875"/>
    <col min="13306" max="13306" width="11.5703125" customWidth="1"/>
    <col min="13307" max="13307" width="17" customWidth="1"/>
    <col min="13308" max="13308" width="8.85546875"/>
    <col min="13309" max="13309" width="2.85546875" customWidth="1"/>
    <col min="13310" max="13310" width="14.140625" customWidth="1"/>
    <col min="13311" max="13311" width="15.42578125" customWidth="1"/>
    <col min="13312" max="13312" width="13.5703125" customWidth="1"/>
    <col min="13313" max="13313" width="13.85546875" customWidth="1"/>
    <col min="13314" max="13314" width="13.140625" customWidth="1"/>
    <col min="13315" max="13315" width="14.85546875" bestFit="1" customWidth="1"/>
    <col min="13316" max="13316" width="2.7109375" customWidth="1"/>
    <col min="13317" max="13317" width="8.85546875"/>
    <col min="13318" max="13318" width="10.85546875" customWidth="1"/>
    <col min="13319" max="13319" width="7.85546875" customWidth="1"/>
    <col min="13320" max="13320" width="11.28515625" customWidth="1"/>
    <col min="13321" max="13561" width="8.85546875"/>
    <col min="13562" max="13562" width="11.5703125" customWidth="1"/>
    <col min="13563" max="13563" width="17" customWidth="1"/>
    <col min="13564" max="13564" width="8.85546875"/>
    <col min="13565" max="13565" width="2.85546875" customWidth="1"/>
    <col min="13566" max="13566" width="14.140625" customWidth="1"/>
    <col min="13567" max="13567" width="15.42578125" customWidth="1"/>
    <col min="13568" max="13568" width="13.5703125" customWidth="1"/>
    <col min="13569" max="13569" width="13.85546875" customWidth="1"/>
    <col min="13570" max="13570" width="13.140625" customWidth="1"/>
    <col min="13571" max="13571" width="14.85546875" bestFit="1" customWidth="1"/>
    <col min="13572" max="13572" width="2.7109375" customWidth="1"/>
    <col min="13573" max="13573" width="8.85546875"/>
    <col min="13574" max="13574" width="10.85546875" customWidth="1"/>
    <col min="13575" max="13575" width="7.85546875" customWidth="1"/>
    <col min="13576" max="13576" width="11.28515625" customWidth="1"/>
    <col min="13577" max="13817" width="8.85546875"/>
    <col min="13818" max="13818" width="11.5703125" customWidth="1"/>
    <col min="13819" max="13819" width="17" customWidth="1"/>
    <col min="13820" max="13820" width="8.85546875"/>
    <col min="13821" max="13821" width="2.85546875" customWidth="1"/>
    <col min="13822" max="13822" width="14.140625" customWidth="1"/>
    <col min="13823" max="13823" width="15.42578125" customWidth="1"/>
    <col min="13824" max="13824" width="13.5703125" customWidth="1"/>
    <col min="13825" max="13825" width="13.85546875" customWidth="1"/>
    <col min="13826" max="13826" width="13.140625" customWidth="1"/>
    <col min="13827" max="13827" width="14.85546875" bestFit="1" customWidth="1"/>
    <col min="13828" max="13828" width="2.7109375" customWidth="1"/>
    <col min="13829" max="13829" width="8.85546875"/>
    <col min="13830" max="13830" width="10.85546875" customWidth="1"/>
    <col min="13831" max="13831" width="7.85546875" customWidth="1"/>
    <col min="13832" max="13832" width="11.28515625" customWidth="1"/>
    <col min="13833" max="14073" width="8.85546875"/>
    <col min="14074" max="14074" width="11.5703125" customWidth="1"/>
    <col min="14075" max="14075" width="17" customWidth="1"/>
    <col min="14076" max="14076" width="8.85546875"/>
    <col min="14077" max="14077" width="2.85546875" customWidth="1"/>
    <col min="14078" max="14078" width="14.140625" customWidth="1"/>
    <col min="14079" max="14079" width="15.42578125" customWidth="1"/>
    <col min="14080" max="14080" width="13.5703125" customWidth="1"/>
    <col min="14081" max="14081" width="13.85546875" customWidth="1"/>
    <col min="14082" max="14082" width="13.140625" customWidth="1"/>
    <col min="14083" max="14083" width="14.85546875" bestFit="1" customWidth="1"/>
    <col min="14084" max="14084" width="2.7109375" customWidth="1"/>
    <col min="14085" max="14085" width="8.85546875"/>
    <col min="14086" max="14086" width="10.85546875" customWidth="1"/>
    <col min="14087" max="14087" width="7.85546875" customWidth="1"/>
    <col min="14088" max="14088" width="11.28515625" customWidth="1"/>
    <col min="14089" max="14329" width="8.85546875"/>
    <col min="14330" max="14330" width="11.5703125" customWidth="1"/>
    <col min="14331" max="14331" width="17" customWidth="1"/>
    <col min="14332" max="14332" width="8.85546875"/>
    <col min="14333" max="14333" width="2.85546875" customWidth="1"/>
    <col min="14334" max="14334" width="14.140625" customWidth="1"/>
    <col min="14335" max="14335" width="15.42578125" customWidth="1"/>
    <col min="14336" max="14336" width="13.5703125" customWidth="1"/>
    <col min="14337" max="14337" width="13.85546875" customWidth="1"/>
    <col min="14338" max="14338" width="13.140625" customWidth="1"/>
    <col min="14339" max="14339" width="14.85546875" bestFit="1" customWidth="1"/>
    <col min="14340" max="14340" width="2.7109375" customWidth="1"/>
    <col min="14341" max="14341" width="8.85546875"/>
    <col min="14342" max="14342" width="10.85546875" customWidth="1"/>
    <col min="14343" max="14343" width="7.85546875" customWidth="1"/>
    <col min="14344" max="14344" width="11.28515625" customWidth="1"/>
    <col min="14345" max="14585" width="8.85546875"/>
    <col min="14586" max="14586" width="11.5703125" customWidth="1"/>
    <col min="14587" max="14587" width="17" customWidth="1"/>
    <col min="14588" max="14588" width="8.85546875"/>
    <col min="14589" max="14589" width="2.85546875" customWidth="1"/>
    <col min="14590" max="14590" width="14.140625" customWidth="1"/>
    <col min="14591" max="14591" width="15.42578125" customWidth="1"/>
    <col min="14592" max="14592" width="13.5703125" customWidth="1"/>
    <col min="14593" max="14593" width="13.85546875" customWidth="1"/>
    <col min="14594" max="14594" width="13.140625" customWidth="1"/>
    <col min="14595" max="14595" width="14.85546875" bestFit="1" customWidth="1"/>
    <col min="14596" max="14596" width="2.7109375" customWidth="1"/>
    <col min="14597" max="14597" width="8.85546875"/>
    <col min="14598" max="14598" width="10.85546875" customWidth="1"/>
    <col min="14599" max="14599" width="7.85546875" customWidth="1"/>
    <col min="14600" max="14600" width="11.28515625" customWidth="1"/>
    <col min="14601" max="14841" width="8.85546875"/>
    <col min="14842" max="14842" width="11.5703125" customWidth="1"/>
    <col min="14843" max="14843" width="17" customWidth="1"/>
    <col min="14844" max="14844" width="8.85546875"/>
    <col min="14845" max="14845" width="2.85546875" customWidth="1"/>
    <col min="14846" max="14846" width="14.140625" customWidth="1"/>
    <col min="14847" max="14847" width="15.42578125" customWidth="1"/>
    <col min="14848" max="14848" width="13.5703125" customWidth="1"/>
    <col min="14849" max="14849" width="13.85546875" customWidth="1"/>
    <col min="14850" max="14850" width="13.140625" customWidth="1"/>
    <col min="14851" max="14851" width="14.85546875" bestFit="1" customWidth="1"/>
    <col min="14852" max="14852" width="2.7109375" customWidth="1"/>
    <col min="14853" max="14853" width="8.85546875"/>
    <col min="14854" max="14854" width="10.85546875" customWidth="1"/>
    <col min="14855" max="14855" width="7.85546875" customWidth="1"/>
    <col min="14856" max="14856" width="11.28515625" customWidth="1"/>
    <col min="14857" max="15097" width="8.85546875"/>
    <col min="15098" max="15098" width="11.5703125" customWidth="1"/>
    <col min="15099" max="15099" width="17" customWidth="1"/>
    <col min="15100" max="15100" width="8.85546875"/>
    <col min="15101" max="15101" width="2.85546875" customWidth="1"/>
    <col min="15102" max="15102" width="14.140625" customWidth="1"/>
    <col min="15103" max="15103" width="15.42578125" customWidth="1"/>
    <col min="15104" max="15104" width="13.5703125" customWidth="1"/>
    <col min="15105" max="15105" width="13.85546875" customWidth="1"/>
    <col min="15106" max="15106" width="13.140625" customWidth="1"/>
    <col min="15107" max="15107" width="14.85546875" bestFit="1" customWidth="1"/>
    <col min="15108" max="15108" width="2.7109375" customWidth="1"/>
    <col min="15109" max="15109" width="8.85546875"/>
    <col min="15110" max="15110" width="10.85546875" customWidth="1"/>
    <col min="15111" max="15111" width="7.85546875" customWidth="1"/>
    <col min="15112" max="15112" width="11.28515625" customWidth="1"/>
    <col min="15113" max="15353" width="8.85546875"/>
    <col min="15354" max="15354" width="11.5703125" customWidth="1"/>
    <col min="15355" max="15355" width="17" customWidth="1"/>
    <col min="15356" max="15356" width="8.85546875"/>
    <col min="15357" max="15357" width="2.85546875" customWidth="1"/>
    <col min="15358" max="15358" width="14.140625" customWidth="1"/>
    <col min="15359" max="15359" width="15.42578125" customWidth="1"/>
    <col min="15360" max="15360" width="13.5703125" customWidth="1"/>
    <col min="15361" max="15361" width="13.85546875" customWidth="1"/>
    <col min="15362" max="15362" width="13.140625" customWidth="1"/>
    <col min="15363" max="15363" width="14.85546875" bestFit="1" customWidth="1"/>
    <col min="15364" max="15364" width="2.7109375" customWidth="1"/>
    <col min="15365" max="15365" width="8.85546875"/>
    <col min="15366" max="15366" width="10.85546875" customWidth="1"/>
    <col min="15367" max="15367" width="7.85546875" customWidth="1"/>
    <col min="15368" max="15368" width="11.28515625" customWidth="1"/>
    <col min="15369" max="15609" width="8.85546875"/>
    <col min="15610" max="15610" width="11.5703125" customWidth="1"/>
    <col min="15611" max="15611" width="17" customWidth="1"/>
    <col min="15612" max="15612" width="8.85546875"/>
    <col min="15613" max="15613" width="2.85546875" customWidth="1"/>
    <col min="15614" max="15614" width="14.140625" customWidth="1"/>
    <col min="15615" max="15615" width="15.42578125" customWidth="1"/>
    <col min="15616" max="15616" width="13.5703125" customWidth="1"/>
    <col min="15617" max="15617" width="13.85546875" customWidth="1"/>
    <col min="15618" max="15618" width="13.140625" customWidth="1"/>
    <col min="15619" max="15619" width="14.85546875" bestFit="1" customWidth="1"/>
    <col min="15620" max="15620" width="2.7109375" customWidth="1"/>
    <col min="15621" max="15621" width="8.85546875"/>
    <col min="15622" max="15622" width="10.85546875" customWidth="1"/>
    <col min="15623" max="15623" width="7.85546875" customWidth="1"/>
    <col min="15624" max="15624" width="11.28515625" customWidth="1"/>
    <col min="15625" max="15865" width="8.85546875"/>
    <col min="15866" max="15866" width="11.5703125" customWidth="1"/>
    <col min="15867" max="15867" width="17" customWidth="1"/>
    <col min="15868" max="15868" width="8.85546875"/>
    <col min="15869" max="15869" width="2.85546875" customWidth="1"/>
    <col min="15870" max="15870" width="14.140625" customWidth="1"/>
    <col min="15871" max="15871" width="15.42578125" customWidth="1"/>
    <col min="15872" max="15872" width="13.5703125" customWidth="1"/>
    <col min="15873" max="15873" width="13.85546875" customWidth="1"/>
    <col min="15874" max="15874" width="13.140625" customWidth="1"/>
    <col min="15875" max="15875" width="14.85546875" bestFit="1" customWidth="1"/>
    <col min="15876" max="15876" width="2.7109375" customWidth="1"/>
    <col min="15877" max="15877" width="8.85546875"/>
    <col min="15878" max="15878" width="10.85546875" customWidth="1"/>
    <col min="15879" max="15879" width="7.85546875" customWidth="1"/>
    <col min="15880" max="15880" width="11.28515625" customWidth="1"/>
    <col min="15881" max="16121" width="8.85546875"/>
    <col min="16122" max="16122" width="11.5703125" customWidth="1"/>
    <col min="16123" max="16123" width="17" customWidth="1"/>
    <col min="16124" max="16124" width="8.85546875"/>
    <col min="16125" max="16125" width="2.85546875" customWidth="1"/>
    <col min="16126" max="16126" width="14.140625" customWidth="1"/>
    <col min="16127" max="16127" width="15.42578125" customWidth="1"/>
    <col min="16128" max="16128" width="13.5703125" customWidth="1"/>
    <col min="16129" max="16129" width="13.85546875" customWidth="1"/>
    <col min="16130" max="16130" width="13.140625" customWidth="1"/>
    <col min="16131" max="16131" width="14.85546875" bestFit="1" customWidth="1"/>
    <col min="16132" max="16132" width="2.7109375" customWidth="1"/>
    <col min="16133" max="16133" width="8.85546875"/>
    <col min="16134" max="16134" width="10.85546875" customWidth="1"/>
    <col min="16135" max="16135" width="7.85546875" customWidth="1"/>
    <col min="16136" max="16136" width="11.28515625" customWidth="1"/>
    <col min="16137" max="16384" width="8.85546875"/>
  </cols>
  <sheetData>
    <row r="1" spans="1:10" ht="23.25" x14ac:dyDescent="0.35">
      <c r="A1" s="65" t="s">
        <v>417</v>
      </c>
      <c r="B1" s="67"/>
      <c r="C1" s="69"/>
    </row>
    <row r="2" spans="1:10" ht="18.75" x14ac:dyDescent="0.3">
      <c r="B2" s="67"/>
      <c r="C2" s="69"/>
    </row>
    <row r="3" spans="1:10" x14ac:dyDescent="0.25">
      <c r="A3" s="454">
        <f>+waarderingsrapport!B17</f>
        <v>0</v>
      </c>
      <c r="B3" s="455"/>
      <c r="C3" s="455"/>
      <c r="D3" s="448"/>
      <c r="E3" s="448"/>
      <c r="F3" s="448"/>
      <c r="G3" s="448"/>
    </row>
    <row r="4" spans="1:10" ht="15" customHeight="1" x14ac:dyDescent="0.25">
      <c r="A4" s="64"/>
      <c r="B4" s="66"/>
      <c r="C4" s="66"/>
    </row>
    <row r="5" spans="1:10" ht="15" customHeight="1" x14ac:dyDescent="0.25">
      <c r="A5" s="455" t="s">
        <v>418</v>
      </c>
      <c r="B5" s="457"/>
      <c r="C5" s="457"/>
      <c r="D5" s="457"/>
      <c r="E5" s="457"/>
      <c r="F5" s="457"/>
      <c r="G5" s="457"/>
      <c r="H5" s="457"/>
      <c r="I5" s="457"/>
      <c r="J5" s="457"/>
    </row>
    <row r="6" spans="1:10" ht="15" customHeight="1" x14ac:dyDescent="0.25">
      <c r="A6" s="457"/>
      <c r="B6" s="457"/>
      <c r="C6" s="457"/>
      <c r="D6" s="457"/>
      <c r="E6" s="457"/>
      <c r="F6" s="457"/>
      <c r="G6" s="457"/>
      <c r="H6" s="457"/>
      <c r="I6" s="457"/>
      <c r="J6" s="457"/>
    </row>
    <row r="7" spans="1:10" ht="15" customHeight="1" x14ac:dyDescent="0.25">
      <c r="A7" s="457"/>
      <c r="B7" s="457"/>
      <c r="C7" s="457"/>
      <c r="D7" s="457"/>
      <c r="E7" s="457"/>
      <c r="F7" s="457"/>
      <c r="G7" s="457"/>
      <c r="H7" s="457"/>
      <c r="I7" s="457"/>
      <c r="J7" s="457"/>
    </row>
    <row r="8" spans="1:10" ht="15" customHeight="1" x14ac:dyDescent="0.25">
      <c r="A8" s="457"/>
      <c r="B8" s="457"/>
      <c r="C8" s="457"/>
      <c r="D8" s="457"/>
      <c r="E8" s="457"/>
      <c r="F8" s="457"/>
      <c r="G8" s="457"/>
      <c r="H8" s="457"/>
      <c r="I8" s="457"/>
      <c r="J8" s="457"/>
    </row>
    <row r="9" spans="1:10" ht="15" customHeight="1" x14ac:dyDescent="0.25">
      <c r="A9" s="457"/>
      <c r="B9" s="457"/>
      <c r="C9" s="457"/>
      <c r="D9" s="457"/>
      <c r="E9" s="457"/>
      <c r="F9" s="457"/>
      <c r="G9" s="457"/>
      <c r="H9" s="457"/>
      <c r="I9" s="457"/>
      <c r="J9" s="457"/>
    </row>
    <row r="10" spans="1:10" ht="15" customHeight="1" x14ac:dyDescent="0.25">
      <c r="A10" s="457"/>
      <c r="B10" s="457"/>
      <c r="C10" s="457"/>
      <c r="D10" s="457"/>
      <c r="E10" s="457"/>
      <c r="F10" s="457"/>
      <c r="G10" s="457"/>
      <c r="H10" s="457"/>
      <c r="I10" s="457"/>
      <c r="J10" s="457"/>
    </row>
    <row r="11" spans="1:10" ht="15.75" x14ac:dyDescent="0.25">
      <c r="A11" s="61" t="s">
        <v>419</v>
      </c>
      <c r="B11" s="69"/>
      <c r="C11" s="69"/>
      <c r="D11" s="69"/>
      <c r="E11" s="69"/>
      <c r="F11" s="69"/>
      <c r="G11" s="69"/>
    </row>
    <row r="12" spans="1:10" ht="15" customHeight="1" x14ac:dyDescent="0.3">
      <c r="B12" s="67"/>
      <c r="C12" s="69"/>
      <c r="E12"/>
    </row>
    <row r="13" spans="1:10" ht="15" customHeight="1" x14ac:dyDescent="0.25">
      <c r="A13" t="s">
        <v>420</v>
      </c>
      <c r="C13" s="245">
        <f>+variabelen!E86</f>
        <v>1</v>
      </c>
      <c r="E13"/>
    </row>
    <row r="14" spans="1:10" ht="15" customHeight="1" x14ac:dyDescent="0.25">
      <c r="A14" t="s">
        <v>421</v>
      </c>
      <c r="C14" s="118">
        <f>+variabelen!E72</f>
        <v>4.5400000000000003E-2</v>
      </c>
      <c r="E14"/>
    </row>
    <row r="15" spans="1:10" ht="15" customHeight="1" x14ac:dyDescent="0.25">
      <c r="E15"/>
    </row>
    <row r="16" spans="1:10" x14ac:dyDescent="0.25">
      <c r="D16" s="465" t="s">
        <v>422</v>
      </c>
      <c r="E16" s="466"/>
      <c r="F16" s="466"/>
      <c r="G16" s="466"/>
      <c r="H16" s="466"/>
      <c r="I16" s="466"/>
      <c r="J16" s="467"/>
    </row>
    <row r="17" spans="1:10" x14ac:dyDescent="0.25">
      <c r="D17" s="124">
        <f>+E17-0.05</f>
        <v>0.84999999999999987</v>
      </c>
      <c r="E17" s="125">
        <f>+F17-0.05</f>
        <v>0.89999999999999991</v>
      </c>
      <c r="F17" s="126">
        <f>+G17-0.05</f>
        <v>0.95</v>
      </c>
      <c r="G17" s="126">
        <f>+C13</f>
        <v>1</v>
      </c>
      <c r="H17" s="126">
        <f>+G17+0.05</f>
        <v>1.05</v>
      </c>
      <c r="I17" s="126">
        <f>+H17+0.05</f>
        <v>1.1000000000000001</v>
      </c>
      <c r="J17" s="127">
        <f>+I17+0.05</f>
        <v>1.1500000000000001</v>
      </c>
    </row>
    <row r="18" spans="1:10" x14ac:dyDescent="0.25">
      <c r="A18" s="468" t="s">
        <v>219</v>
      </c>
      <c r="B18" s="469"/>
      <c r="C18" s="114">
        <f>+C19-0.25%</f>
        <v>3.7899999999999996E-2</v>
      </c>
      <c r="D18" s="117">
        <f>(variabelen!$G$29+(Sensiviteitsanalyse!D$17*Sensiviteitsanalyse!$C18))*variabelen!$F$172+(variabelen!$F$173)*variabelen!$F$160</f>
        <v>2.6761669084544467E-2</v>
      </c>
      <c r="E18" s="118">
        <f>(variabelen!$G$29+(Sensiviteitsanalyse!E$17*Sensiviteitsanalyse!$C18))*variabelen!$F$172+(variabelen!$F$173)*variabelen!$F$160</f>
        <v>2.7443357606281346E-2</v>
      </c>
      <c r="F18" s="118">
        <f>(variabelen!$G$29+(Sensiviteitsanalyse!F$17*Sensiviteitsanalyse!$C18))*variabelen!$F$172+(variabelen!$F$173)*variabelen!$F$160</f>
        <v>2.8125046128018229E-2</v>
      </c>
      <c r="G18" s="118">
        <f>(variabelen!$G$29+(Sensiviteitsanalyse!G$17*Sensiviteitsanalyse!$C18))*variabelen!$F$172+(variabelen!$F$173)*variabelen!$F$160</f>
        <v>2.8806734649755108E-2</v>
      </c>
      <c r="H18" s="118">
        <f>(variabelen!$G$29+(Sensiviteitsanalyse!H$17*Sensiviteitsanalyse!$C18))*variabelen!$F$172+(variabelen!$F$173)*variabelen!$F$160</f>
        <v>2.9488423171491987E-2</v>
      </c>
      <c r="I18" s="118">
        <f>(variabelen!$G$29+(Sensiviteitsanalyse!I$17*Sensiviteitsanalyse!$C18))*variabelen!$F$172+(variabelen!$F$173)*variabelen!$F$160</f>
        <v>3.0170111693228863E-2</v>
      </c>
      <c r="J18" s="119">
        <f>(variabelen!$G$29+(Sensiviteitsanalyse!J$17*Sensiviteitsanalyse!$C18))*variabelen!$F$172+(variabelen!$F$173)*variabelen!$F$160</f>
        <v>3.0851800214965745E-2</v>
      </c>
    </row>
    <row r="19" spans="1:10" x14ac:dyDescent="0.25">
      <c r="A19" s="470"/>
      <c r="B19" s="471"/>
      <c r="C19" s="114">
        <f>+C20-0.25%</f>
        <v>4.0399999999999998E-2</v>
      </c>
      <c r="D19" s="117">
        <f>(variabelen!$G$29+(Sensiviteitsanalyse!D$17*Sensiviteitsanalyse!$C19))*variabelen!$F$172+(variabelen!$F$173)*variabelen!$F$160</f>
        <v>2.7526095527125403E-2</v>
      </c>
      <c r="E19" s="118">
        <f>(variabelen!$G$29+(Sensiviteitsanalyse!E$17*Sensiviteitsanalyse!$C19))*variabelen!$F$172+(variabelen!$F$173)*variabelen!$F$160</f>
        <v>2.8252750310190568E-2</v>
      </c>
      <c r="F19" s="118">
        <f>(variabelen!$G$29+(Sensiviteitsanalyse!F$17*Sensiviteitsanalyse!$C19))*variabelen!$F$172+(variabelen!$F$173)*variabelen!$F$160</f>
        <v>2.8979405093255743E-2</v>
      </c>
      <c r="G19" s="118">
        <f>(variabelen!$G$29+(Sensiviteitsanalyse!G$17*Sensiviteitsanalyse!$C19))*variabelen!$F$172+(variabelen!$F$173)*variabelen!$F$160</f>
        <v>2.9706059876320915E-2</v>
      </c>
      <c r="H19" s="118">
        <f>(variabelen!$G$29+(Sensiviteitsanalyse!H$17*Sensiviteitsanalyse!$C19))*variabelen!$F$172+(variabelen!$F$173)*variabelen!$F$160</f>
        <v>3.043271465938608E-2</v>
      </c>
      <c r="I19" s="118">
        <f>(variabelen!$G$29+(Sensiviteitsanalyse!I$17*Sensiviteitsanalyse!$C19))*variabelen!$F$172+(variabelen!$F$173)*variabelen!$F$160</f>
        <v>3.1159369442451249E-2</v>
      </c>
      <c r="J19" s="119">
        <f>(variabelen!$G$29+(Sensiviteitsanalyse!J$17*Sensiviteitsanalyse!$C19))*variabelen!$F$172+(variabelen!$F$173)*variabelen!$F$160</f>
        <v>3.1886024225516424E-2</v>
      </c>
    </row>
    <row r="20" spans="1:10" x14ac:dyDescent="0.25">
      <c r="A20" s="470"/>
      <c r="B20" s="471"/>
      <c r="C20" s="114">
        <f>+C21-0.25%</f>
        <v>4.2900000000000001E-2</v>
      </c>
      <c r="D20" s="117">
        <f>(variabelen!$G$29+(Sensiviteitsanalyse!D$17*Sensiviteitsanalyse!$C20))*variabelen!$F$172+(variabelen!$F$173)*variabelen!$F$160</f>
        <v>2.8290521969706335E-2</v>
      </c>
      <c r="E20" s="118">
        <f>(variabelen!$G$29+(Sensiviteitsanalyse!E$17*Sensiviteitsanalyse!$C20))*variabelen!$F$172+(variabelen!$F$173)*variabelen!$F$160</f>
        <v>2.9062143014099793E-2</v>
      </c>
      <c r="F20" s="249">
        <f>(variabelen!$G$29+(Sensiviteitsanalyse!F$17*Sensiviteitsanalyse!$C20))*variabelen!$F$172+(variabelen!$F$173)*variabelen!$F$160</f>
        <v>2.9833764058493258E-2</v>
      </c>
      <c r="G20" s="115">
        <f>(variabelen!$G$29+(Sensiviteitsanalyse!G$17*Sensiviteitsanalyse!$C20))*variabelen!$F$172+(variabelen!$F$173)*variabelen!$F$160</f>
        <v>3.0605385102886719E-2</v>
      </c>
      <c r="H20" s="116">
        <f>(variabelen!$G$29+(Sensiviteitsanalyse!H$17*Sensiviteitsanalyse!$C20))*variabelen!$F$172+(variabelen!$F$173)*variabelen!$F$160</f>
        <v>3.137700614728018E-2</v>
      </c>
      <c r="I20" s="118">
        <f>(variabelen!$G$29+(Sensiviteitsanalyse!I$17*Sensiviteitsanalyse!$C20))*variabelen!$F$172+(variabelen!$F$173)*variabelen!$F$160</f>
        <v>3.2148627191673634E-2</v>
      </c>
      <c r="J20" s="119">
        <f>(variabelen!$G$29+(Sensiviteitsanalyse!J$17*Sensiviteitsanalyse!$C20))*variabelen!$F$172+(variabelen!$F$173)*variabelen!$F$160</f>
        <v>3.2920248236067096E-2</v>
      </c>
    </row>
    <row r="21" spans="1:10" x14ac:dyDescent="0.25">
      <c r="A21" s="470"/>
      <c r="B21" s="471"/>
      <c r="C21" s="128">
        <f>+C14</f>
        <v>4.5400000000000003E-2</v>
      </c>
      <c r="D21" s="117">
        <f>(variabelen!$G$29+(Sensiviteitsanalyse!D$17*Sensiviteitsanalyse!$C21))*variabelen!$F$172+(variabelen!$F$173)*variabelen!$F$160</f>
        <v>2.9054948412287271E-2</v>
      </c>
      <c r="E21" s="118">
        <f>(variabelen!$G$29+(Sensiviteitsanalyse!E$17*Sensiviteitsanalyse!$C21))*variabelen!$F$172+(variabelen!$F$173)*variabelen!$F$160</f>
        <v>2.9871535718009018E-2</v>
      </c>
      <c r="F21" s="117">
        <f>(variabelen!$G$29+(Sensiviteitsanalyse!F$17*Sensiviteitsanalyse!$C21))*variabelen!$F$172+(variabelen!$F$173)*variabelen!$F$160</f>
        <v>3.0688123023730772E-2</v>
      </c>
      <c r="G21" s="123">
        <f>(variabelen!$G$29+(Sensiviteitsanalyse!G$17*Sensiviteitsanalyse!$C21))*variabelen!$F$172+(variabelen!$F$173)*variabelen!$F$160</f>
        <v>3.1504710329452526E-2</v>
      </c>
      <c r="H21" s="119">
        <f>(variabelen!$G$29+(Sensiviteitsanalyse!H$17*Sensiviteitsanalyse!$C21))*variabelen!$F$172+(variabelen!$F$173)*variabelen!$F$160</f>
        <v>3.2321297635174273E-2</v>
      </c>
      <c r="I21" s="118">
        <f>(variabelen!$G$29+(Sensiviteitsanalyse!I$17*Sensiviteitsanalyse!$C21))*variabelen!$F$172+(variabelen!$F$173)*variabelen!$F$160</f>
        <v>3.313788494089602E-2</v>
      </c>
      <c r="J21" s="119">
        <f>(variabelen!$G$29+(Sensiviteitsanalyse!J$17*Sensiviteitsanalyse!$C21))*variabelen!$F$172+(variabelen!$F$173)*variabelen!$F$160</f>
        <v>3.3954472246617774E-2</v>
      </c>
    </row>
    <row r="22" spans="1:10" x14ac:dyDescent="0.25">
      <c r="A22" s="470"/>
      <c r="B22" s="471"/>
      <c r="C22" s="114">
        <f>+C21+0.25%</f>
        <v>4.7900000000000005E-2</v>
      </c>
      <c r="D22" s="117">
        <f>(variabelen!$G$29+(Sensiviteitsanalyse!D$17*Sensiviteitsanalyse!$C22))*variabelen!$F$172+(variabelen!$F$173)*variabelen!$F$160</f>
        <v>2.9819374854868203E-2</v>
      </c>
      <c r="E22" s="118">
        <f>(variabelen!$G$29+(Sensiviteitsanalyse!E$17*Sensiviteitsanalyse!$C22))*variabelen!$F$172+(variabelen!$F$173)*variabelen!$F$160</f>
        <v>3.0680928421918243E-2</v>
      </c>
      <c r="F22" s="120">
        <f>(variabelen!$G$29+(Sensiviteitsanalyse!F$17*Sensiviteitsanalyse!$C22))*variabelen!$F$172+(variabelen!$F$173)*variabelen!$F$160</f>
        <v>3.1542481988968286E-2</v>
      </c>
      <c r="G22" s="121">
        <f>(variabelen!$G$29+(Sensiviteitsanalyse!G$17*Sensiviteitsanalyse!$C22))*variabelen!$F$172+(variabelen!$F$173)*variabelen!$F$160</f>
        <v>3.2404035556018326E-2</v>
      </c>
      <c r="H22" s="248">
        <f>(variabelen!$G$29+(Sensiviteitsanalyse!H$17*Sensiviteitsanalyse!$C22))*variabelen!$F$172+(variabelen!$F$173)*variabelen!$F$160</f>
        <v>3.3265589123068366E-2</v>
      </c>
      <c r="I22" s="118">
        <f>(variabelen!$G$29+(Sensiviteitsanalyse!I$17*Sensiviteitsanalyse!$C22))*variabelen!$F$172+(variabelen!$F$173)*variabelen!$F$160</f>
        <v>3.4127142690118406E-2</v>
      </c>
      <c r="J22" s="119">
        <f>(variabelen!$G$29+(Sensiviteitsanalyse!J$17*Sensiviteitsanalyse!$C22))*variabelen!$F$172+(variabelen!$F$173)*variabelen!$F$160</f>
        <v>3.4988696257168446E-2</v>
      </c>
    </row>
    <row r="23" spans="1:10" x14ac:dyDescent="0.25">
      <c r="A23" s="470"/>
      <c r="B23" s="471"/>
      <c r="C23" s="114">
        <f>+C22+0.25%</f>
        <v>5.0400000000000007E-2</v>
      </c>
      <c r="D23" s="117">
        <f>(variabelen!$G$29+(Sensiviteitsanalyse!D$17*Sensiviteitsanalyse!$C23))*variabelen!$F$172+(variabelen!$F$173)*variabelen!$F$160</f>
        <v>3.0583801297449139E-2</v>
      </c>
      <c r="E23" s="118">
        <f>(variabelen!$G$29+(Sensiviteitsanalyse!E$17*Sensiviteitsanalyse!$C23))*variabelen!$F$172+(variabelen!$F$173)*variabelen!$F$160</f>
        <v>3.1490321125827468E-2</v>
      </c>
      <c r="F23" s="118">
        <f>(variabelen!$G$29+(Sensiviteitsanalyse!F$17*Sensiviteitsanalyse!$C23))*variabelen!$F$172+(variabelen!$F$173)*variabelen!$F$160</f>
        <v>3.2396840954205801E-2</v>
      </c>
      <c r="G23" s="118">
        <f>(variabelen!$G$29+(Sensiviteitsanalyse!G$17*Sensiviteitsanalyse!$C23))*variabelen!$F$172+(variabelen!$F$173)*variabelen!$F$160</f>
        <v>3.3303360782584134E-2</v>
      </c>
      <c r="H23" s="118">
        <f>(variabelen!$G$29+(Sensiviteitsanalyse!H$17*Sensiviteitsanalyse!$C23))*variabelen!$F$172+(variabelen!$F$173)*variabelen!$F$160</f>
        <v>3.4209880610962459E-2</v>
      </c>
      <c r="I23" s="118">
        <f>(variabelen!$G$29+(Sensiviteitsanalyse!I$17*Sensiviteitsanalyse!$C23))*variabelen!$F$172+(variabelen!$F$173)*variabelen!$F$160</f>
        <v>3.5116400439340792E-2</v>
      </c>
      <c r="J23" s="119">
        <f>(variabelen!$G$29+(Sensiviteitsanalyse!J$17*Sensiviteitsanalyse!$C23))*variabelen!$F$172+(variabelen!$F$173)*variabelen!$F$160</f>
        <v>3.6022920267719125E-2</v>
      </c>
    </row>
    <row r="24" spans="1:10" x14ac:dyDescent="0.25">
      <c r="A24" s="472"/>
      <c r="B24" s="473"/>
      <c r="C24" s="114">
        <f>+C21+0.25%</f>
        <v>4.7900000000000005E-2</v>
      </c>
      <c r="D24" s="120">
        <f>(variabelen!$G$29+(Sensiviteitsanalyse!D$17*Sensiviteitsanalyse!$C24))*variabelen!$F$172+(variabelen!$F$173)*variabelen!$F$160</f>
        <v>2.9819374854868203E-2</v>
      </c>
      <c r="E24" s="121">
        <f>(variabelen!$G$29+(Sensiviteitsanalyse!E$17*Sensiviteitsanalyse!$C24))*variabelen!$F$172+(variabelen!$F$173)*variabelen!$F$160</f>
        <v>3.0680928421918243E-2</v>
      </c>
      <c r="F24" s="121">
        <f>(variabelen!$G$29+(Sensiviteitsanalyse!F$17*Sensiviteitsanalyse!$C24))*variabelen!$F$172+(variabelen!$F$173)*variabelen!$F$160</f>
        <v>3.1542481988968286E-2</v>
      </c>
      <c r="G24" s="121">
        <f>(variabelen!$G$29+(Sensiviteitsanalyse!G$17*Sensiviteitsanalyse!$C24))*variabelen!$F$172+(variabelen!$F$173)*variabelen!$F$160</f>
        <v>3.2404035556018326E-2</v>
      </c>
      <c r="H24" s="121">
        <f>(variabelen!$G$29+(Sensiviteitsanalyse!H$17*Sensiviteitsanalyse!$C24))*variabelen!$F$172+(variabelen!$F$173)*variabelen!$F$160</f>
        <v>3.3265589123068366E-2</v>
      </c>
      <c r="I24" s="121">
        <f>(variabelen!$G$29+(Sensiviteitsanalyse!I$17*Sensiviteitsanalyse!$C24))*variabelen!$F$172+(variabelen!$F$173)*variabelen!$F$160</f>
        <v>3.4127142690118406E-2</v>
      </c>
      <c r="J24" s="122">
        <f>(variabelen!$G$29+(Sensiviteitsanalyse!J$17*Sensiviteitsanalyse!$C24))*variabelen!$F$172+(variabelen!$F$173)*variabelen!$F$160</f>
        <v>3.4988696257168446E-2</v>
      </c>
    </row>
    <row r="26" spans="1:10" x14ac:dyDescent="0.25">
      <c r="A26" s="4" t="s">
        <v>423</v>
      </c>
    </row>
    <row r="28" spans="1:10" x14ac:dyDescent="0.25">
      <c r="A28" t="s">
        <v>424</v>
      </c>
      <c r="E28" s="134">
        <f>+WACC!F40</f>
        <v>0.3597300906263215</v>
      </c>
    </row>
    <row r="29" spans="1:10" x14ac:dyDescent="0.25">
      <c r="A29" t="s">
        <v>425</v>
      </c>
      <c r="E29" s="133">
        <f>+WACC!F41</f>
        <v>0.64026990937367845</v>
      </c>
    </row>
    <row r="31" spans="1:10" x14ac:dyDescent="0.25">
      <c r="D31" s="465" t="s">
        <v>426</v>
      </c>
      <c r="E31" s="466"/>
      <c r="F31" s="466"/>
      <c r="G31" s="466"/>
      <c r="H31" s="466"/>
      <c r="I31" s="466"/>
      <c r="J31" s="467"/>
    </row>
    <row r="32" spans="1:10" x14ac:dyDescent="0.25">
      <c r="D32" s="129">
        <f>E32+0.05</f>
        <v>0.79026990937367858</v>
      </c>
      <c r="E32" s="130">
        <f>F32+0.05</f>
        <v>0.74026990937367854</v>
      </c>
      <c r="F32" s="131">
        <f>G32+5%</f>
        <v>0.69026990937367849</v>
      </c>
      <c r="G32" s="131">
        <f>variabelen!F173</f>
        <v>0.64026990937367845</v>
      </c>
      <c r="H32" s="131">
        <f>G32-0.05</f>
        <v>0.5902699093736784</v>
      </c>
      <c r="I32" s="131">
        <f>H32-0.05</f>
        <v>0.54026990937367836</v>
      </c>
      <c r="J32" s="132">
        <f>I32-0.05</f>
        <v>0.49026990937367837</v>
      </c>
    </row>
    <row r="33" spans="1:10" x14ac:dyDescent="0.25">
      <c r="A33" s="459" t="s">
        <v>427</v>
      </c>
      <c r="B33" s="461"/>
      <c r="C33" s="114">
        <f>+C34-5%</f>
        <v>0.20973009062632153</v>
      </c>
      <c r="D33" s="136">
        <f>(Sensiviteitsanalyse!$C33*variabelen!$E$92)+(Sensiviteitsanalyse!D$32*variabelen!$F$160)</f>
        <v>2.1314799238730985E-2</v>
      </c>
      <c r="E33" s="115">
        <f>(Sensiviteitsanalyse!$C33*variabelen!$E$92)+(Sensiviteitsanalyse!E$32*variabelen!$F$160)</f>
        <v>2.0961436268971498E-2</v>
      </c>
      <c r="F33" s="115">
        <f>(Sensiviteitsanalyse!$C33*variabelen!$E$92)+(Sensiviteitsanalyse!F$32*variabelen!$F$160)</f>
        <v>2.060807329921201E-2</v>
      </c>
      <c r="G33" s="115">
        <f>(Sensiviteitsanalyse!$C33*variabelen!$E$92)+(Sensiviteitsanalyse!G$32*variabelen!$F$160)</f>
        <v>2.0254710329452523E-2</v>
      </c>
      <c r="H33" s="115">
        <f>(Sensiviteitsanalyse!$C33*variabelen!$E$92)+(Sensiviteitsanalyse!H$32*variabelen!$F$160)</f>
        <v>1.9901347359693039E-2</v>
      </c>
      <c r="I33" s="115">
        <f>(Sensiviteitsanalyse!$C33*variabelen!$E$92)+(Sensiviteitsanalyse!I$32*variabelen!$F$160)</f>
        <v>1.9547984389933548E-2</v>
      </c>
      <c r="J33" s="116">
        <f>(Sensiviteitsanalyse!$C33*variabelen!$E$92)+(Sensiviteitsanalyse!J$32*variabelen!$F$160)</f>
        <v>1.9194621420174064E-2</v>
      </c>
    </row>
    <row r="34" spans="1:10" x14ac:dyDescent="0.25">
      <c r="A34" s="474"/>
      <c r="B34" s="475"/>
      <c r="C34" s="114">
        <f>+C35-5%</f>
        <v>0.25973009062632152</v>
      </c>
      <c r="D34" s="117">
        <f>(Sensiviteitsanalyse!$C34*variabelen!$E$92)+(Sensiviteitsanalyse!D$32*variabelen!$F$160)</f>
        <v>2.5064799238730985E-2</v>
      </c>
      <c r="E34" s="118">
        <f>(Sensiviteitsanalyse!$C34*variabelen!$E$92)+(Sensiviteitsanalyse!E$32*variabelen!$F$160)</f>
        <v>2.4711436268971498E-2</v>
      </c>
      <c r="F34" s="118">
        <f>(Sensiviteitsanalyse!$C34*variabelen!$E$92)+(Sensiviteitsanalyse!F$32*variabelen!$F$160)</f>
        <v>2.435807329921201E-2</v>
      </c>
      <c r="G34" s="118">
        <f>(Sensiviteitsanalyse!$C34*variabelen!$E$92)+(Sensiviteitsanalyse!G$32*variabelen!$F$160)</f>
        <v>2.4004710329452523E-2</v>
      </c>
      <c r="H34" s="118">
        <f>(Sensiviteitsanalyse!$C34*variabelen!$E$92)+(Sensiviteitsanalyse!H$32*variabelen!$F$160)</f>
        <v>2.3651347359693035E-2</v>
      </c>
      <c r="I34" s="118">
        <f>(Sensiviteitsanalyse!$C34*variabelen!$E$92)+(Sensiviteitsanalyse!I$32*variabelen!$F$160)</f>
        <v>2.3297984389933551E-2</v>
      </c>
      <c r="J34" s="119">
        <f>(Sensiviteitsanalyse!$C34*variabelen!$E$92)+(Sensiviteitsanalyse!J$32*variabelen!$F$160)</f>
        <v>2.2944621420174064E-2</v>
      </c>
    </row>
    <row r="35" spans="1:10" x14ac:dyDescent="0.25">
      <c r="A35" s="474"/>
      <c r="B35" s="475"/>
      <c r="C35" s="114">
        <f>+C36-5%</f>
        <v>0.30973009062632151</v>
      </c>
      <c r="D35" s="117">
        <f>(Sensiviteitsanalyse!$C35*variabelen!$E$92)+(Sensiviteitsanalyse!D$32*variabelen!$F$160)</f>
        <v>2.8814799238730985E-2</v>
      </c>
      <c r="E35" s="118">
        <f>(Sensiviteitsanalyse!$C35*variabelen!$E$92)+(Sensiviteitsanalyse!E$32*variabelen!$F$160)</f>
        <v>2.8461436268971498E-2</v>
      </c>
      <c r="F35" s="249">
        <f>(Sensiviteitsanalyse!$C35*variabelen!$E$92)+(Sensiviteitsanalyse!F$32*variabelen!$F$160)</f>
        <v>2.810807329921201E-2</v>
      </c>
      <c r="G35" s="115">
        <f>(Sensiviteitsanalyse!$C35*variabelen!$E$92)+(Sensiviteitsanalyse!G$32*variabelen!$F$160)</f>
        <v>2.7754710329452523E-2</v>
      </c>
      <c r="H35" s="116">
        <f>(Sensiviteitsanalyse!$C35*variabelen!$E$92)+(Sensiviteitsanalyse!H$32*variabelen!$F$160)</f>
        <v>2.7401347359693039E-2</v>
      </c>
      <c r="I35" s="118">
        <f>(Sensiviteitsanalyse!$C35*variabelen!$E$92)+(Sensiviteitsanalyse!I$32*variabelen!$F$160)</f>
        <v>2.7047984389933548E-2</v>
      </c>
      <c r="J35" s="119">
        <f>(Sensiviteitsanalyse!$C35*variabelen!$E$92)+(Sensiviteitsanalyse!J$32*variabelen!$F$160)</f>
        <v>2.6694621420174064E-2</v>
      </c>
    </row>
    <row r="36" spans="1:10" x14ac:dyDescent="0.25">
      <c r="A36" s="474"/>
      <c r="B36" s="475"/>
      <c r="C36" s="135">
        <f>+variabelen!F172</f>
        <v>0.3597300906263215</v>
      </c>
      <c r="D36" s="117">
        <f>(Sensiviteitsanalyse!$C36*variabelen!$E$92)+(Sensiviteitsanalyse!D$32*variabelen!$F$160)</f>
        <v>3.2564799238730985E-2</v>
      </c>
      <c r="E36" s="118">
        <f>(Sensiviteitsanalyse!$C36*variabelen!$E$92)+(Sensiviteitsanalyse!E$32*variabelen!$F$160)</f>
        <v>3.2211436268971494E-2</v>
      </c>
      <c r="F36" s="117">
        <f>(Sensiviteitsanalyse!$C36*variabelen!$E$92)+(Sensiviteitsanalyse!F$32*variabelen!$F$160)</f>
        <v>3.185807329921201E-2</v>
      </c>
      <c r="G36" s="123">
        <f>(Sensiviteitsanalyse!$C36*variabelen!$E$92)+(Sensiviteitsanalyse!G$32*variabelen!$F$160)</f>
        <v>3.1504710329452526E-2</v>
      </c>
      <c r="H36" s="119">
        <f>(Sensiviteitsanalyse!$C36*variabelen!$E$92)+(Sensiviteitsanalyse!H$32*variabelen!$F$160)</f>
        <v>3.1151347359693035E-2</v>
      </c>
      <c r="I36" s="118">
        <f>(Sensiviteitsanalyse!$C36*variabelen!$E$92)+(Sensiviteitsanalyse!I$32*variabelen!$F$160)</f>
        <v>3.0797984389933551E-2</v>
      </c>
      <c r="J36" s="119">
        <f>(Sensiviteitsanalyse!$C36*variabelen!$E$92)+(Sensiviteitsanalyse!J$32*variabelen!$F$160)</f>
        <v>3.0444621420174064E-2</v>
      </c>
    </row>
    <row r="37" spans="1:10" x14ac:dyDescent="0.25">
      <c r="A37" s="474"/>
      <c r="B37" s="475"/>
      <c r="C37" s="338">
        <f>+C36+5%</f>
        <v>0.40973009062632149</v>
      </c>
      <c r="D37" s="339">
        <f>(Sensiviteitsanalyse!$C37*variabelen!$E$92)+(Sensiviteitsanalyse!D$32*variabelen!$F$160)</f>
        <v>3.6314799238730981E-2</v>
      </c>
      <c r="E37" s="340">
        <f>(Sensiviteitsanalyse!$C37*variabelen!$E$92)+(Sensiviteitsanalyse!E$32*variabelen!$F$160)</f>
        <v>3.5961436268971497E-2</v>
      </c>
      <c r="F37" s="341">
        <f>(Sensiviteitsanalyse!$C37*variabelen!$E$92)+(Sensiviteitsanalyse!F$32*variabelen!$F$160)</f>
        <v>3.5608073299212013E-2</v>
      </c>
      <c r="G37" s="342">
        <f>(Sensiviteitsanalyse!$C37*variabelen!$E$92)+(Sensiviteitsanalyse!G$32*variabelen!$F$160)</f>
        <v>3.5254710329452522E-2</v>
      </c>
      <c r="H37" s="248">
        <f>(Sensiviteitsanalyse!$C37*variabelen!$E$92)+(Sensiviteitsanalyse!H$32*variabelen!$F$160)</f>
        <v>3.4901347359693038E-2</v>
      </c>
      <c r="I37" s="340">
        <f>(Sensiviteitsanalyse!$C37*variabelen!$E$92)+(Sensiviteitsanalyse!I$32*variabelen!$F$160)</f>
        <v>3.4547984389933548E-2</v>
      </c>
      <c r="J37" s="344">
        <f>(Sensiviteitsanalyse!$C37*variabelen!$E$92)+(Sensiviteitsanalyse!J$32*variabelen!$F$160)</f>
        <v>3.4194621420174064E-2</v>
      </c>
    </row>
    <row r="38" spans="1:10" x14ac:dyDescent="0.25">
      <c r="A38" s="474"/>
      <c r="B38" s="475"/>
      <c r="C38" s="338">
        <f>+C37+5%</f>
        <v>0.45973009062632147</v>
      </c>
      <c r="D38" s="339">
        <f>(Sensiviteitsanalyse!$C38*variabelen!$E$92)+(Sensiviteitsanalyse!D$32*variabelen!$F$160)</f>
        <v>4.0064799238730985E-2</v>
      </c>
      <c r="E38" s="340">
        <f>(Sensiviteitsanalyse!$C38*variabelen!$E$92)+(Sensiviteitsanalyse!E$32*variabelen!$F$160)</f>
        <v>3.9711436268971501E-2</v>
      </c>
      <c r="F38" s="340">
        <f>(Sensiviteitsanalyse!$C38*variabelen!$E$92)+(Sensiviteitsanalyse!F$32*variabelen!$F$160)</f>
        <v>3.9358073299212017E-2</v>
      </c>
      <c r="G38" s="340">
        <f>(Sensiviteitsanalyse!$C38*variabelen!$E$92)+(Sensiviteitsanalyse!G$32*variabelen!$F$160)</f>
        <v>3.9004710329452526E-2</v>
      </c>
      <c r="H38" s="340">
        <f>(Sensiviteitsanalyse!$C38*variabelen!$E$92)+(Sensiviteitsanalyse!H$32*variabelen!$F$160)</f>
        <v>3.8651347359693042E-2</v>
      </c>
      <c r="I38" s="340">
        <f>(Sensiviteitsanalyse!$C38*variabelen!$E$92)+(Sensiviteitsanalyse!I$32*variabelen!$F$160)</f>
        <v>3.8297984389933551E-2</v>
      </c>
      <c r="J38" s="344">
        <f>(Sensiviteitsanalyse!$C38*variabelen!$E$92)+(Sensiviteitsanalyse!J$32*variabelen!$F$160)</f>
        <v>3.7944621420174067E-2</v>
      </c>
    </row>
    <row r="39" spans="1:10" x14ac:dyDescent="0.25">
      <c r="A39" s="476"/>
      <c r="B39" s="477"/>
      <c r="C39" s="338">
        <f>+C38+5%</f>
        <v>0.50973009062632146</v>
      </c>
      <c r="D39" s="341">
        <f>(Sensiviteitsanalyse!$C39*variabelen!$E$92)+(Sensiviteitsanalyse!D$32*variabelen!$F$160)</f>
        <v>4.3814799238730981E-2</v>
      </c>
      <c r="E39" s="342">
        <f>(Sensiviteitsanalyse!$C39*variabelen!$E$92)+(Sensiviteitsanalyse!E$32*variabelen!$F$160)</f>
        <v>4.3461436268971497E-2</v>
      </c>
      <c r="F39" s="342">
        <f>(Sensiviteitsanalyse!$C39*variabelen!$E$92)+(Sensiviteitsanalyse!F$32*variabelen!$F$160)</f>
        <v>4.3108073299212013E-2</v>
      </c>
      <c r="G39" s="342">
        <f>(Sensiviteitsanalyse!$C39*variabelen!$E$92)+(Sensiviteitsanalyse!G$32*variabelen!$F$160)</f>
        <v>4.2754710329452522E-2</v>
      </c>
      <c r="H39" s="342">
        <f>(Sensiviteitsanalyse!$C39*variabelen!$E$92)+(Sensiviteitsanalyse!H$32*variabelen!$F$160)</f>
        <v>4.2401347359693038E-2</v>
      </c>
      <c r="I39" s="342">
        <f>(Sensiviteitsanalyse!$C39*variabelen!$E$92)+(Sensiviteitsanalyse!I$32*variabelen!$F$160)</f>
        <v>4.2047984389933547E-2</v>
      </c>
      <c r="J39" s="343">
        <f>(Sensiviteitsanalyse!$C39*variabelen!$E$92)+(Sensiviteitsanalyse!J$32*variabelen!$F$160)</f>
        <v>4.1694621420174063E-2</v>
      </c>
    </row>
    <row r="49" spans="10:10" x14ac:dyDescent="0.25">
      <c r="J49" s="273">
        <v>14</v>
      </c>
    </row>
  </sheetData>
  <mergeCells count="6">
    <mergeCell ref="A3:G3"/>
    <mergeCell ref="D16:J16"/>
    <mergeCell ref="A18:B24"/>
    <mergeCell ref="D31:J31"/>
    <mergeCell ref="A33:B39"/>
    <mergeCell ref="A5:J10"/>
  </mergeCells>
  <pageMargins left="0.70866141732283472" right="0.70866141732283472" top="0.74803149606299213" bottom="0.74803149606299213" header="0.31496062992125984" footer="0.31496062992125984"/>
  <pageSetup paperSize="9" firstPageNumber="23" fitToHeight="0" orientation="portrait" useFirstPageNumber="1" r:id="rId1"/>
  <headerFooter>
    <oddHeader>&amp;L&amp;G&amp;R&amp;D</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M87"/>
  <sheetViews>
    <sheetView showGridLines="0" topLeftCell="A25" zoomScale="85" zoomScaleNormal="85" workbookViewId="0">
      <selection activeCell="G71" sqref="G71"/>
    </sheetView>
  </sheetViews>
  <sheetFormatPr defaultRowHeight="15" x14ac:dyDescent="0.25"/>
  <cols>
    <col min="2" max="2" width="8.5703125" customWidth="1"/>
    <col min="3" max="3" width="12.5703125" customWidth="1"/>
    <col min="4" max="4" width="16.140625" customWidth="1"/>
    <col min="5" max="5" width="14.140625" customWidth="1"/>
    <col min="6" max="6" width="9.7109375" hidden="1" customWidth="1"/>
    <col min="7" max="7" width="11.28515625" customWidth="1"/>
    <col min="8" max="8" width="10.85546875" bestFit="1" customWidth="1"/>
    <col min="9" max="9" width="11.42578125" bestFit="1" customWidth="1"/>
    <col min="10" max="10" width="10.85546875" bestFit="1" customWidth="1"/>
    <col min="11" max="12" width="11.42578125" bestFit="1" customWidth="1"/>
    <col min="13" max="13" width="10.7109375" bestFit="1" customWidth="1"/>
    <col min="14" max="250" width="8.85546875"/>
    <col min="251" max="251" width="11.5703125" customWidth="1"/>
    <col min="252" max="252" width="17" customWidth="1"/>
    <col min="253" max="253" width="8.85546875"/>
    <col min="254" max="254" width="2.85546875" customWidth="1"/>
    <col min="255" max="255" width="14.140625" customWidth="1"/>
    <col min="256" max="256" width="15.42578125" customWidth="1"/>
    <col min="257" max="257" width="13.5703125" customWidth="1"/>
    <col min="258" max="258" width="13.85546875" customWidth="1"/>
    <col min="259" max="259" width="13.140625" customWidth="1"/>
    <col min="260" max="260" width="14.85546875" bestFit="1" customWidth="1"/>
    <col min="261" max="261" width="2.7109375" customWidth="1"/>
    <col min="262" max="262" width="8.85546875"/>
    <col min="263" max="263" width="10.85546875" customWidth="1"/>
    <col min="264" max="264" width="7.85546875" customWidth="1"/>
    <col min="265" max="265" width="11.28515625" customWidth="1"/>
    <col min="266" max="506" width="8.85546875"/>
    <col min="507" max="507" width="11.5703125" customWidth="1"/>
    <col min="508" max="508" width="17" customWidth="1"/>
    <col min="509" max="509" width="8.85546875"/>
    <col min="510" max="510" width="2.85546875" customWidth="1"/>
    <col min="511" max="511" width="14.140625" customWidth="1"/>
    <col min="512" max="512" width="15.42578125" customWidth="1"/>
    <col min="513" max="513" width="13.5703125" customWidth="1"/>
    <col min="514" max="514" width="13.85546875" customWidth="1"/>
    <col min="515" max="515" width="13.140625" customWidth="1"/>
    <col min="516" max="516" width="14.85546875" bestFit="1" customWidth="1"/>
    <col min="517" max="517" width="2.7109375" customWidth="1"/>
    <col min="518" max="518" width="8.85546875"/>
    <col min="519" max="519" width="10.85546875" customWidth="1"/>
    <col min="520" max="520" width="7.85546875" customWidth="1"/>
    <col min="521" max="521" width="11.28515625" customWidth="1"/>
    <col min="522" max="762" width="8.85546875"/>
    <col min="763" max="763" width="11.5703125" customWidth="1"/>
    <col min="764" max="764" width="17" customWidth="1"/>
    <col min="765" max="765" width="8.85546875"/>
    <col min="766" max="766" width="2.85546875" customWidth="1"/>
    <col min="767" max="767" width="14.140625" customWidth="1"/>
    <col min="768" max="768" width="15.42578125" customWidth="1"/>
    <col min="769" max="769" width="13.5703125" customWidth="1"/>
    <col min="770" max="770" width="13.85546875" customWidth="1"/>
    <col min="771" max="771" width="13.140625" customWidth="1"/>
    <col min="772" max="772" width="14.85546875" bestFit="1" customWidth="1"/>
    <col min="773" max="773" width="2.7109375" customWidth="1"/>
    <col min="774" max="774" width="8.85546875"/>
    <col min="775" max="775" width="10.85546875" customWidth="1"/>
    <col min="776" max="776" width="7.85546875" customWidth="1"/>
    <col min="777" max="777" width="11.28515625" customWidth="1"/>
    <col min="778" max="1018" width="8.85546875"/>
    <col min="1019" max="1019" width="11.5703125" customWidth="1"/>
    <col min="1020" max="1020" width="17" customWidth="1"/>
    <col min="1021" max="1021" width="8.85546875"/>
    <col min="1022" max="1022" width="2.85546875" customWidth="1"/>
    <col min="1023" max="1023" width="14.140625" customWidth="1"/>
    <col min="1024" max="1024" width="15.42578125" customWidth="1"/>
    <col min="1025" max="1025" width="13.5703125" customWidth="1"/>
    <col min="1026" max="1026" width="13.85546875" customWidth="1"/>
    <col min="1027" max="1027" width="13.140625" customWidth="1"/>
    <col min="1028" max="1028" width="14.85546875" bestFit="1" customWidth="1"/>
    <col min="1029" max="1029" width="2.7109375" customWidth="1"/>
    <col min="1030" max="1030" width="8.85546875"/>
    <col min="1031" max="1031" width="10.85546875" customWidth="1"/>
    <col min="1032" max="1032" width="7.85546875" customWidth="1"/>
    <col min="1033" max="1033" width="11.28515625" customWidth="1"/>
    <col min="1034" max="1274" width="8.85546875"/>
    <col min="1275" max="1275" width="11.5703125" customWidth="1"/>
    <col min="1276" max="1276" width="17" customWidth="1"/>
    <col min="1277" max="1277" width="8.85546875"/>
    <col min="1278" max="1278" width="2.85546875" customWidth="1"/>
    <col min="1279" max="1279" width="14.140625" customWidth="1"/>
    <col min="1280" max="1280" width="15.42578125" customWidth="1"/>
    <col min="1281" max="1281" width="13.5703125" customWidth="1"/>
    <col min="1282" max="1282" width="13.85546875" customWidth="1"/>
    <col min="1283" max="1283" width="13.140625" customWidth="1"/>
    <col min="1284" max="1284" width="14.85546875" bestFit="1" customWidth="1"/>
    <col min="1285" max="1285" width="2.7109375" customWidth="1"/>
    <col min="1286" max="1286" width="8.85546875"/>
    <col min="1287" max="1287" width="10.85546875" customWidth="1"/>
    <col min="1288" max="1288" width="7.85546875" customWidth="1"/>
    <col min="1289" max="1289" width="11.28515625" customWidth="1"/>
    <col min="1290" max="1530" width="8.85546875"/>
    <col min="1531" max="1531" width="11.5703125" customWidth="1"/>
    <col min="1532" max="1532" width="17" customWidth="1"/>
    <col min="1533" max="1533" width="8.85546875"/>
    <col min="1534" max="1534" width="2.85546875" customWidth="1"/>
    <col min="1535" max="1535" width="14.140625" customWidth="1"/>
    <col min="1536" max="1536" width="15.42578125" customWidth="1"/>
    <col min="1537" max="1537" width="13.5703125" customWidth="1"/>
    <col min="1538" max="1538" width="13.85546875" customWidth="1"/>
    <col min="1539" max="1539" width="13.140625" customWidth="1"/>
    <col min="1540" max="1540" width="14.85546875" bestFit="1" customWidth="1"/>
    <col min="1541" max="1541" width="2.7109375" customWidth="1"/>
    <col min="1542" max="1542" width="8.85546875"/>
    <col min="1543" max="1543" width="10.85546875" customWidth="1"/>
    <col min="1544" max="1544" width="7.85546875" customWidth="1"/>
    <col min="1545" max="1545" width="11.28515625" customWidth="1"/>
    <col min="1546" max="1786" width="8.85546875"/>
    <col min="1787" max="1787" width="11.5703125" customWidth="1"/>
    <col min="1788" max="1788" width="17" customWidth="1"/>
    <col min="1789" max="1789" width="8.85546875"/>
    <col min="1790" max="1790" width="2.85546875" customWidth="1"/>
    <col min="1791" max="1791" width="14.140625" customWidth="1"/>
    <col min="1792" max="1792" width="15.42578125" customWidth="1"/>
    <col min="1793" max="1793" width="13.5703125" customWidth="1"/>
    <col min="1794" max="1794" width="13.85546875" customWidth="1"/>
    <col min="1795" max="1795" width="13.140625" customWidth="1"/>
    <col min="1796" max="1796" width="14.85546875" bestFit="1" customWidth="1"/>
    <col min="1797" max="1797" width="2.7109375" customWidth="1"/>
    <col min="1798" max="1798" width="8.85546875"/>
    <col min="1799" max="1799" width="10.85546875" customWidth="1"/>
    <col min="1800" max="1800" width="7.85546875" customWidth="1"/>
    <col min="1801" max="1801" width="11.28515625" customWidth="1"/>
    <col min="1802" max="2042" width="8.85546875"/>
    <col min="2043" max="2043" width="11.5703125" customWidth="1"/>
    <col min="2044" max="2044" width="17" customWidth="1"/>
    <col min="2045" max="2045" width="8.85546875"/>
    <col min="2046" max="2046" width="2.85546875" customWidth="1"/>
    <col min="2047" max="2047" width="14.140625" customWidth="1"/>
    <col min="2048" max="2048" width="15.42578125" customWidth="1"/>
    <col min="2049" max="2049" width="13.5703125" customWidth="1"/>
    <col min="2050" max="2050" width="13.85546875" customWidth="1"/>
    <col min="2051" max="2051" width="13.140625" customWidth="1"/>
    <col min="2052" max="2052" width="14.85546875" bestFit="1" customWidth="1"/>
    <col min="2053" max="2053" width="2.7109375" customWidth="1"/>
    <col min="2054" max="2054" width="8.85546875"/>
    <col min="2055" max="2055" width="10.85546875" customWidth="1"/>
    <col min="2056" max="2056" width="7.85546875" customWidth="1"/>
    <col min="2057" max="2057" width="11.28515625" customWidth="1"/>
    <col min="2058" max="2298" width="8.85546875"/>
    <col min="2299" max="2299" width="11.5703125" customWidth="1"/>
    <col min="2300" max="2300" width="17" customWidth="1"/>
    <col min="2301" max="2301" width="8.85546875"/>
    <col min="2302" max="2302" width="2.85546875" customWidth="1"/>
    <col min="2303" max="2303" width="14.140625" customWidth="1"/>
    <col min="2304" max="2304" width="15.42578125" customWidth="1"/>
    <col min="2305" max="2305" width="13.5703125" customWidth="1"/>
    <col min="2306" max="2306" width="13.85546875" customWidth="1"/>
    <col min="2307" max="2307" width="13.140625" customWidth="1"/>
    <col min="2308" max="2308" width="14.85546875" bestFit="1" customWidth="1"/>
    <col min="2309" max="2309" width="2.7109375" customWidth="1"/>
    <col min="2310" max="2310" width="8.85546875"/>
    <col min="2311" max="2311" width="10.85546875" customWidth="1"/>
    <col min="2312" max="2312" width="7.85546875" customWidth="1"/>
    <col min="2313" max="2313" width="11.28515625" customWidth="1"/>
    <col min="2314" max="2554" width="8.85546875"/>
    <col min="2555" max="2555" width="11.5703125" customWidth="1"/>
    <col min="2556" max="2556" width="17" customWidth="1"/>
    <col min="2557" max="2557" width="8.85546875"/>
    <col min="2558" max="2558" width="2.85546875" customWidth="1"/>
    <col min="2559" max="2559" width="14.140625" customWidth="1"/>
    <col min="2560" max="2560" width="15.42578125" customWidth="1"/>
    <col min="2561" max="2561" width="13.5703125" customWidth="1"/>
    <col min="2562" max="2562" width="13.85546875" customWidth="1"/>
    <col min="2563" max="2563" width="13.140625" customWidth="1"/>
    <col min="2564" max="2564" width="14.85546875" bestFit="1" customWidth="1"/>
    <col min="2565" max="2565" width="2.7109375" customWidth="1"/>
    <col min="2566" max="2566" width="8.85546875"/>
    <col min="2567" max="2567" width="10.85546875" customWidth="1"/>
    <col min="2568" max="2568" width="7.85546875" customWidth="1"/>
    <col min="2569" max="2569" width="11.28515625" customWidth="1"/>
    <col min="2570" max="2810" width="8.85546875"/>
    <col min="2811" max="2811" width="11.5703125" customWidth="1"/>
    <col min="2812" max="2812" width="17" customWidth="1"/>
    <col min="2813" max="2813" width="8.85546875"/>
    <col min="2814" max="2814" width="2.85546875" customWidth="1"/>
    <col min="2815" max="2815" width="14.140625" customWidth="1"/>
    <col min="2816" max="2816" width="15.42578125" customWidth="1"/>
    <col min="2817" max="2817" width="13.5703125" customWidth="1"/>
    <col min="2818" max="2818" width="13.85546875" customWidth="1"/>
    <col min="2819" max="2819" width="13.140625" customWidth="1"/>
    <col min="2820" max="2820" width="14.85546875" bestFit="1" customWidth="1"/>
    <col min="2821" max="2821" width="2.7109375" customWidth="1"/>
    <col min="2822" max="2822" width="8.85546875"/>
    <col min="2823" max="2823" width="10.85546875" customWidth="1"/>
    <col min="2824" max="2824" width="7.85546875" customWidth="1"/>
    <col min="2825" max="2825" width="11.28515625" customWidth="1"/>
    <col min="2826" max="3066" width="8.85546875"/>
    <col min="3067" max="3067" width="11.5703125" customWidth="1"/>
    <col min="3068" max="3068" width="17" customWidth="1"/>
    <col min="3069" max="3069" width="8.85546875"/>
    <col min="3070" max="3070" width="2.85546875" customWidth="1"/>
    <col min="3071" max="3071" width="14.140625" customWidth="1"/>
    <col min="3072" max="3072" width="15.42578125" customWidth="1"/>
    <col min="3073" max="3073" width="13.5703125" customWidth="1"/>
    <col min="3074" max="3074" width="13.85546875" customWidth="1"/>
    <col min="3075" max="3075" width="13.140625" customWidth="1"/>
    <col min="3076" max="3076" width="14.85546875" bestFit="1" customWidth="1"/>
    <col min="3077" max="3077" width="2.7109375" customWidth="1"/>
    <col min="3078" max="3078" width="8.85546875"/>
    <col min="3079" max="3079" width="10.85546875" customWidth="1"/>
    <col min="3080" max="3080" width="7.85546875" customWidth="1"/>
    <col min="3081" max="3081" width="11.28515625" customWidth="1"/>
    <col min="3082" max="3322" width="8.85546875"/>
    <col min="3323" max="3323" width="11.5703125" customWidth="1"/>
    <col min="3324" max="3324" width="17" customWidth="1"/>
    <col min="3325" max="3325" width="8.85546875"/>
    <col min="3326" max="3326" width="2.85546875" customWidth="1"/>
    <col min="3327" max="3327" width="14.140625" customWidth="1"/>
    <col min="3328" max="3328" width="15.42578125" customWidth="1"/>
    <col min="3329" max="3329" width="13.5703125" customWidth="1"/>
    <col min="3330" max="3330" width="13.85546875" customWidth="1"/>
    <col min="3331" max="3331" width="13.140625" customWidth="1"/>
    <col min="3332" max="3332" width="14.85546875" bestFit="1" customWidth="1"/>
    <col min="3333" max="3333" width="2.7109375" customWidth="1"/>
    <col min="3334" max="3334" width="8.85546875"/>
    <col min="3335" max="3335" width="10.85546875" customWidth="1"/>
    <col min="3336" max="3336" width="7.85546875" customWidth="1"/>
    <col min="3337" max="3337" width="11.28515625" customWidth="1"/>
    <col min="3338" max="3578" width="8.85546875"/>
    <col min="3579" max="3579" width="11.5703125" customWidth="1"/>
    <col min="3580" max="3580" width="17" customWidth="1"/>
    <col min="3581" max="3581" width="8.85546875"/>
    <col min="3582" max="3582" width="2.85546875" customWidth="1"/>
    <col min="3583" max="3583" width="14.140625" customWidth="1"/>
    <col min="3584" max="3584" width="15.42578125" customWidth="1"/>
    <col min="3585" max="3585" width="13.5703125" customWidth="1"/>
    <col min="3586" max="3586" width="13.85546875" customWidth="1"/>
    <col min="3587" max="3587" width="13.140625" customWidth="1"/>
    <col min="3588" max="3588" width="14.85546875" bestFit="1" customWidth="1"/>
    <col min="3589" max="3589" width="2.7109375" customWidth="1"/>
    <col min="3590" max="3590" width="8.85546875"/>
    <col min="3591" max="3591" width="10.85546875" customWidth="1"/>
    <col min="3592" max="3592" width="7.85546875" customWidth="1"/>
    <col min="3593" max="3593" width="11.28515625" customWidth="1"/>
    <col min="3594" max="3834" width="8.85546875"/>
    <col min="3835" max="3835" width="11.5703125" customWidth="1"/>
    <col min="3836" max="3836" width="17" customWidth="1"/>
    <col min="3837" max="3837" width="8.85546875"/>
    <col min="3838" max="3838" width="2.85546875" customWidth="1"/>
    <col min="3839" max="3839" width="14.140625" customWidth="1"/>
    <col min="3840" max="3840" width="15.42578125" customWidth="1"/>
    <col min="3841" max="3841" width="13.5703125" customWidth="1"/>
    <col min="3842" max="3842" width="13.85546875" customWidth="1"/>
    <col min="3843" max="3843" width="13.140625" customWidth="1"/>
    <col min="3844" max="3844" width="14.85546875" bestFit="1" customWidth="1"/>
    <col min="3845" max="3845" width="2.7109375" customWidth="1"/>
    <col min="3846" max="3846" width="8.85546875"/>
    <col min="3847" max="3847" width="10.85546875" customWidth="1"/>
    <col min="3848" max="3848" width="7.85546875" customWidth="1"/>
    <col min="3849" max="3849" width="11.28515625" customWidth="1"/>
    <col min="3850" max="4090" width="8.85546875"/>
    <col min="4091" max="4091" width="11.5703125" customWidth="1"/>
    <col min="4092" max="4092" width="17" customWidth="1"/>
    <col min="4093" max="4093" width="8.85546875"/>
    <col min="4094" max="4094" width="2.85546875" customWidth="1"/>
    <col min="4095" max="4095" width="14.140625" customWidth="1"/>
    <col min="4096" max="4096" width="15.42578125" customWidth="1"/>
    <col min="4097" max="4097" width="13.5703125" customWidth="1"/>
    <col min="4098" max="4098" width="13.85546875" customWidth="1"/>
    <col min="4099" max="4099" width="13.140625" customWidth="1"/>
    <col min="4100" max="4100" width="14.85546875" bestFit="1" customWidth="1"/>
    <col min="4101" max="4101" width="2.7109375" customWidth="1"/>
    <col min="4102" max="4102" width="8.85546875"/>
    <col min="4103" max="4103" width="10.85546875" customWidth="1"/>
    <col min="4104" max="4104" width="7.85546875" customWidth="1"/>
    <col min="4105" max="4105" width="11.28515625" customWidth="1"/>
    <col min="4106" max="4346" width="8.85546875"/>
    <col min="4347" max="4347" width="11.5703125" customWidth="1"/>
    <col min="4348" max="4348" width="17" customWidth="1"/>
    <col min="4349" max="4349" width="8.85546875"/>
    <col min="4350" max="4350" width="2.85546875" customWidth="1"/>
    <col min="4351" max="4351" width="14.140625" customWidth="1"/>
    <col min="4352" max="4352" width="15.42578125" customWidth="1"/>
    <col min="4353" max="4353" width="13.5703125" customWidth="1"/>
    <col min="4354" max="4354" width="13.85546875" customWidth="1"/>
    <col min="4355" max="4355" width="13.140625" customWidth="1"/>
    <col min="4356" max="4356" width="14.85546875" bestFit="1" customWidth="1"/>
    <col min="4357" max="4357" width="2.7109375" customWidth="1"/>
    <col min="4358" max="4358" width="8.85546875"/>
    <col min="4359" max="4359" width="10.85546875" customWidth="1"/>
    <col min="4360" max="4360" width="7.85546875" customWidth="1"/>
    <col min="4361" max="4361" width="11.28515625" customWidth="1"/>
    <col min="4362" max="4602" width="8.85546875"/>
    <col min="4603" max="4603" width="11.5703125" customWidth="1"/>
    <col min="4604" max="4604" width="17" customWidth="1"/>
    <col min="4605" max="4605" width="8.85546875"/>
    <col min="4606" max="4606" width="2.85546875" customWidth="1"/>
    <col min="4607" max="4607" width="14.140625" customWidth="1"/>
    <col min="4608" max="4608" width="15.42578125" customWidth="1"/>
    <col min="4609" max="4609" width="13.5703125" customWidth="1"/>
    <col min="4610" max="4610" width="13.85546875" customWidth="1"/>
    <col min="4611" max="4611" width="13.140625" customWidth="1"/>
    <col min="4612" max="4612" width="14.85546875" bestFit="1" customWidth="1"/>
    <col min="4613" max="4613" width="2.7109375" customWidth="1"/>
    <col min="4614" max="4614" width="8.85546875"/>
    <col min="4615" max="4615" width="10.85546875" customWidth="1"/>
    <col min="4616" max="4616" width="7.85546875" customWidth="1"/>
    <col min="4617" max="4617" width="11.28515625" customWidth="1"/>
    <col min="4618" max="4858" width="8.85546875"/>
    <col min="4859" max="4859" width="11.5703125" customWidth="1"/>
    <col min="4860" max="4860" width="17" customWidth="1"/>
    <col min="4861" max="4861" width="8.85546875"/>
    <col min="4862" max="4862" width="2.85546875" customWidth="1"/>
    <col min="4863" max="4863" width="14.140625" customWidth="1"/>
    <col min="4864" max="4864" width="15.42578125" customWidth="1"/>
    <col min="4865" max="4865" width="13.5703125" customWidth="1"/>
    <col min="4866" max="4866" width="13.85546875" customWidth="1"/>
    <col min="4867" max="4867" width="13.140625" customWidth="1"/>
    <col min="4868" max="4868" width="14.85546875" bestFit="1" customWidth="1"/>
    <col min="4869" max="4869" width="2.7109375" customWidth="1"/>
    <col min="4870" max="4870" width="8.85546875"/>
    <col min="4871" max="4871" width="10.85546875" customWidth="1"/>
    <col min="4872" max="4872" width="7.85546875" customWidth="1"/>
    <col min="4873" max="4873" width="11.28515625" customWidth="1"/>
    <col min="4874" max="5114" width="8.85546875"/>
    <col min="5115" max="5115" width="11.5703125" customWidth="1"/>
    <col min="5116" max="5116" width="17" customWidth="1"/>
    <col min="5117" max="5117" width="8.85546875"/>
    <col min="5118" max="5118" width="2.85546875" customWidth="1"/>
    <col min="5119" max="5119" width="14.140625" customWidth="1"/>
    <col min="5120" max="5120" width="15.42578125" customWidth="1"/>
    <col min="5121" max="5121" width="13.5703125" customWidth="1"/>
    <col min="5122" max="5122" width="13.85546875" customWidth="1"/>
    <col min="5123" max="5123" width="13.140625" customWidth="1"/>
    <col min="5124" max="5124" width="14.85546875" bestFit="1" customWidth="1"/>
    <col min="5125" max="5125" width="2.7109375" customWidth="1"/>
    <col min="5126" max="5126" width="8.85546875"/>
    <col min="5127" max="5127" width="10.85546875" customWidth="1"/>
    <col min="5128" max="5128" width="7.85546875" customWidth="1"/>
    <col min="5129" max="5129" width="11.28515625" customWidth="1"/>
    <col min="5130" max="5370" width="8.85546875"/>
    <col min="5371" max="5371" width="11.5703125" customWidth="1"/>
    <col min="5372" max="5372" width="17" customWidth="1"/>
    <col min="5373" max="5373" width="8.85546875"/>
    <col min="5374" max="5374" width="2.85546875" customWidth="1"/>
    <col min="5375" max="5375" width="14.140625" customWidth="1"/>
    <col min="5376" max="5376" width="15.42578125" customWidth="1"/>
    <col min="5377" max="5377" width="13.5703125" customWidth="1"/>
    <col min="5378" max="5378" width="13.85546875" customWidth="1"/>
    <col min="5379" max="5379" width="13.140625" customWidth="1"/>
    <col min="5380" max="5380" width="14.85546875" bestFit="1" customWidth="1"/>
    <col min="5381" max="5381" width="2.7109375" customWidth="1"/>
    <col min="5382" max="5382" width="8.85546875"/>
    <col min="5383" max="5383" width="10.85546875" customWidth="1"/>
    <col min="5384" max="5384" width="7.85546875" customWidth="1"/>
    <col min="5385" max="5385" width="11.28515625" customWidth="1"/>
    <col min="5386" max="5626" width="8.85546875"/>
    <col min="5627" max="5627" width="11.5703125" customWidth="1"/>
    <col min="5628" max="5628" width="17" customWidth="1"/>
    <col min="5629" max="5629" width="8.85546875"/>
    <col min="5630" max="5630" width="2.85546875" customWidth="1"/>
    <col min="5631" max="5631" width="14.140625" customWidth="1"/>
    <col min="5632" max="5632" width="15.42578125" customWidth="1"/>
    <col min="5633" max="5633" width="13.5703125" customWidth="1"/>
    <col min="5634" max="5634" width="13.85546875" customWidth="1"/>
    <col min="5635" max="5635" width="13.140625" customWidth="1"/>
    <col min="5636" max="5636" width="14.85546875" bestFit="1" customWidth="1"/>
    <col min="5637" max="5637" width="2.7109375" customWidth="1"/>
    <col min="5638" max="5638" width="8.85546875"/>
    <col min="5639" max="5639" width="10.85546875" customWidth="1"/>
    <col min="5640" max="5640" width="7.85546875" customWidth="1"/>
    <col min="5641" max="5641" width="11.28515625" customWidth="1"/>
    <col min="5642" max="5882" width="8.85546875"/>
    <col min="5883" max="5883" width="11.5703125" customWidth="1"/>
    <col min="5884" max="5884" width="17" customWidth="1"/>
    <col min="5885" max="5885" width="8.85546875"/>
    <col min="5886" max="5886" width="2.85546875" customWidth="1"/>
    <col min="5887" max="5887" width="14.140625" customWidth="1"/>
    <col min="5888" max="5888" width="15.42578125" customWidth="1"/>
    <col min="5889" max="5889" width="13.5703125" customWidth="1"/>
    <col min="5890" max="5890" width="13.85546875" customWidth="1"/>
    <col min="5891" max="5891" width="13.140625" customWidth="1"/>
    <col min="5892" max="5892" width="14.85546875" bestFit="1" customWidth="1"/>
    <col min="5893" max="5893" width="2.7109375" customWidth="1"/>
    <col min="5894" max="5894" width="8.85546875"/>
    <col min="5895" max="5895" width="10.85546875" customWidth="1"/>
    <col min="5896" max="5896" width="7.85546875" customWidth="1"/>
    <col min="5897" max="5897" width="11.28515625" customWidth="1"/>
    <col min="5898" max="6138" width="8.85546875"/>
    <col min="6139" max="6139" width="11.5703125" customWidth="1"/>
    <col min="6140" max="6140" width="17" customWidth="1"/>
    <col min="6141" max="6141" width="8.85546875"/>
    <col min="6142" max="6142" width="2.85546875" customWidth="1"/>
    <col min="6143" max="6143" width="14.140625" customWidth="1"/>
    <col min="6144" max="6144" width="15.42578125" customWidth="1"/>
    <col min="6145" max="6145" width="13.5703125" customWidth="1"/>
    <col min="6146" max="6146" width="13.85546875" customWidth="1"/>
    <col min="6147" max="6147" width="13.140625" customWidth="1"/>
    <col min="6148" max="6148" width="14.85546875" bestFit="1" customWidth="1"/>
    <col min="6149" max="6149" width="2.7109375" customWidth="1"/>
    <col min="6150" max="6150" width="8.85546875"/>
    <col min="6151" max="6151" width="10.85546875" customWidth="1"/>
    <col min="6152" max="6152" width="7.85546875" customWidth="1"/>
    <col min="6153" max="6153" width="11.28515625" customWidth="1"/>
    <col min="6154" max="6394" width="8.85546875"/>
    <col min="6395" max="6395" width="11.5703125" customWidth="1"/>
    <col min="6396" max="6396" width="17" customWidth="1"/>
    <col min="6397" max="6397" width="8.85546875"/>
    <col min="6398" max="6398" width="2.85546875" customWidth="1"/>
    <col min="6399" max="6399" width="14.140625" customWidth="1"/>
    <col min="6400" max="6400" width="15.42578125" customWidth="1"/>
    <col min="6401" max="6401" width="13.5703125" customWidth="1"/>
    <col min="6402" max="6402" width="13.85546875" customWidth="1"/>
    <col min="6403" max="6403" width="13.140625" customWidth="1"/>
    <col min="6404" max="6404" width="14.85546875" bestFit="1" customWidth="1"/>
    <col min="6405" max="6405" width="2.7109375" customWidth="1"/>
    <col min="6406" max="6406" width="8.85546875"/>
    <col min="6407" max="6407" width="10.85546875" customWidth="1"/>
    <col min="6408" max="6408" width="7.85546875" customWidth="1"/>
    <col min="6409" max="6409" width="11.28515625" customWidth="1"/>
    <col min="6410" max="6650" width="8.85546875"/>
    <col min="6651" max="6651" width="11.5703125" customWidth="1"/>
    <col min="6652" max="6652" width="17" customWidth="1"/>
    <col min="6653" max="6653" width="8.85546875"/>
    <col min="6654" max="6654" width="2.85546875" customWidth="1"/>
    <col min="6655" max="6655" width="14.140625" customWidth="1"/>
    <col min="6656" max="6656" width="15.42578125" customWidth="1"/>
    <col min="6657" max="6657" width="13.5703125" customWidth="1"/>
    <col min="6658" max="6658" width="13.85546875" customWidth="1"/>
    <col min="6659" max="6659" width="13.140625" customWidth="1"/>
    <col min="6660" max="6660" width="14.85546875" bestFit="1" customWidth="1"/>
    <col min="6661" max="6661" width="2.7109375" customWidth="1"/>
    <col min="6662" max="6662" width="8.85546875"/>
    <col min="6663" max="6663" width="10.85546875" customWidth="1"/>
    <col min="6664" max="6664" width="7.85546875" customWidth="1"/>
    <col min="6665" max="6665" width="11.28515625" customWidth="1"/>
    <col min="6666" max="6906" width="8.85546875"/>
    <col min="6907" max="6907" width="11.5703125" customWidth="1"/>
    <col min="6908" max="6908" width="17" customWidth="1"/>
    <col min="6909" max="6909" width="8.85546875"/>
    <col min="6910" max="6910" width="2.85546875" customWidth="1"/>
    <col min="6911" max="6911" width="14.140625" customWidth="1"/>
    <col min="6912" max="6912" width="15.42578125" customWidth="1"/>
    <col min="6913" max="6913" width="13.5703125" customWidth="1"/>
    <col min="6914" max="6914" width="13.85546875" customWidth="1"/>
    <col min="6915" max="6915" width="13.140625" customWidth="1"/>
    <col min="6916" max="6916" width="14.85546875" bestFit="1" customWidth="1"/>
    <col min="6917" max="6917" width="2.7109375" customWidth="1"/>
    <col min="6918" max="6918" width="8.85546875"/>
    <col min="6919" max="6919" width="10.85546875" customWidth="1"/>
    <col min="6920" max="6920" width="7.85546875" customWidth="1"/>
    <col min="6921" max="6921" width="11.28515625" customWidth="1"/>
    <col min="6922" max="7162" width="8.85546875"/>
    <col min="7163" max="7163" width="11.5703125" customWidth="1"/>
    <col min="7164" max="7164" width="17" customWidth="1"/>
    <col min="7165" max="7165" width="8.85546875"/>
    <col min="7166" max="7166" width="2.85546875" customWidth="1"/>
    <col min="7167" max="7167" width="14.140625" customWidth="1"/>
    <col min="7168" max="7168" width="15.42578125" customWidth="1"/>
    <col min="7169" max="7169" width="13.5703125" customWidth="1"/>
    <col min="7170" max="7170" width="13.85546875" customWidth="1"/>
    <col min="7171" max="7171" width="13.140625" customWidth="1"/>
    <col min="7172" max="7172" width="14.85546875" bestFit="1" customWidth="1"/>
    <col min="7173" max="7173" width="2.7109375" customWidth="1"/>
    <col min="7174" max="7174" width="8.85546875"/>
    <col min="7175" max="7175" width="10.85546875" customWidth="1"/>
    <col min="7176" max="7176" width="7.85546875" customWidth="1"/>
    <col min="7177" max="7177" width="11.28515625" customWidth="1"/>
    <col min="7178" max="7418" width="8.85546875"/>
    <col min="7419" max="7419" width="11.5703125" customWidth="1"/>
    <col min="7420" max="7420" width="17" customWidth="1"/>
    <col min="7421" max="7421" width="8.85546875"/>
    <col min="7422" max="7422" width="2.85546875" customWidth="1"/>
    <col min="7423" max="7423" width="14.140625" customWidth="1"/>
    <col min="7424" max="7424" width="15.42578125" customWidth="1"/>
    <col min="7425" max="7425" width="13.5703125" customWidth="1"/>
    <col min="7426" max="7426" width="13.85546875" customWidth="1"/>
    <col min="7427" max="7427" width="13.140625" customWidth="1"/>
    <col min="7428" max="7428" width="14.85546875" bestFit="1" customWidth="1"/>
    <col min="7429" max="7429" width="2.7109375" customWidth="1"/>
    <col min="7430" max="7430" width="8.85546875"/>
    <col min="7431" max="7431" width="10.85546875" customWidth="1"/>
    <col min="7432" max="7432" width="7.85546875" customWidth="1"/>
    <col min="7433" max="7433" width="11.28515625" customWidth="1"/>
    <col min="7434" max="7674" width="8.85546875"/>
    <col min="7675" max="7675" width="11.5703125" customWidth="1"/>
    <col min="7676" max="7676" width="17" customWidth="1"/>
    <col min="7677" max="7677" width="8.85546875"/>
    <col min="7678" max="7678" width="2.85546875" customWidth="1"/>
    <col min="7679" max="7679" width="14.140625" customWidth="1"/>
    <col min="7680" max="7680" width="15.42578125" customWidth="1"/>
    <col min="7681" max="7681" width="13.5703125" customWidth="1"/>
    <col min="7682" max="7682" width="13.85546875" customWidth="1"/>
    <col min="7683" max="7683" width="13.140625" customWidth="1"/>
    <col min="7684" max="7684" width="14.85546875" bestFit="1" customWidth="1"/>
    <col min="7685" max="7685" width="2.7109375" customWidth="1"/>
    <col min="7686" max="7686" width="8.85546875"/>
    <col min="7687" max="7687" width="10.85546875" customWidth="1"/>
    <col min="7688" max="7688" width="7.85546875" customWidth="1"/>
    <col min="7689" max="7689" width="11.28515625" customWidth="1"/>
    <col min="7690" max="7930" width="8.85546875"/>
    <col min="7931" max="7931" width="11.5703125" customWidth="1"/>
    <col min="7932" max="7932" width="17" customWidth="1"/>
    <col min="7933" max="7933" width="8.85546875"/>
    <col min="7934" max="7934" width="2.85546875" customWidth="1"/>
    <col min="7935" max="7935" width="14.140625" customWidth="1"/>
    <col min="7936" max="7936" width="15.42578125" customWidth="1"/>
    <col min="7937" max="7937" width="13.5703125" customWidth="1"/>
    <col min="7938" max="7938" width="13.85546875" customWidth="1"/>
    <col min="7939" max="7939" width="13.140625" customWidth="1"/>
    <col min="7940" max="7940" width="14.85546875" bestFit="1" customWidth="1"/>
    <col min="7941" max="7941" width="2.7109375" customWidth="1"/>
    <col min="7942" max="7942" width="8.85546875"/>
    <col min="7943" max="7943" width="10.85546875" customWidth="1"/>
    <col min="7944" max="7944" width="7.85546875" customWidth="1"/>
    <col min="7945" max="7945" width="11.28515625" customWidth="1"/>
    <col min="7946" max="8186" width="8.85546875"/>
    <col min="8187" max="8187" width="11.5703125" customWidth="1"/>
    <col min="8188" max="8188" width="17" customWidth="1"/>
    <col min="8189" max="8189" width="8.85546875"/>
    <col min="8190" max="8190" width="2.85546875" customWidth="1"/>
    <col min="8191" max="8191" width="14.140625" customWidth="1"/>
    <col min="8192" max="8192" width="15.42578125" customWidth="1"/>
    <col min="8193" max="8193" width="13.5703125" customWidth="1"/>
    <col min="8194" max="8194" width="13.85546875" customWidth="1"/>
    <col min="8195" max="8195" width="13.140625" customWidth="1"/>
    <col min="8196" max="8196" width="14.85546875" bestFit="1" customWidth="1"/>
    <col min="8197" max="8197" width="2.7109375" customWidth="1"/>
    <col min="8198" max="8198" width="8.85546875"/>
    <col min="8199" max="8199" width="10.85546875" customWidth="1"/>
    <col min="8200" max="8200" width="7.85546875" customWidth="1"/>
    <col min="8201" max="8201" width="11.28515625" customWidth="1"/>
    <col min="8202" max="8442" width="8.85546875"/>
    <col min="8443" max="8443" width="11.5703125" customWidth="1"/>
    <col min="8444" max="8444" width="17" customWidth="1"/>
    <col min="8445" max="8445" width="8.85546875"/>
    <col min="8446" max="8446" width="2.85546875" customWidth="1"/>
    <col min="8447" max="8447" width="14.140625" customWidth="1"/>
    <col min="8448" max="8448" width="15.42578125" customWidth="1"/>
    <col min="8449" max="8449" width="13.5703125" customWidth="1"/>
    <col min="8450" max="8450" width="13.85546875" customWidth="1"/>
    <col min="8451" max="8451" width="13.140625" customWidth="1"/>
    <col min="8452" max="8452" width="14.85546875" bestFit="1" customWidth="1"/>
    <col min="8453" max="8453" width="2.7109375" customWidth="1"/>
    <col min="8454" max="8454" width="8.85546875"/>
    <col min="8455" max="8455" width="10.85546875" customWidth="1"/>
    <col min="8456" max="8456" width="7.85546875" customWidth="1"/>
    <col min="8457" max="8457" width="11.28515625" customWidth="1"/>
    <col min="8458" max="8698" width="8.85546875"/>
    <col min="8699" max="8699" width="11.5703125" customWidth="1"/>
    <col min="8700" max="8700" width="17" customWidth="1"/>
    <col min="8701" max="8701" width="8.85546875"/>
    <col min="8702" max="8702" width="2.85546875" customWidth="1"/>
    <col min="8703" max="8703" width="14.140625" customWidth="1"/>
    <col min="8704" max="8704" width="15.42578125" customWidth="1"/>
    <col min="8705" max="8705" width="13.5703125" customWidth="1"/>
    <col min="8706" max="8706" width="13.85546875" customWidth="1"/>
    <col min="8707" max="8707" width="13.140625" customWidth="1"/>
    <col min="8708" max="8708" width="14.85546875" bestFit="1" customWidth="1"/>
    <col min="8709" max="8709" width="2.7109375" customWidth="1"/>
    <col min="8710" max="8710" width="8.85546875"/>
    <col min="8711" max="8711" width="10.85546875" customWidth="1"/>
    <col min="8712" max="8712" width="7.85546875" customWidth="1"/>
    <col min="8713" max="8713" width="11.28515625" customWidth="1"/>
    <col min="8714" max="8954" width="8.85546875"/>
    <col min="8955" max="8955" width="11.5703125" customWidth="1"/>
    <col min="8956" max="8956" width="17" customWidth="1"/>
    <col min="8957" max="8957" width="8.85546875"/>
    <col min="8958" max="8958" width="2.85546875" customWidth="1"/>
    <col min="8959" max="8959" width="14.140625" customWidth="1"/>
    <col min="8960" max="8960" width="15.42578125" customWidth="1"/>
    <col min="8961" max="8961" width="13.5703125" customWidth="1"/>
    <col min="8962" max="8962" width="13.85546875" customWidth="1"/>
    <col min="8963" max="8963" width="13.140625" customWidth="1"/>
    <col min="8964" max="8964" width="14.85546875" bestFit="1" customWidth="1"/>
    <col min="8965" max="8965" width="2.7109375" customWidth="1"/>
    <col min="8966" max="8966" width="8.85546875"/>
    <col min="8967" max="8967" width="10.85546875" customWidth="1"/>
    <col min="8968" max="8968" width="7.85546875" customWidth="1"/>
    <col min="8969" max="8969" width="11.28515625" customWidth="1"/>
    <col min="8970" max="9210" width="8.85546875"/>
    <col min="9211" max="9211" width="11.5703125" customWidth="1"/>
    <col min="9212" max="9212" width="17" customWidth="1"/>
    <col min="9213" max="9213" width="8.85546875"/>
    <col min="9214" max="9214" width="2.85546875" customWidth="1"/>
    <col min="9215" max="9215" width="14.140625" customWidth="1"/>
    <col min="9216" max="9216" width="15.42578125" customWidth="1"/>
    <col min="9217" max="9217" width="13.5703125" customWidth="1"/>
    <col min="9218" max="9218" width="13.85546875" customWidth="1"/>
    <col min="9219" max="9219" width="13.140625" customWidth="1"/>
    <col min="9220" max="9220" width="14.85546875" bestFit="1" customWidth="1"/>
    <col min="9221" max="9221" width="2.7109375" customWidth="1"/>
    <col min="9222" max="9222" width="8.85546875"/>
    <col min="9223" max="9223" width="10.85546875" customWidth="1"/>
    <col min="9224" max="9224" width="7.85546875" customWidth="1"/>
    <col min="9225" max="9225" width="11.28515625" customWidth="1"/>
    <col min="9226" max="9466" width="8.85546875"/>
    <col min="9467" max="9467" width="11.5703125" customWidth="1"/>
    <col min="9468" max="9468" width="17" customWidth="1"/>
    <col min="9469" max="9469" width="8.85546875"/>
    <col min="9470" max="9470" width="2.85546875" customWidth="1"/>
    <col min="9471" max="9471" width="14.140625" customWidth="1"/>
    <col min="9472" max="9472" width="15.42578125" customWidth="1"/>
    <col min="9473" max="9473" width="13.5703125" customWidth="1"/>
    <col min="9474" max="9474" width="13.85546875" customWidth="1"/>
    <col min="9475" max="9475" width="13.140625" customWidth="1"/>
    <col min="9476" max="9476" width="14.85546875" bestFit="1" customWidth="1"/>
    <col min="9477" max="9477" width="2.7109375" customWidth="1"/>
    <col min="9478" max="9478" width="8.85546875"/>
    <col min="9479" max="9479" width="10.85546875" customWidth="1"/>
    <col min="9480" max="9480" width="7.85546875" customWidth="1"/>
    <col min="9481" max="9481" width="11.28515625" customWidth="1"/>
    <col min="9482" max="9722" width="8.85546875"/>
    <col min="9723" max="9723" width="11.5703125" customWidth="1"/>
    <col min="9724" max="9724" width="17" customWidth="1"/>
    <col min="9725" max="9725" width="8.85546875"/>
    <col min="9726" max="9726" width="2.85546875" customWidth="1"/>
    <col min="9727" max="9727" width="14.140625" customWidth="1"/>
    <col min="9728" max="9728" width="15.42578125" customWidth="1"/>
    <col min="9729" max="9729" width="13.5703125" customWidth="1"/>
    <col min="9730" max="9730" width="13.85546875" customWidth="1"/>
    <col min="9731" max="9731" width="13.140625" customWidth="1"/>
    <col min="9732" max="9732" width="14.85546875" bestFit="1" customWidth="1"/>
    <col min="9733" max="9733" width="2.7109375" customWidth="1"/>
    <col min="9734" max="9734" width="8.85546875"/>
    <col min="9735" max="9735" width="10.85546875" customWidth="1"/>
    <col min="9736" max="9736" width="7.85546875" customWidth="1"/>
    <col min="9737" max="9737" width="11.28515625" customWidth="1"/>
    <col min="9738" max="9978" width="8.85546875"/>
    <col min="9979" max="9979" width="11.5703125" customWidth="1"/>
    <col min="9980" max="9980" width="17" customWidth="1"/>
    <col min="9981" max="9981" width="8.85546875"/>
    <col min="9982" max="9982" width="2.85546875" customWidth="1"/>
    <col min="9983" max="9983" width="14.140625" customWidth="1"/>
    <col min="9984" max="9984" width="15.42578125" customWidth="1"/>
    <col min="9985" max="9985" width="13.5703125" customWidth="1"/>
    <col min="9986" max="9986" width="13.85546875" customWidth="1"/>
    <col min="9987" max="9987" width="13.140625" customWidth="1"/>
    <col min="9988" max="9988" width="14.85546875" bestFit="1" customWidth="1"/>
    <col min="9989" max="9989" width="2.7109375" customWidth="1"/>
    <col min="9990" max="9990" width="8.85546875"/>
    <col min="9991" max="9991" width="10.85546875" customWidth="1"/>
    <col min="9992" max="9992" width="7.85546875" customWidth="1"/>
    <col min="9993" max="9993" width="11.28515625" customWidth="1"/>
    <col min="9994" max="10234" width="8.85546875"/>
    <col min="10235" max="10235" width="11.5703125" customWidth="1"/>
    <col min="10236" max="10236" width="17" customWidth="1"/>
    <col min="10237" max="10237" width="8.85546875"/>
    <col min="10238" max="10238" width="2.85546875" customWidth="1"/>
    <col min="10239" max="10239" width="14.140625" customWidth="1"/>
    <col min="10240" max="10240" width="15.42578125" customWidth="1"/>
    <col min="10241" max="10241" width="13.5703125" customWidth="1"/>
    <col min="10242" max="10242" width="13.85546875" customWidth="1"/>
    <col min="10243" max="10243" width="13.140625" customWidth="1"/>
    <col min="10244" max="10244" width="14.85546875" bestFit="1" customWidth="1"/>
    <col min="10245" max="10245" width="2.7109375" customWidth="1"/>
    <col min="10246" max="10246" width="8.85546875"/>
    <col min="10247" max="10247" width="10.85546875" customWidth="1"/>
    <col min="10248" max="10248" width="7.85546875" customWidth="1"/>
    <col min="10249" max="10249" width="11.28515625" customWidth="1"/>
    <col min="10250" max="10490" width="8.85546875"/>
    <col min="10491" max="10491" width="11.5703125" customWidth="1"/>
    <col min="10492" max="10492" width="17" customWidth="1"/>
    <col min="10493" max="10493" width="8.85546875"/>
    <col min="10494" max="10494" width="2.85546875" customWidth="1"/>
    <col min="10495" max="10495" width="14.140625" customWidth="1"/>
    <col min="10496" max="10496" width="15.42578125" customWidth="1"/>
    <col min="10497" max="10497" width="13.5703125" customWidth="1"/>
    <col min="10498" max="10498" width="13.85546875" customWidth="1"/>
    <col min="10499" max="10499" width="13.140625" customWidth="1"/>
    <col min="10500" max="10500" width="14.85546875" bestFit="1" customWidth="1"/>
    <col min="10501" max="10501" width="2.7109375" customWidth="1"/>
    <col min="10502" max="10502" width="8.85546875"/>
    <col min="10503" max="10503" width="10.85546875" customWidth="1"/>
    <col min="10504" max="10504" width="7.85546875" customWidth="1"/>
    <col min="10505" max="10505" width="11.28515625" customWidth="1"/>
    <col min="10506" max="10746" width="8.85546875"/>
    <col min="10747" max="10747" width="11.5703125" customWidth="1"/>
    <col min="10748" max="10748" width="17" customWidth="1"/>
    <col min="10749" max="10749" width="8.85546875"/>
    <col min="10750" max="10750" width="2.85546875" customWidth="1"/>
    <col min="10751" max="10751" width="14.140625" customWidth="1"/>
    <col min="10752" max="10752" width="15.42578125" customWidth="1"/>
    <col min="10753" max="10753" width="13.5703125" customWidth="1"/>
    <col min="10754" max="10754" width="13.85546875" customWidth="1"/>
    <col min="10755" max="10755" width="13.140625" customWidth="1"/>
    <col min="10756" max="10756" width="14.85546875" bestFit="1" customWidth="1"/>
    <col min="10757" max="10757" width="2.7109375" customWidth="1"/>
    <col min="10758" max="10758" width="8.85546875"/>
    <col min="10759" max="10759" width="10.85546875" customWidth="1"/>
    <col min="10760" max="10760" width="7.85546875" customWidth="1"/>
    <col min="10761" max="10761" width="11.28515625" customWidth="1"/>
    <col min="10762" max="11002" width="8.85546875"/>
    <col min="11003" max="11003" width="11.5703125" customWidth="1"/>
    <col min="11004" max="11004" width="17" customWidth="1"/>
    <col min="11005" max="11005" width="8.85546875"/>
    <col min="11006" max="11006" width="2.85546875" customWidth="1"/>
    <col min="11007" max="11007" width="14.140625" customWidth="1"/>
    <col min="11008" max="11008" width="15.42578125" customWidth="1"/>
    <col min="11009" max="11009" width="13.5703125" customWidth="1"/>
    <col min="11010" max="11010" width="13.85546875" customWidth="1"/>
    <col min="11011" max="11011" width="13.140625" customWidth="1"/>
    <col min="11012" max="11012" width="14.85546875" bestFit="1" customWidth="1"/>
    <col min="11013" max="11013" width="2.7109375" customWidth="1"/>
    <col min="11014" max="11014" width="8.85546875"/>
    <col min="11015" max="11015" width="10.85546875" customWidth="1"/>
    <col min="11016" max="11016" width="7.85546875" customWidth="1"/>
    <col min="11017" max="11017" width="11.28515625" customWidth="1"/>
    <col min="11018" max="11258" width="8.85546875"/>
    <col min="11259" max="11259" width="11.5703125" customWidth="1"/>
    <col min="11260" max="11260" width="17" customWidth="1"/>
    <col min="11261" max="11261" width="8.85546875"/>
    <col min="11262" max="11262" width="2.85546875" customWidth="1"/>
    <col min="11263" max="11263" width="14.140625" customWidth="1"/>
    <col min="11264" max="11264" width="15.42578125" customWidth="1"/>
    <col min="11265" max="11265" width="13.5703125" customWidth="1"/>
    <col min="11266" max="11266" width="13.85546875" customWidth="1"/>
    <col min="11267" max="11267" width="13.140625" customWidth="1"/>
    <col min="11268" max="11268" width="14.85546875" bestFit="1" customWidth="1"/>
    <col min="11269" max="11269" width="2.7109375" customWidth="1"/>
    <col min="11270" max="11270" width="8.85546875"/>
    <col min="11271" max="11271" width="10.85546875" customWidth="1"/>
    <col min="11272" max="11272" width="7.85546875" customWidth="1"/>
    <col min="11273" max="11273" width="11.28515625" customWidth="1"/>
    <col min="11274" max="11514" width="8.85546875"/>
    <col min="11515" max="11515" width="11.5703125" customWidth="1"/>
    <col min="11516" max="11516" width="17" customWidth="1"/>
    <col min="11517" max="11517" width="8.85546875"/>
    <col min="11518" max="11518" width="2.85546875" customWidth="1"/>
    <col min="11519" max="11519" width="14.140625" customWidth="1"/>
    <col min="11520" max="11520" width="15.42578125" customWidth="1"/>
    <col min="11521" max="11521" width="13.5703125" customWidth="1"/>
    <col min="11522" max="11522" width="13.85546875" customWidth="1"/>
    <col min="11523" max="11523" width="13.140625" customWidth="1"/>
    <col min="11524" max="11524" width="14.85546875" bestFit="1" customWidth="1"/>
    <col min="11525" max="11525" width="2.7109375" customWidth="1"/>
    <col min="11526" max="11526" width="8.85546875"/>
    <col min="11527" max="11527" width="10.85546875" customWidth="1"/>
    <col min="11528" max="11528" width="7.85546875" customWidth="1"/>
    <col min="11529" max="11529" width="11.28515625" customWidth="1"/>
    <col min="11530" max="11770" width="8.85546875"/>
    <col min="11771" max="11771" width="11.5703125" customWidth="1"/>
    <col min="11772" max="11772" width="17" customWidth="1"/>
    <col min="11773" max="11773" width="8.85546875"/>
    <col min="11774" max="11774" width="2.85546875" customWidth="1"/>
    <col min="11775" max="11775" width="14.140625" customWidth="1"/>
    <col min="11776" max="11776" width="15.42578125" customWidth="1"/>
    <col min="11777" max="11777" width="13.5703125" customWidth="1"/>
    <col min="11778" max="11778" width="13.85546875" customWidth="1"/>
    <col min="11779" max="11779" width="13.140625" customWidth="1"/>
    <col min="11780" max="11780" width="14.85546875" bestFit="1" customWidth="1"/>
    <col min="11781" max="11781" width="2.7109375" customWidth="1"/>
    <col min="11782" max="11782" width="8.85546875"/>
    <col min="11783" max="11783" width="10.85546875" customWidth="1"/>
    <col min="11784" max="11784" width="7.85546875" customWidth="1"/>
    <col min="11785" max="11785" width="11.28515625" customWidth="1"/>
    <col min="11786" max="12026" width="8.85546875"/>
    <col min="12027" max="12027" width="11.5703125" customWidth="1"/>
    <col min="12028" max="12028" width="17" customWidth="1"/>
    <col min="12029" max="12029" width="8.85546875"/>
    <col min="12030" max="12030" width="2.85546875" customWidth="1"/>
    <col min="12031" max="12031" width="14.140625" customWidth="1"/>
    <col min="12032" max="12032" width="15.42578125" customWidth="1"/>
    <col min="12033" max="12033" width="13.5703125" customWidth="1"/>
    <col min="12034" max="12034" width="13.85546875" customWidth="1"/>
    <col min="12035" max="12035" width="13.140625" customWidth="1"/>
    <col min="12036" max="12036" width="14.85546875" bestFit="1" customWidth="1"/>
    <col min="12037" max="12037" width="2.7109375" customWidth="1"/>
    <col min="12038" max="12038" width="8.85546875"/>
    <col min="12039" max="12039" width="10.85546875" customWidth="1"/>
    <col min="12040" max="12040" width="7.85546875" customWidth="1"/>
    <col min="12041" max="12041" width="11.28515625" customWidth="1"/>
    <col min="12042" max="12282" width="8.85546875"/>
    <col min="12283" max="12283" width="11.5703125" customWidth="1"/>
    <col min="12284" max="12284" width="17" customWidth="1"/>
    <col min="12285" max="12285" width="8.85546875"/>
    <col min="12286" max="12286" width="2.85546875" customWidth="1"/>
    <col min="12287" max="12287" width="14.140625" customWidth="1"/>
    <col min="12288" max="12288" width="15.42578125" customWidth="1"/>
    <col min="12289" max="12289" width="13.5703125" customWidth="1"/>
    <col min="12290" max="12290" width="13.85546875" customWidth="1"/>
    <col min="12291" max="12291" width="13.140625" customWidth="1"/>
    <col min="12292" max="12292" width="14.85546875" bestFit="1" customWidth="1"/>
    <col min="12293" max="12293" width="2.7109375" customWidth="1"/>
    <col min="12294" max="12294" width="8.85546875"/>
    <col min="12295" max="12295" width="10.85546875" customWidth="1"/>
    <col min="12296" max="12296" width="7.85546875" customWidth="1"/>
    <col min="12297" max="12297" width="11.28515625" customWidth="1"/>
    <col min="12298" max="12538" width="8.85546875"/>
    <col min="12539" max="12539" width="11.5703125" customWidth="1"/>
    <col min="12540" max="12540" width="17" customWidth="1"/>
    <col min="12541" max="12541" width="8.85546875"/>
    <col min="12542" max="12542" width="2.85546875" customWidth="1"/>
    <col min="12543" max="12543" width="14.140625" customWidth="1"/>
    <col min="12544" max="12544" width="15.42578125" customWidth="1"/>
    <col min="12545" max="12545" width="13.5703125" customWidth="1"/>
    <col min="12546" max="12546" width="13.85546875" customWidth="1"/>
    <col min="12547" max="12547" width="13.140625" customWidth="1"/>
    <col min="12548" max="12548" width="14.85546875" bestFit="1" customWidth="1"/>
    <col min="12549" max="12549" width="2.7109375" customWidth="1"/>
    <col min="12550" max="12550" width="8.85546875"/>
    <col min="12551" max="12551" width="10.85546875" customWidth="1"/>
    <col min="12552" max="12552" width="7.85546875" customWidth="1"/>
    <col min="12553" max="12553" width="11.28515625" customWidth="1"/>
    <col min="12554" max="12794" width="8.85546875"/>
    <col min="12795" max="12795" width="11.5703125" customWidth="1"/>
    <col min="12796" max="12796" width="17" customWidth="1"/>
    <col min="12797" max="12797" width="8.85546875"/>
    <col min="12798" max="12798" width="2.85546875" customWidth="1"/>
    <col min="12799" max="12799" width="14.140625" customWidth="1"/>
    <col min="12800" max="12800" width="15.42578125" customWidth="1"/>
    <col min="12801" max="12801" width="13.5703125" customWidth="1"/>
    <col min="12802" max="12802" width="13.85546875" customWidth="1"/>
    <col min="12803" max="12803" width="13.140625" customWidth="1"/>
    <col min="12804" max="12804" width="14.85546875" bestFit="1" customWidth="1"/>
    <col min="12805" max="12805" width="2.7109375" customWidth="1"/>
    <col min="12806" max="12806" width="8.85546875"/>
    <col min="12807" max="12807" width="10.85546875" customWidth="1"/>
    <col min="12808" max="12808" width="7.85546875" customWidth="1"/>
    <col min="12809" max="12809" width="11.28515625" customWidth="1"/>
    <col min="12810" max="13050" width="8.85546875"/>
    <col min="13051" max="13051" width="11.5703125" customWidth="1"/>
    <col min="13052" max="13052" width="17" customWidth="1"/>
    <col min="13053" max="13053" width="8.85546875"/>
    <col min="13054" max="13054" width="2.85546875" customWidth="1"/>
    <col min="13055" max="13055" width="14.140625" customWidth="1"/>
    <col min="13056" max="13056" width="15.42578125" customWidth="1"/>
    <col min="13057" max="13057" width="13.5703125" customWidth="1"/>
    <col min="13058" max="13058" width="13.85546875" customWidth="1"/>
    <col min="13059" max="13059" width="13.140625" customWidth="1"/>
    <col min="13060" max="13060" width="14.85546875" bestFit="1" customWidth="1"/>
    <col min="13061" max="13061" width="2.7109375" customWidth="1"/>
    <col min="13062" max="13062" width="8.85546875"/>
    <col min="13063" max="13063" width="10.85546875" customWidth="1"/>
    <col min="13064" max="13064" width="7.85546875" customWidth="1"/>
    <col min="13065" max="13065" width="11.28515625" customWidth="1"/>
    <col min="13066" max="13306" width="8.85546875"/>
    <col min="13307" max="13307" width="11.5703125" customWidth="1"/>
    <col min="13308" max="13308" width="17" customWidth="1"/>
    <col min="13309" max="13309" width="8.85546875"/>
    <col min="13310" max="13310" width="2.85546875" customWidth="1"/>
    <col min="13311" max="13311" width="14.140625" customWidth="1"/>
    <col min="13312" max="13312" width="15.42578125" customWidth="1"/>
    <col min="13313" max="13313" width="13.5703125" customWidth="1"/>
    <col min="13314" max="13314" width="13.85546875" customWidth="1"/>
    <col min="13315" max="13315" width="13.140625" customWidth="1"/>
    <col min="13316" max="13316" width="14.85546875" bestFit="1" customWidth="1"/>
    <col min="13317" max="13317" width="2.7109375" customWidth="1"/>
    <col min="13318" max="13318" width="8.85546875"/>
    <col min="13319" max="13319" width="10.85546875" customWidth="1"/>
    <col min="13320" max="13320" width="7.85546875" customWidth="1"/>
    <col min="13321" max="13321" width="11.28515625" customWidth="1"/>
    <col min="13322" max="13562" width="8.85546875"/>
    <col min="13563" max="13563" width="11.5703125" customWidth="1"/>
    <col min="13564" max="13564" width="17" customWidth="1"/>
    <col min="13565" max="13565" width="8.85546875"/>
    <col min="13566" max="13566" width="2.85546875" customWidth="1"/>
    <col min="13567" max="13567" width="14.140625" customWidth="1"/>
    <col min="13568" max="13568" width="15.42578125" customWidth="1"/>
    <col min="13569" max="13569" width="13.5703125" customWidth="1"/>
    <col min="13570" max="13570" width="13.85546875" customWidth="1"/>
    <col min="13571" max="13571" width="13.140625" customWidth="1"/>
    <col min="13572" max="13572" width="14.85546875" bestFit="1" customWidth="1"/>
    <col min="13573" max="13573" width="2.7109375" customWidth="1"/>
    <col min="13574" max="13574" width="8.85546875"/>
    <col min="13575" max="13575" width="10.85546875" customWidth="1"/>
    <col min="13576" max="13576" width="7.85546875" customWidth="1"/>
    <col min="13577" max="13577" width="11.28515625" customWidth="1"/>
    <col min="13578" max="13818" width="8.85546875"/>
    <col min="13819" max="13819" width="11.5703125" customWidth="1"/>
    <col min="13820" max="13820" width="17" customWidth="1"/>
    <col min="13821" max="13821" width="8.85546875"/>
    <col min="13822" max="13822" width="2.85546875" customWidth="1"/>
    <col min="13823" max="13823" width="14.140625" customWidth="1"/>
    <col min="13824" max="13824" width="15.42578125" customWidth="1"/>
    <col min="13825" max="13825" width="13.5703125" customWidth="1"/>
    <col min="13826" max="13826" width="13.85546875" customWidth="1"/>
    <col min="13827" max="13827" width="13.140625" customWidth="1"/>
    <col min="13828" max="13828" width="14.85546875" bestFit="1" customWidth="1"/>
    <col min="13829" max="13829" width="2.7109375" customWidth="1"/>
    <col min="13830" max="13830" width="8.85546875"/>
    <col min="13831" max="13831" width="10.85546875" customWidth="1"/>
    <col min="13832" max="13832" width="7.85546875" customWidth="1"/>
    <col min="13833" max="13833" width="11.28515625" customWidth="1"/>
    <col min="13834" max="14074" width="8.85546875"/>
    <col min="14075" max="14075" width="11.5703125" customWidth="1"/>
    <col min="14076" max="14076" width="17" customWidth="1"/>
    <col min="14077" max="14077" width="8.85546875"/>
    <col min="14078" max="14078" width="2.85546875" customWidth="1"/>
    <col min="14079" max="14079" width="14.140625" customWidth="1"/>
    <col min="14080" max="14080" width="15.42578125" customWidth="1"/>
    <col min="14081" max="14081" width="13.5703125" customWidth="1"/>
    <col min="14082" max="14082" width="13.85546875" customWidth="1"/>
    <col min="14083" max="14083" width="13.140625" customWidth="1"/>
    <col min="14084" max="14084" width="14.85546875" bestFit="1" customWidth="1"/>
    <col min="14085" max="14085" width="2.7109375" customWidth="1"/>
    <col min="14086" max="14086" width="8.85546875"/>
    <col min="14087" max="14087" width="10.85546875" customWidth="1"/>
    <col min="14088" max="14088" width="7.85546875" customWidth="1"/>
    <col min="14089" max="14089" width="11.28515625" customWidth="1"/>
    <col min="14090" max="14330" width="8.85546875"/>
    <col min="14331" max="14331" width="11.5703125" customWidth="1"/>
    <col min="14332" max="14332" width="17" customWidth="1"/>
    <col min="14333" max="14333" width="8.85546875"/>
    <col min="14334" max="14334" width="2.85546875" customWidth="1"/>
    <col min="14335" max="14335" width="14.140625" customWidth="1"/>
    <col min="14336" max="14336" width="15.42578125" customWidth="1"/>
    <col min="14337" max="14337" width="13.5703125" customWidth="1"/>
    <col min="14338" max="14338" width="13.85546875" customWidth="1"/>
    <col min="14339" max="14339" width="13.140625" customWidth="1"/>
    <col min="14340" max="14340" width="14.85546875" bestFit="1" customWidth="1"/>
    <col min="14341" max="14341" width="2.7109375" customWidth="1"/>
    <col min="14342" max="14342" width="8.85546875"/>
    <col min="14343" max="14343" width="10.85546875" customWidth="1"/>
    <col min="14344" max="14344" width="7.85546875" customWidth="1"/>
    <col min="14345" max="14345" width="11.28515625" customWidth="1"/>
    <col min="14346" max="14586" width="8.85546875"/>
    <col min="14587" max="14587" width="11.5703125" customWidth="1"/>
    <col min="14588" max="14588" width="17" customWidth="1"/>
    <col min="14589" max="14589" width="8.85546875"/>
    <col min="14590" max="14590" width="2.85546875" customWidth="1"/>
    <col min="14591" max="14591" width="14.140625" customWidth="1"/>
    <col min="14592" max="14592" width="15.42578125" customWidth="1"/>
    <col min="14593" max="14593" width="13.5703125" customWidth="1"/>
    <col min="14594" max="14594" width="13.85546875" customWidth="1"/>
    <col min="14595" max="14595" width="13.140625" customWidth="1"/>
    <col min="14596" max="14596" width="14.85546875" bestFit="1" customWidth="1"/>
    <col min="14597" max="14597" width="2.7109375" customWidth="1"/>
    <col min="14598" max="14598" width="8.85546875"/>
    <col min="14599" max="14599" width="10.85546875" customWidth="1"/>
    <col min="14600" max="14600" width="7.85546875" customWidth="1"/>
    <col min="14601" max="14601" width="11.28515625" customWidth="1"/>
    <col min="14602" max="14842" width="8.85546875"/>
    <col min="14843" max="14843" width="11.5703125" customWidth="1"/>
    <col min="14844" max="14844" width="17" customWidth="1"/>
    <col min="14845" max="14845" width="8.85546875"/>
    <col min="14846" max="14846" width="2.85546875" customWidth="1"/>
    <col min="14847" max="14847" width="14.140625" customWidth="1"/>
    <col min="14848" max="14848" width="15.42578125" customWidth="1"/>
    <col min="14849" max="14849" width="13.5703125" customWidth="1"/>
    <col min="14850" max="14850" width="13.85546875" customWidth="1"/>
    <col min="14851" max="14851" width="13.140625" customWidth="1"/>
    <col min="14852" max="14852" width="14.85546875" bestFit="1" customWidth="1"/>
    <col min="14853" max="14853" width="2.7109375" customWidth="1"/>
    <col min="14854" max="14854" width="8.85546875"/>
    <col min="14855" max="14855" width="10.85546875" customWidth="1"/>
    <col min="14856" max="14856" width="7.85546875" customWidth="1"/>
    <col min="14857" max="14857" width="11.28515625" customWidth="1"/>
    <col min="14858" max="15098" width="8.85546875"/>
    <col min="15099" max="15099" width="11.5703125" customWidth="1"/>
    <col min="15100" max="15100" width="17" customWidth="1"/>
    <col min="15101" max="15101" width="8.85546875"/>
    <col min="15102" max="15102" width="2.85546875" customWidth="1"/>
    <col min="15103" max="15103" width="14.140625" customWidth="1"/>
    <col min="15104" max="15104" width="15.42578125" customWidth="1"/>
    <col min="15105" max="15105" width="13.5703125" customWidth="1"/>
    <col min="15106" max="15106" width="13.85546875" customWidth="1"/>
    <col min="15107" max="15107" width="13.140625" customWidth="1"/>
    <col min="15108" max="15108" width="14.85546875" bestFit="1" customWidth="1"/>
    <col min="15109" max="15109" width="2.7109375" customWidth="1"/>
    <col min="15110" max="15110" width="8.85546875"/>
    <col min="15111" max="15111" width="10.85546875" customWidth="1"/>
    <col min="15112" max="15112" width="7.85546875" customWidth="1"/>
    <col min="15113" max="15113" width="11.28515625" customWidth="1"/>
    <col min="15114" max="15354" width="8.85546875"/>
    <col min="15355" max="15355" width="11.5703125" customWidth="1"/>
    <col min="15356" max="15356" width="17" customWidth="1"/>
    <col min="15357" max="15357" width="8.85546875"/>
    <col min="15358" max="15358" width="2.85546875" customWidth="1"/>
    <col min="15359" max="15359" width="14.140625" customWidth="1"/>
    <col min="15360" max="15360" width="15.42578125" customWidth="1"/>
    <col min="15361" max="15361" width="13.5703125" customWidth="1"/>
    <col min="15362" max="15362" width="13.85546875" customWidth="1"/>
    <col min="15363" max="15363" width="13.140625" customWidth="1"/>
    <col min="15364" max="15364" width="14.85546875" bestFit="1" customWidth="1"/>
    <col min="15365" max="15365" width="2.7109375" customWidth="1"/>
    <col min="15366" max="15366" width="8.85546875"/>
    <col min="15367" max="15367" width="10.85546875" customWidth="1"/>
    <col min="15368" max="15368" width="7.85546875" customWidth="1"/>
    <col min="15369" max="15369" width="11.28515625" customWidth="1"/>
    <col min="15370" max="15610" width="8.85546875"/>
    <col min="15611" max="15611" width="11.5703125" customWidth="1"/>
    <col min="15612" max="15612" width="17" customWidth="1"/>
    <col min="15613" max="15613" width="8.85546875"/>
    <col min="15614" max="15614" width="2.85546875" customWidth="1"/>
    <col min="15615" max="15615" width="14.140625" customWidth="1"/>
    <col min="15616" max="15616" width="15.42578125" customWidth="1"/>
    <col min="15617" max="15617" width="13.5703125" customWidth="1"/>
    <col min="15618" max="15618" width="13.85546875" customWidth="1"/>
    <col min="15619" max="15619" width="13.140625" customWidth="1"/>
    <col min="15620" max="15620" width="14.85546875" bestFit="1" customWidth="1"/>
    <col min="15621" max="15621" width="2.7109375" customWidth="1"/>
    <col min="15622" max="15622" width="8.85546875"/>
    <col min="15623" max="15623" width="10.85546875" customWidth="1"/>
    <col min="15624" max="15624" width="7.85546875" customWidth="1"/>
    <col min="15625" max="15625" width="11.28515625" customWidth="1"/>
    <col min="15626" max="15866" width="8.85546875"/>
    <col min="15867" max="15867" width="11.5703125" customWidth="1"/>
    <col min="15868" max="15868" width="17" customWidth="1"/>
    <col min="15869" max="15869" width="8.85546875"/>
    <col min="15870" max="15870" width="2.85546875" customWidth="1"/>
    <col min="15871" max="15871" width="14.140625" customWidth="1"/>
    <col min="15872" max="15872" width="15.42578125" customWidth="1"/>
    <col min="15873" max="15873" width="13.5703125" customWidth="1"/>
    <col min="15874" max="15874" width="13.85546875" customWidth="1"/>
    <col min="15875" max="15875" width="13.140625" customWidth="1"/>
    <col min="15876" max="15876" width="14.85546875" bestFit="1" customWidth="1"/>
    <col min="15877" max="15877" width="2.7109375" customWidth="1"/>
    <col min="15878" max="15878" width="8.85546875"/>
    <col min="15879" max="15879" width="10.85546875" customWidth="1"/>
    <col min="15880" max="15880" width="7.85546875" customWidth="1"/>
    <col min="15881" max="15881" width="11.28515625" customWidth="1"/>
    <col min="15882" max="16122" width="8.85546875"/>
    <col min="16123" max="16123" width="11.5703125" customWidth="1"/>
    <col min="16124" max="16124" width="17" customWidth="1"/>
    <col min="16125" max="16125" width="8.85546875"/>
    <col min="16126" max="16126" width="2.85546875" customWidth="1"/>
    <col min="16127" max="16127" width="14.140625" customWidth="1"/>
    <col min="16128" max="16128" width="15.42578125" customWidth="1"/>
    <col min="16129" max="16129" width="13.5703125" customWidth="1"/>
    <col min="16130" max="16130" width="13.85546875" customWidth="1"/>
    <col min="16131" max="16131" width="13.140625" customWidth="1"/>
    <col min="16132" max="16132" width="14.85546875" bestFit="1" customWidth="1"/>
    <col min="16133" max="16133" width="2.7109375" customWidth="1"/>
    <col min="16134" max="16134" width="8.85546875"/>
    <col min="16135" max="16135" width="10.85546875" customWidth="1"/>
    <col min="16136" max="16136" width="7.85546875" customWidth="1"/>
    <col min="16137" max="16137" width="11.28515625" customWidth="1"/>
    <col min="16138" max="16384" width="8.85546875"/>
  </cols>
  <sheetData>
    <row r="1" spans="2:12" ht="23.25" x14ac:dyDescent="0.35">
      <c r="B1" s="65" t="s">
        <v>28</v>
      </c>
      <c r="C1" s="67"/>
      <c r="D1" s="69"/>
      <c r="E1" s="60"/>
      <c r="F1" s="60"/>
      <c r="G1" s="60"/>
      <c r="H1" s="60"/>
    </row>
    <row r="2" spans="2:12" ht="15" customHeight="1" x14ac:dyDescent="0.3">
      <c r="C2" s="67"/>
      <c r="D2" s="69"/>
      <c r="E2" s="60"/>
      <c r="F2" s="60"/>
      <c r="G2" s="60"/>
      <c r="H2" s="60"/>
    </row>
    <row r="3" spans="2:12" x14ac:dyDescent="0.25">
      <c r="B3" s="454">
        <f>+waarderingsrapport!B17</f>
        <v>0</v>
      </c>
      <c r="C3" s="455"/>
      <c r="D3" s="455"/>
      <c r="E3" s="60"/>
      <c r="F3" s="60"/>
      <c r="G3" s="60"/>
      <c r="H3" s="60"/>
    </row>
    <row r="4" spans="2:12" x14ac:dyDescent="0.25">
      <c r="B4" s="306" t="s">
        <v>308</v>
      </c>
    </row>
    <row r="5" spans="2:12" x14ac:dyDescent="0.25">
      <c r="B5" s="447" t="s">
        <v>428</v>
      </c>
      <c r="C5" s="447"/>
      <c r="D5" s="447"/>
      <c r="E5" s="447"/>
      <c r="F5" s="447"/>
      <c r="G5" s="447"/>
      <c r="H5" s="447"/>
      <c r="I5" s="447"/>
      <c r="J5" s="447"/>
      <c r="K5" s="447"/>
      <c r="L5" s="447"/>
    </row>
    <row r="6" spans="2:12" x14ac:dyDescent="0.25">
      <c r="B6" s="447"/>
      <c r="C6" s="447"/>
      <c r="D6" s="447"/>
      <c r="E6" s="447"/>
      <c r="F6" s="447"/>
      <c r="G6" s="447"/>
      <c r="H6" s="447"/>
      <c r="I6" s="447"/>
      <c r="J6" s="447"/>
      <c r="K6" s="447"/>
      <c r="L6" s="447"/>
    </row>
    <row r="7" spans="2:12" x14ac:dyDescent="0.25">
      <c r="B7" s="447"/>
      <c r="C7" s="447"/>
      <c r="D7" s="447"/>
      <c r="E7" s="447"/>
      <c r="F7" s="447"/>
      <c r="G7" s="447"/>
      <c r="H7" s="447"/>
      <c r="I7" s="447"/>
      <c r="J7" s="447"/>
      <c r="K7" s="447"/>
      <c r="L7" s="447"/>
    </row>
    <row r="8" spans="2:12" x14ac:dyDescent="0.25">
      <c r="B8" s="447"/>
      <c r="C8" s="447"/>
      <c r="D8" s="447"/>
      <c r="E8" s="447"/>
      <c r="F8" s="447"/>
      <c r="G8" s="447"/>
      <c r="H8" s="447"/>
      <c r="I8" s="447"/>
      <c r="J8" s="447"/>
      <c r="K8" s="447"/>
      <c r="L8" s="447"/>
    </row>
    <row r="9" spans="2:12" x14ac:dyDescent="0.25">
      <c r="B9" s="447"/>
      <c r="C9" s="447"/>
      <c r="D9" s="447"/>
      <c r="E9" s="447"/>
      <c r="F9" s="447"/>
      <c r="G9" s="447"/>
      <c r="H9" s="447"/>
      <c r="I9" s="447"/>
      <c r="J9" s="447"/>
      <c r="K9" s="447"/>
      <c r="L9" s="447"/>
    </row>
    <row r="10" spans="2:12" x14ac:dyDescent="0.25">
      <c r="B10" s="306" t="s">
        <v>309</v>
      </c>
    </row>
    <row r="11" spans="2:12" x14ac:dyDescent="0.25">
      <c r="B11" s="306"/>
    </row>
    <row r="12" spans="2:12" ht="15" customHeight="1" x14ac:dyDescent="0.25">
      <c r="B12" s="478" t="s">
        <v>12</v>
      </c>
      <c r="C12" s="479"/>
      <c r="D12" s="479"/>
      <c r="E12" s="480"/>
      <c r="F12" s="14"/>
      <c r="G12" s="385">
        <f>DCF!G15</f>
        <v>45291</v>
      </c>
      <c r="H12" s="385">
        <f>DCF!H15</f>
        <v>45657</v>
      </c>
      <c r="I12" s="385">
        <f>DCF!I15</f>
        <v>45838</v>
      </c>
      <c r="J12" s="385">
        <f>DCF!J15</f>
        <v>46022</v>
      </c>
      <c r="K12" s="385">
        <f>DCF!K15</f>
        <v>46387</v>
      </c>
      <c r="L12" s="385">
        <f>DCF!L15</f>
        <v>46752</v>
      </c>
    </row>
    <row r="13" spans="2:12" x14ac:dyDescent="0.25">
      <c r="B13" s="12"/>
      <c r="C13" s="13"/>
      <c r="D13" s="13"/>
      <c r="E13" s="13"/>
      <c r="F13" s="187"/>
      <c r="G13" s="195"/>
      <c r="H13" s="195"/>
      <c r="I13" s="201"/>
      <c r="J13" s="189"/>
      <c r="K13" s="190"/>
      <c r="L13" s="191"/>
    </row>
    <row r="14" spans="2:12" ht="17.25" hidden="1" x14ac:dyDescent="0.4">
      <c r="B14" s="108" t="s">
        <v>176</v>
      </c>
      <c r="F14" s="185"/>
      <c r="G14" s="185">
        <f>+'Balans &amp; Res.rek'!G123</f>
        <v>0</v>
      </c>
      <c r="H14" s="185">
        <f>+'Balans &amp; Res.rek'!H123</f>
        <v>120948.95</v>
      </c>
      <c r="I14" s="185">
        <f>+'Balans &amp; Res.rek'!I123</f>
        <v>63871.450000000012</v>
      </c>
      <c r="J14" s="192">
        <f>+Prognose!J122</f>
        <v>99494.611602380959</v>
      </c>
      <c r="K14" s="193">
        <f>+Prognose!K122</f>
        <v>107004.12052307939</v>
      </c>
      <c r="L14" s="194">
        <f>+Prognose!L122</f>
        <v>114968.13661055153</v>
      </c>
    </row>
    <row r="15" spans="2:12" ht="17.25" hidden="1" x14ac:dyDescent="0.4">
      <c r="B15" s="108"/>
      <c r="F15" s="185"/>
      <c r="G15" s="185"/>
      <c r="H15" s="185"/>
      <c r="I15" s="185"/>
      <c r="J15" s="192"/>
      <c r="K15" s="193"/>
      <c r="L15" s="194"/>
    </row>
    <row r="16" spans="2:12" hidden="1" x14ac:dyDescent="0.25">
      <c r="B16" s="323" t="s">
        <v>429</v>
      </c>
      <c r="C16" s="319"/>
      <c r="D16" s="319"/>
      <c r="E16" s="319"/>
      <c r="F16" s="320"/>
      <c r="G16" s="320">
        <v>0</v>
      </c>
      <c r="H16" s="320">
        <v>0</v>
      </c>
      <c r="I16" s="320">
        <v>0</v>
      </c>
      <c r="J16" s="321">
        <v>0</v>
      </c>
      <c r="K16" s="320">
        <v>0</v>
      </c>
      <c r="L16" s="322">
        <v>0</v>
      </c>
    </row>
    <row r="17" spans="2:12" hidden="1" x14ac:dyDescent="0.25">
      <c r="B17" s="108"/>
      <c r="F17" s="282"/>
      <c r="G17" s="282"/>
      <c r="H17" s="282"/>
      <c r="I17" s="282"/>
      <c r="J17" s="324"/>
      <c r="K17" s="265"/>
      <c r="L17" s="325"/>
    </row>
    <row r="18" spans="2:12" x14ac:dyDescent="0.25">
      <c r="B18" s="108" t="s">
        <v>176</v>
      </c>
      <c r="F18" s="185"/>
      <c r="G18" s="185">
        <f t="shared" ref="G18:L18" si="0">+G14+G16</f>
        <v>0</v>
      </c>
      <c r="H18" s="185">
        <f t="shared" si="0"/>
        <v>120948.95</v>
      </c>
      <c r="I18" s="185">
        <f t="shared" si="0"/>
        <v>63871.450000000012</v>
      </c>
      <c r="J18" s="279">
        <f t="shared" si="0"/>
        <v>99494.611602380959</v>
      </c>
      <c r="K18" s="279">
        <f t="shared" si="0"/>
        <v>107004.12052307939</v>
      </c>
      <c r="L18" s="279">
        <f t="shared" si="0"/>
        <v>114968.13661055153</v>
      </c>
    </row>
    <row r="19" spans="2:12" ht="17.25" x14ac:dyDescent="0.4">
      <c r="B19" s="108"/>
      <c r="F19" s="185"/>
      <c r="G19" s="185"/>
      <c r="H19" s="185"/>
      <c r="I19" s="185"/>
      <c r="J19" s="192"/>
      <c r="K19" s="193"/>
      <c r="L19" s="194"/>
    </row>
    <row r="20" spans="2:12" x14ac:dyDescent="0.25">
      <c r="B20" s="141" t="s">
        <v>311</v>
      </c>
      <c r="F20" s="195"/>
      <c r="G20" s="195">
        <v>0</v>
      </c>
      <c r="H20" s="195">
        <v>0</v>
      </c>
      <c r="I20" s="195">
        <v>0</v>
      </c>
      <c r="J20" s="189">
        <f>+Prognose!J107</f>
        <v>630.80539999999996</v>
      </c>
      <c r="K20" s="190">
        <f>+Prognose!K107</f>
        <v>643.42150800000002</v>
      </c>
      <c r="L20" s="191">
        <f>+Prognose!L107</f>
        <v>656.28993816000002</v>
      </c>
    </row>
    <row r="21" spans="2:12" x14ac:dyDescent="0.25">
      <c r="B21" s="141" t="s">
        <v>312</v>
      </c>
      <c r="F21" s="195"/>
      <c r="G21" s="195">
        <f>+'Balans &amp; Res.rek'!G109</f>
        <v>0</v>
      </c>
      <c r="H21" s="195">
        <f>+'Balans &amp; Res.rek'!H109</f>
        <v>0</v>
      </c>
      <c r="I21" s="195">
        <f>+'Balans &amp; Res.rek'!I109</f>
        <v>0</v>
      </c>
      <c r="J21" s="189">
        <f>+Prognose!J108</f>
        <v>0</v>
      </c>
      <c r="K21" s="190">
        <f>+Prognose!K108</f>
        <v>0</v>
      </c>
      <c r="L21" s="191">
        <f>+Prognose!L108</f>
        <v>0</v>
      </c>
    </row>
    <row r="22" spans="2:12" x14ac:dyDescent="0.25">
      <c r="B22" s="141" t="s">
        <v>313</v>
      </c>
      <c r="F22" s="196"/>
      <c r="G22" s="196">
        <f>+'Balans &amp; Res.rek'!G110</f>
        <v>0</v>
      </c>
      <c r="H22" s="196">
        <f>+'Balans &amp; Res.rek'!H110</f>
        <v>0</v>
      </c>
      <c r="I22" s="196">
        <f>+'Balans &amp; Res.rek'!I110</f>
        <v>0</v>
      </c>
      <c r="J22" s="189">
        <f>+Prognose!J109</f>
        <v>0</v>
      </c>
      <c r="K22" s="190">
        <f>+Prognose!K109</f>
        <v>0</v>
      </c>
      <c r="L22" s="191">
        <f>+Prognose!L109</f>
        <v>0</v>
      </c>
    </row>
    <row r="23" spans="2:12" x14ac:dyDescent="0.25">
      <c r="B23" s="141" t="s">
        <v>314</v>
      </c>
      <c r="F23" s="195"/>
      <c r="G23" s="195">
        <f>+'Balans &amp; Res.rek'!G113</f>
        <v>0</v>
      </c>
      <c r="H23" s="195">
        <f>+'Balans &amp; Res.rek'!H113</f>
        <v>17157.990000000002</v>
      </c>
      <c r="I23" s="195">
        <f>+'Balans &amp; Res.rek'!I113</f>
        <v>50.9</v>
      </c>
      <c r="J23" s="189">
        <f>+Prognose!J112</f>
        <v>8882.9447500000024</v>
      </c>
      <c r="K23" s="190">
        <f>+Prognose!K112</f>
        <v>8757.9447500000024</v>
      </c>
      <c r="L23" s="191">
        <f>+Prognose!L112</f>
        <v>8632.9447500000024</v>
      </c>
    </row>
    <row r="24" spans="2:12" x14ac:dyDescent="0.25">
      <c r="B24" s="141" t="s">
        <v>315</v>
      </c>
      <c r="F24" s="195"/>
      <c r="G24" s="195">
        <v>0</v>
      </c>
      <c r="H24" s="195">
        <v>0</v>
      </c>
      <c r="I24" s="195">
        <v>0</v>
      </c>
      <c r="J24" s="189">
        <f>+Prognose!J113</f>
        <v>0</v>
      </c>
      <c r="K24" s="190">
        <f>+Prognose!K113</f>
        <v>0</v>
      </c>
      <c r="L24" s="191">
        <f>+Prognose!L113</f>
        <v>0</v>
      </c>
    </row>
    <row r="25" spans="2:12" x14ac:dyDescent="0.25">
      <c r="B25" s="141" t="s">
        <v>316</v>
      </c>
      <c r="F25" s="195"/>
      <c r="G25" s="195">
        <f>+'Balans &amp; Res.rek'!G115</f>
        <v>0</v>
      </c>
      <c r="H25" s="195">
        <f>+'Balans &amp; Res.rek'!H115</f>
        <v>0</v>
      </c>
      <c r="I25" s="195">
        <f>+'Balans &amp; Res.rek'!I115</f>
        <v>0</v>
      </c>
      <c r="J25" s="189">
        <f>+Prognose!J114</f>
        <v>0</v>
      </c>
      <c r="K25" s="190">
        <f>+Prognose!K114</f>
        <v>0</v>
      </c>
      <c r="L25" s="191">
        <f>+Prognose!L114</f>
        <v>0</v>
      </c>
    </row>
    <row r="26" spans="2:12" x14ac:dyDescent="0.25">
      <c r="B26" s="163" t="s">
        <v>317</v>
      </c>
      <c r="C26" s="137"/>
      <c r="D26" s="137"/>
      <c r="E26" s="137"/>
      <c r="F26" s="228"/>
      <c r="G26" s="228">
        <f t="shared" ref="G26:L26" si="1">+G18-G21-G22+G23+G25</f>
        <v>0</v>
      </c>
      <c r="H26" s="228">
        <f t="shared" si="1"/>
        <v>138106.94</v>
      </c>
      <c r="I26" s="228">
        <f t="shared" si="1"/>
        <v>63922.350000000013</v>
      </c>
      <c r="J26" s="229">
        <f t="shared" si="1"/>
        <v>108377.55635238095</v>
      </c>
      <c r="K26" s="229">
        <f t="shared" si="1"/>
        <v>115762.06527307938</v>
      </c>
      <c r="L26" s="229">
        <f t="shared" si="1"/>
        <v>123601.08136055153</v>
      </c>
    </row>
    <row r="27" spans="2:12" hidden="1" x14ac:dyDescent="0.25">
      <c r="B27" s="141" t="s">
        <v>318</v>
      </c>
      <c r="F27" s="142"/>
      <c r="G27" s="142">
        <f>+'Balans &amp; Res.rek'!G98</f>
        <v>0</v>
      </c>
      <c r="H27" s="142">
        <f>+'Balans &amp; Res.rek'!H98</f>
        <v>14506.83</v>
      </c>
      <c r="I27" s="142">
        <f>+'Balans &amp; Res.rek'!I98</f>
        <v>23293.84</v>
      </c>
      <c r="J27" s="172">
        <f>+Prognose!J98</f>
        <v>39932.297142857147</v>
      </c>
      <c r="K27" s="173">
        <f>+Prognose!K98</f>
        <v>40930.604571428572</v>
      </c>
      <c r="L27" s="174">
        <f>+Prognose!L98</f>
        <v>41953.869685714286</v>
      </c>
    </row>
    <row r="28" spans="2:12" hidden="1" x14ac:dyDescent="0.25">
      <c r="B28" s="108"/>
      <c r="F28" s="1"/>
      <c r="G28" s="1"/>
      <c r="H28" s="1"/>
      <c r="I28" s="1"/>
      <c r="J28" s="170"/>
      <c r="K28" s="168"/>
      <c r="L28" s="171"/>
    </row>
    <row r="29" spans="2:12" hidden="1" x14ac:dyDescent="0.25">
      <c r="B29" s="141" t="s">
        <v>319</v>
      </c>
      <c r="F29" s="142"/>
      <c r="G29" s="142">
        <f>+'Balans &amp; Res.rek'!G99</f>
        <v>0</v>
      </c>
      <c r="H29" s="142">
        <f>+'Balans &amp; Res.rek'!H99</f>
        <v>0</v>
      </c>
      <c r="I29" s="142">
        <f>+'Balans &amp; Res.rek'!I99</f>
        <v>0</v>
      </c>
      <c r="J29" s="172">
        <f>+Prognose!J99</f>
        <v>0</v>
      </c>
      <c r="K29" s="173">
        <f>+Prognose!K99</f>
        <v>0</v>
      </c>
      <c r="L29" s="174">
        <f>+Prognose!L99</f>
        <v>0</v>
      </c>
    </row>
    <row r="30" spans="2:12" hidden="1" x14ac:dyDescent="0.25">
      <c r="B30" s="108"/>
      <c r="F30" s="1"/>
      <c r="G30" s="1"/>
      <c r="H30" s="1"/>
      <c r="I30" s="1"/>
      <c r="J30" s="170"/>
      <c r="K30" s="168"/>
      <c r="L30" s="171"/>
    </row>
    <row r="31" spans="2:12" hidden="1" x14ac:dyDescent="0.25">
      <c r="B31" s="149" t="s">
        <v>26</v>
      </c>
      <c r="C31" s="13"/>
      <c r="D31" s="13"/>
      <c r="E31" s="13"/>
      <c r="F31" s="151"/>
      <c r="G31" s="151">
        <f t="shared" ref="G31:L31" si="2">+G26+G27</f>
        <v>0</v>
      </c>
      <c r="H31" s="151">
        <f t="shared" si="2"/>
        <v>152613.76999999999</v>
      </c>
      <c r="I31" s="151">
        <f t="shared" si="2"/>
        <v>87216.190000000017</v>
      </c>
      <c r="J31" s="175">
        <f t="shared" si="2"/>
        <v>148309.85349523812</v>
      </c>
      <c r="K31" s="176">
        <f t="shared" si="2"/>
        <v>156692.66984450794</v>
      </c>
      <c r="L31" s="177">
        <f t="shared" si="2"/>
        <v>165554.95104626581</v>
      </c>
    </row>
    <row r="32" spans="2:12" hidden="1" x14ac:dyDescent="0.25">
      <c r="B32" s="108" t="s">
        <v>321</v>
      </c>
      <c r="E32" s="23"/>
      <c r="F32" s="56"/>
      <c r="G32" s="56">
        <v>0.25</v>
      </c>
      <c r="H32" s="56">
        <v>0.25</v>
      </c>
      <c r="I32" s="56">
        <v>0.25</v>
      </c>
      <c r="J32" s="178">
        <v>0.25</v>
      </c>
      <c r="K32" s="179">
        <v>0.25</v>
      </c>
      <c r="L32" s="180">
        <v>0.25</v>
      </c>
    </row>
    <row r="33" spans="2:13" hidden="1" x14ac:dyDescent="0.25">
      <c r="B33" s="150" t="s">
        <v>322</v>
      </c>
      <c r="C33" s="18"/>
      <c r="D33" s="18"/>
      <c r="E33" s="21"/>
      <c r="F33" s="152"/>
      <c r="G33" s="152">
        <f t="shared" ref="G33:L33" si="3">+G31*G32</f>
        <v>0</v>
      </c>
      <c r="H33" s="152">
        <f t="shared" si="3"/>
        <v>38153.442499999997</v>
      </c>
      <c r="I33" s="152">
        <f t="shared" si="3"/>
        <v>21804.047500000004</v>
      </c>
      <c r="J33" s="181">
        <f t="shared" si="3"/>
        <v>37077.463373809529</v>
      </c>
      <c r="K33" s="182">
        <f t="shared" si="3"/>
        <v>39173.167461126985</v>
      </c>
      <c r="L33" s="183">
        <f t="shared" si="3"/>
        <v>41388.737761566452</v>
      </c>
    </row>
    <row r="35" spans="2:13" x14ac:dyDescent="0.25">
      <c r="B35" s="207" t="s">
        <v>430</v>
      </c>
      <c r="C35" s="208"/>
      <c r="D35" s="208"/>
      <c r="E35" s="208"/>
      <c r="F35" s="209"/>
      <c r="G35" s="385">
        <f>G12</f>
        <v>45291</v>
      </c>
      <c r="H35" s="385">
        <f t="shared" ref="H35:L35" si="4">H12</f>
        <v>45657</v>
      </c>
      <c r="I35" s="385">
        <f t="shared" si="4"/>
        <v>45838</v>
      </c>
      <c r="J35" s="385">
        <f t="shared" si="4"/>
        <v>46022</v>
      </c>
      <c r="K35" s="385">
        <f t="shared" si="4"/>
        <v>46387</v>
      </c>
      <c r="L35" s="385">
        <f t="shared" si="4"/>
        <v>46752</v>
      </c>
    </row>
    <row r="36" spans="2:13" x14ac:dyDescent="0.25">
      <c r="B36" s="210" t="s">
        <v>176</v>
      </c>
      <c r="C36" s="211"/>
      <c r="D36" s="211"/>
      <c r="E36" s="211"/>
      <c r="F36" s="212"/>
      <c r="G36" s="212">
        <f>+'Balans &amp; Res.rek'!G123</f>
        <v>0</v>
      </c>
      <c r="H36" s="212">
        <f>+'Balans &amp; Res.rek'!H123</f>
        <v>120948.95</v>
      </c>
      <c r="I36" s="212">
        <f>+'Balans &amp; Res.rek'!I123</f>
        <v>63871.450000000012</v>
      </c>
      <c r="J36" s="223">
        <f>+Prognose!J122</f>
        <v>99494.611602380959</v>
      </c>
      <c r="K36" s="223">
        <f>+Prognose!K122</f>
        <v>107004.12052307939</v>
      </c>
      <c r="L36" s="223">
        <f>+Prognose!L122</f>
        <v>114968.13661055153</v>
      </c>
    </row>
    <row r="37" spans="2:13" x14ac:dyDescent="0.25">
      <c r="B37" s="213" t="s">
        <v>431</v>
      </c>
      <c r="C37" s="214"/>
      <c r="D37" s="214"/>
      <c r="E37" s="214"/>
      <c r="F37" s="215"/>
      <c r="G37" s="215">
        <f>+Prognose!G125</f>
        <v>0</v>
      </c>
      <c r="H37" s="215">
        <f>+Prognose!H125</f>
        <v>0</v>
      </c>
      <c r="I37" s="215">
        <f>+Prognose!I125</f>
        <v>0</v>
      </c>
      <c r="J37" s="224">
        <f>+Prognose!J125</f>
        <v>24873.65290059524</v>
      </c>
      <c r="K37" s="224">
        <f>+Prognose!K125</f>
        <v>26751.030130769846</v>
      </c>
      <c r="L37" s="224">
        <f>+Prognose!L125</f>
        <v>28742.034152637883</v>
      </c>
    </row>
    <row r="38" spans="2:13" x14ac:dyDescent="0.25">
      <c r="B38" s="213" t="s">
        <v>432</v>
      </c>
      <c r="C38" s="214"/>
      <c r="D38" s="214"/>
      <c r="E38" s="214"/>
      <c r="F38" s="216"/>
      <c r="G38" s="216">
        <f>+variabelen!D182</f>
        <v>0</v>
      </c>
      <c r="H38" s="216">
        <f>+G38</f>
        <v>0</v>
      </c>
      <c r="I38" s="216">
        <f>+H38</f>
        <v>0</v>
      </c>
      <c r="J38" s="225">
        <f>+J37/J36</f>
        <v>0.25</v>
      </c>
      <c r="K38" s="225">
        <f>+K37/K36</f>
        <v>0.25</v>
      </c>
      <c r="L38" s="225">
        <f>+L37/L36</f>
        <v>0.25</v>
      </c>
      <c r="M38" s="54"/>
    </row>
    <row r="39" spans="2:13" hidden="1" x14ac:dyDescent="0.25">
      <c r="B39" s="217"/>
      <c r="C39" s="214"/>
      <c r="D39" s="214"/>
      <c r="E39" s="214"/>
      <c r="F39" s="218"/>
      <c r="G39" s="218"/>
      <c r="H39" s="218"/>
      <c r="I39" s="218"/>
      <c r="J39" s="226"/>
      <c r="K39" s="226"/>
      <c r="L39" s="226"/>
    </row>
    <row r="40" spans="2:13" x14ac:dyDescent="0.25">
      <c r="B40" s="213" t="s">
        <v>431</v>
      </c>
      <c r="C40" s="214"/>
      <c r="D40" s="214"/>
      <c r="E40" s="214"/>
      <c r="F40" s="215"/>
      <c r="G40" s="215">
        <f t="shared" ref="G40:L40" si="5">+G37</f>
        <v>0</v>
      </c>
      <c r="H40" s="215">
        <f t="shared" si="5"/>
        <v>0</v>
      </c>
      <c r="I40" s="215">
        <f t="shared" si="5"/>
        <v>0</v>
      </c>
      <c r="J40" s="224">
        <f t="shared" si="5"/>
        <v>24873.65290059524</v>
      </c>
      <c r="K40" s="224">
        <f t="shared" si="5"/>
        <v>26751.030130769846</v>
      </c>
      <c r="L40" s="224">
        <f t="shared" si="5"/>
        <v>28742.034152637883</v>
      </c>
    </row>
    <row r="41" spans="2:13" x14ac:dyDescent="0.25">
      <c r="B41" s="219" t="s">
        <v>433</v>
      </c>
      <c r="C41" s="214"/>
      <c r="D41" s="214"/>
      <c r="E41" s="214"/>
      <c r="F41" s="215"/>
      <c r="G41" s="215">
        <f>+Prognose!G112*EVA!G38</f>
        <v>0</v>
      </c>
      <c r="H41" s="215">
        <f>+Prognose!H112*EVA!H38</f>
        <v>0</v>
      </c>
      <c r="I41" s="215">
        <f>+Prognose!I112*EVA!I38</f>
        <v>0</v>
      </c>
      <c r="J41" s="224">
        <f>+Prognose!J112*EVA!J38</f>
        <v>2220.7361875000006</v>
      </c>
      <c r="K41" s="224">
        <f>+Prognose!K112*EVA!K38</f>
        <v>2189.4861875000006</v>
      </c>
      <c r="L41" s="224">
        <f>+Prognose!L112*EVA!L38</f>
        <v>2158.2361875000006</v>
      </c>
    </row>
    <row r="42" spans="2:13" x14ac:dyDescent="0.25">
      <c r="B42" s="219" t="s">
        <v>434</v>
      </c>
      <c r="C42" s="214"/>
      <c r="D42" s="214"/>
      <c r="E42" s="214"/>
      <c r="F42" s="215"/>
      <c r="G42" s="215">
        <f>-Prognose!G107*EVA!G38</f>
        <v>0</v>
      </c>
      <c r="H42" s="215">
        <f>-Prognose!H107*EVA!H38</f>
        <v>0</v>
      </c>
      <c r="I42" s="215">
        <f>-Prognose!I107*EVA!I38</f>
        <v>0</v>
      </c>
      <c r="J42" s="224">
        <f>-Prognose!J107*EVA!J38</f>
        <v>-157.70134999999999</v>
      </c>
      <c r="K42" s="224">
        <f>-Prognose!K107*EVA!K38</f>
        <v>-160.855377</v>
      </c>
      <c r="L42" s="224">
        <f>-Prognose!L107*EVA!L38</f>
        <v>-164.07248454</v>
      </c>
    </row>
    <row r="43" spans="2:13" x14ac:dyDescent="0.25">
      <c r="B43" s="220" t="s">
        <v>435</v>
      </c>
      <c r="C43" s="214"/>
      <c r="D43" s="214"/>
      <c r="E43" s="214"/>
      <c r="F43" s="215"/>
      <c r="G43" s="215">
        <f>+Prognose!G120*EVA!G38</f>
        <v>0</v>
      </c>
      <c r="H43" s="215">
        <f>+Prognose!H120*EVA!H38</f>
        <v>0</v>
      </c>
      <c r="I43" s="215">
        <f>+Prognose!I120*EVA!I38</f>
        <v>0</v>
      </c>
      <c r="J43" s="224">
        <f>+Prognose!J120*EVA!J38</f>
        <v>0</v>
      </c>
      <c r="K43" s="224">
        <f>+Prognose!K120*EVA!K38</f>
        <v>0</v>
      </c>
      <c r="L43" s="224">
        <f>+Prognose!L120*EVA!L38</f>
        <v>0</v>
      </c>
    </row>
    <row r="44" spans="2:13" x14ac:dyDescent="0.25">
      <c r="B44" s="220" t="s">
        <v>436</v>
      </c>
      <c r="C44" s="214"/>
      <c r="D44" s="214"/>
      <c r="E44" s="214"/>
      <c r="F44" s="215"/>
      <c r="G44" s="215">
        <f>-Prognose!G119*EVA!G38</f>
        <v>0</v>
      </c>
      <c r="H44" s="215">
        <f>-Prognose!H119*EVA!H38</f>
        <v>0</v>
      </c>
      <c r="I44" s="215">
        <f>-Prognose!I119*EVA!I38</f>
        <v>0</v>
      </c>
      <c r="J44" s="224">
        <f>-Prognose!J119*EVA!J38</f>
        <v>0</v>
      </c>
      <c r="K44" s="224">
        <f>-Prognose!K119*EVA!K38</f>
        <v>0</v>
      </c>
      <c r="L44" s="224">
        <f>-Prognose!L119*EVA!L38</f>
        <v>0</v>
      </c>
    </row>
    <row r="45" spans="2:13" hidden="1" x14ac:dyDescent="0.25">
      <c r="B45" s="220" t="s">
        <v>437</v>
      </c>
      <c r="C45" s="214"/>
      <c r="D45" s="214"/>
      <c r="E45" s="214"/>
      <c r="F45" s="218"/>
      <c r="G45" s="218"/>
      <c r="H45" s="218"/>
      <c r="I45" s="218"/>
      <c r="J45" s="226"/>
      <c r="K45" s="226"/>
      <c r="L45" s="226"/>
    </row>
    <row r="46" spans="2:13" x14ac:dyDescent="0.25">
      <c r="B46" s="221" t="s">
        <v>438</v>
      </c>
      <c r="C46" s="211"/>
      <c r="D46" s="211"/>
      <c r="E46" s="211"/>
      <c r="F46" s="222"/>
      <c r="G46" s="222">
        <f t="shared" ref="G46:L46" si="6">+G40+G41-G42+G43-G44+G45</f>
        <v>0</v>
      </c>
      <c r="H46" s="222">
        <f t="shared" si="6"/>
        <v>0</v>
      </c>
      <c r="I46" s="222">
        <f t="shared" si="6"/>
        <v>0</v>
      </c>
      <c r="J46" s="227">
        <f t="shared" si="6"/>
        <v>27252.090438095238</v>
      </c>
      <c r="K46" s="227">
        <f t="shared" si="6"/>
        <v>29101.371695269845</v>
      </c>
      <c r="L46" s="227">
        <f t="shared" si="6"/>
        <v>31064.342824677882</v>
      </c>
    </row>
    <row r="48" spans="2:13" x14ac:dyDescent="0.25">
      <c r="F48" s="14"/>
      <c r="G48" s="385">
        <f>G35</f>
        <v>45291</v>
      </c>
      <c r="H48" s="385">
        <f t="shared" ref="H48:L48" si="7">H35</f>
        <v>45657</v>
      </c>
      <c r="I48" s="385">
        <f t="shared" si="7"/>
        <v>45838</v>
      </c>
      <c r="J48" s="385">
        <f t="shared" si="7"/>
        <v>46022</v>
      </c>
      <c r="K48" s="385">
        <f t="shared" si="7"/>
        <v>46387</v>
      </c>
      <c r="L48" s="385">
        <f t="shared" si="7"/>
        <v>46752</v>
      </c>
    </row>
    <row r="49" spans="2:13" x14ac:dyDescent="0.25">
      <c r="B49" s="163" t="s">
        <v>439</v>
      </c>
      <c r="C49" s="137"/>
      <c r="D49" s="137"/>
      <c r="E49" s="137"/>
      <c r="F49" s="228"/>
      <c r="G49" s="228">
        <f t="shared" ref="G49:L49" si="8">+G26</f>
        <v>0</v>
      </c>
      <c r="H49" s="228">
        <f t="shared" si="8"/>
        <v>138106.94</v>
      </c>
      <c r="I49" s="228">
        <f t="shared" si="8"/>
        <v>63922.350000000013</v>
      </c>
      <c r="J49" s="229">
        <f t="shared" si="8"/>
        <v>108377.55635238095</v>
      </c>
      <c r="K49" s="229">
        <f t="shared" si="8"/>
        <v>115762.06527307938</v>
      </c>
      <c r="L49" s="229">
        <f t="shared" si="8"/>
        <v>123601.08136055153</v>
      </c>
    </row>
    <row r="50" spans="2:13" x14ac:dyDescent="0.25">
      <c r="B50" s="184" t="s">
        <v>440</v>
      </c>
      <c r="F50" s="205"/>
      <c r="G50" s="205">
        <f t="shared" ref="G50:L50" si="9">-G46</f>
        <v>0</v>
      </c>
      <c r="H50" s="205">
        <f t="shared" si="9"/>
        <v>0</v>
      </c>
      <c r="I50" s="205">
        <f t="shared" si="9"/>
        <v>0</v>
      </c>
      <c r="J50" s="253">
        <f t="shared" si="9"/>
        <v>-27252.090438095238</v>
      </c>
      <c r="K50" s="253">
        <f t="shared" si="9"/>
        <v>-29101.371695269845</v>
      </c>
      <c r="L50" s="253">
        <f t="shared" si="9"/>
        <v>-31064.342824677882</v>
      </c>
    </row>
    <row r="51" spans="2:13" x14ac:dyDescent="0.25">
      <c r="B51" s="184" t="s">
        <v>441</v>
      </c>
      <c r="F51" s="205"/>
      <c r="G51" s="205">
        <f t="shared" ref="G51:L51" si="10">SUM(G49:G50)</f>
        <v>0</v>
      </c>
      <c r="H51" s="205">
        <f t="shared" si="10"/>
        <v>138106.94</v>
      </c>
      <c r="I51" s="205">
        <f t="shared" si="10"/>
        <v>63922.350000000013</v>
      </c>
      <c r="J51" s="253">
        <f t="shared" si="10"/>
        <v>81125.465914285713</v>
      </c>
      <c r="K51" s="253">
        <f t="shared" si="10"/>
        <v>86660.693577809536</v>
      </c>
      <c r="L51" s="253">
        <f t="shared" si="10"/>
        <v>92536.73853587365</v>
      </c>
    </row>
    <row r="52" spans="2:13" x14ac:dyDescent="0.25">
      <c r="E52" s="230" t="s">
        <v>442</v>
      </c>
      <c r="F52" s="251"/>
      <c r="G52" s="252"/>
      <c r="H52" s="252" t="e">
        <f>+(H51-G51)/G51</f>
        <v>#DIV/0!</v>
      </c>
      <c r="I52" s="252">
        <f>+(I51-H51)/H51</f>
        <v>-0.5371532379183841</v>
      </c>
      <c r="J52" s="254">
        <f>+(J51-I51)/I51</f>
        <v>0.26912521073279838</v>
      </c>
      <c r="K52" s="254">
        <f>+(K51-J51)/J51</f>
        <v>6.8230457614531892E-2</v>
      </c>
      <c r="L52" s="254">
        <f>+(L51-K51)/K51</f>
        <v>6.7805191898080347E-2</v>
      </c>
    </row>
    <row r="53" spans="2:13" x14ac:dyDescent="0.25">
      <c r="F53" s="22"/>
      <c r="G53" s="22"/>
      <c r="I53" s="22"/>
      <c r="J53" s="168"/>
      <c r="K53" s="168"/>
      <c r="L53" s="168"/>
    </row>
    <row r="54" spans="2:13" x14ac:dyDescent="0.25">
      <c r="B54" s="12" t="s">
        <v>259</v>
      </c>
      <c r="C54" s="13"/>
      <c r="D54" s="13"/>
      <c r="E54" s="13"/>
      <c r="F54" s="187"/>
      <c r="G54" s="187">
        <f>+Prognose!G45+Prognose!G49+Prognose!G51+Prognose!G53+Prognose!G59</f>
        <v>0</v>
      </c>
      <c r="H54" s="187">
        <f>+Prognose!H45+Prognose!H49+Prognose!H51+Prognose!H53+Prognose!H59</f>
        <v>509260.16000000003</v>
      </c>
      <c r="I54" s="187">
        <f>+Prognose!I45+Prognose!I49+Prognose!I51+Prognose!I53+Prognose!I59</f>
        <v>488871.45</v>
      </c>
      <c r="J54" s="263">
        <f>+Prognose!J45+Prognose!J49+Prognose!J51+Prognose!J53+Prognose!J59</f>
        <v>563492.40870178572</v>
      </c>
      <c r="K54" s="263">
        <f>+Prognose!K45+Prognose!K49+Prognose!K51+Prognose!K53+Prognose!K59</f>
        <v>643745.49909409531</v>
      </c>
      <c r="L54" s="263">
        <f>+Prognose!L45+Prognose!L49+Prognose!L51+Prognose!L53+Prognose!L59</f>
        <v>729971.60155200888</v>
      </c>
    </row>
    <row r="55" spans="2:13" x14ac:dyDescent="0.25">
      <c r="B55" s="202" t="s">
        <v>443</v>
      </c>
      <c r="F55" s="195"/>
      <c r="G55" s="195">
        <f>+Prognose!G68+Prognose!G74</f>
        <v>0</v>
      </c>
      <c r="H55" s="195">
        <f>+Prognose!H68+Prognose!H74</f>
        <v>1023131.3099999999</v>
      </c>
      <c r="I55" s="195">
        <f>+Prognose!I68+Prognose!I74</f>
        <v>955951.69</v>
      </c>
      <c r="J55" s="190">
        <f>+Prognose!J68+Prognose!J74</f>
        <v>950731.53380000009</v>
      </c>
      <c r="K55" s="190">
        <f>+Prognose!K68+Prognose!K74</f>
        <v>945406.97447600006</v>
      </c>
      <c r="L55" s="190">
        <f>+Prognose!L68+Prognose!L74</f>
        <v>939975.92396551999</v>
      </c>
    </row>
    <row r="56" spans="2:13" x14ac:dyDescent="0.25">
      <c r="B56" s="202" t="s">
        <v>444</v>
      </c>
      <c r="F56" s="195"/>
      <c r="G56" s="195">
        <f>+Prognose!G36+Prognose!G34</f>
        <v>0</v>
      </c>
      <c r="H56" s="195">
        <f>+Prognose!H36+Prognose!H34</f>
        <v>51044.9</v>
      </c>
      <c r="I56" s="195">
        <f>+Prognose!I36+Prognose!I34</f>
        <v>8844.27</v>
      </c>
      <c r="J56" s="190">
        <f>+Prognose!J36+Prognose!J34</f>
        <v>254774.29059464287</v>
      </c>
      <c r="K56" s="190">
        <f>+Prognose!K36+Prognose!K34</f>
        <v>391638.93030838098</v>
      </c>
      <c r="L56" s="190">
        <f>+Prognose!L36+Prognose!L34</f>
        <v>528120.84720200894</v>
      </c>
    </row>
    <row r="57" spans="2:13" x14ac:dyDescent="0.25">
      <c r="B57" s="17" t="s">
        <v>445</v>
      </c>
      <c r="C57" s="18"/>
      <c r="D57" s="18"/>
      <c r="E57" s="18"/>
      <c r="F57" s="197"/>
      <c r="G57" s="197">
        <f t="shared" ref="G57:L57" si="11">+G54+G55-G56</f>
        <v>0</v>
      </c>
      <c r="H57" s="197">
        <f t="shared" si="11"/>
        <v>1481346.57</v>
      </c>
      <c r="I57" s="197">
        <f t="shared" si="11"/>
        <v>1435978.8699999999</v>
      </c>
      <c r="J57" s="198">
        <f t="shared" si="11"/>
        <v>1259449.6519071427</v>
      </c>
      <c r="K57" s="198">
        <f t="shared" si="11"/>
        <v>1197513.5432617143</v>
      </c>
      <c r="L57" s="198">
        <f t="shared" si="11"/>
        <v>1141826.6783155198</v>
      </c>
    </row>
    <row r="58" spans="2:13" x14ac:dyDescent="0.25">
      <c r="F58" s="22"/>
      <c r="G58" s="22"/>
      <c r="H58" s="22"/>
      <c r="I58" s="22"/>
      <c r="J58" s="168"/>
      <c r="K58" s="168"/>
      <c r="L58" s="168"/>
    </row>
    <row r="59" spans="2:13" x14ac:dyDescent="0.25">
      <c r="B59" s="12" t="s">
        <v>446</v>
      </c>
      <c r="C59" s="13"/>
      <c r="D59" s="13"/>
      <c r="E59" s="13"/>
      <c r="F59" s="260"/>
      <c r="G59" s="260">
        <f>+WACC!G44</f>
        <v>3.1504710329452526E-2</v>
      </c>
      <c r="H59" s="260">
        <f>+G59</f>
        <v>3.1504710329452526E-2</v>
      </c>
      <c r="I59" s="260">
        <f>+H59</f>
        <v>3.1504710329452526E-2</v>
      </c>
      <c r="J59" s="261">
        <f>+I59</f>
        <v>3.1504710329452526E-2</v>
      </c>
      <c r="K59" s="261">
        <f>+J59</f>
        <v>3.1504710329452526E-2</v>
      </c>
      <c r="L59" s="261">
        <f>+K59</f>
        <v>3.1504710329452526E-2</v>
      </c>
    </row>
    <row r="60" spans="2:13" x14ac:dyDescent="0.25">
      <c r="B60" s="10" t="s">
        <v>447</v>
      </c>
      <c r="F60" s="139"/>
      <c r="G60" s="139" t="e">
        <f t="shared" ref="G60:L60" si="12">+G51/G57</f>
        <v>#DIV/0!</v>
      </c>
      <c r="H60" s="139">
        <f t="shared" si="12"/>
        <v>9.3230674574687811E-2</v>
      </c>
      <c r="I60" s="139">
        <f t="shared" si="12"/>
        <v>4.4514826321922142E-2</v>
      </c>
      <c r="J60" s="255">
        <f t="shared" si="12"/>
        <v>6.4413425174591227E-2</v>
      </c>
      <c r="K60" s="255">
        <f t="shared" si="12"/>
        <v>7.2367192893508681E-2</v>
      </c>
      <c r="L60" s="255">
        <f t="shared" si="12"/>
        <v>8.1042718911059686E-2</v>
      </c>
    </row>
    <row r="61" spans="2:13" x14ac:dyDescent="0.25">
      <c r="B61" s="17" t="s">
        <v>448</v>
      </c>
      <c r="C61" s="18"/>
      <c r="D61" s="18"/>
      <c r="E61" s="262"/>
      <c r="F61" s="197"/>
      <c r="G61" s="197" t="e">
        <f t="shared" ref="G61:L61" si="13">+(+G60-G59)*G57</f>
        <v>#DIV/0!</v>
      </c>
      <c r="H61" s="197">
        <f t="shared" si="13"/>
        <v>91437.545414621927</v>
      </c>
      <c r="I61" s="197">
        <f t="shared" si="13"/>
        <v>18682.251661435446</v>
      </c>
      <c r="J61" s="198">
        <f t="shared" si="13"/>
        <v>41446.869456421358</v>
      </c>
      <c r="K61" s="198">
        <f t="shared" si="13"/>
        <v>48933.376281752906</v>
      </c>
      <c r="L61" s="198">
        <f t="shared" si="13"/>
        <v>56563.819789102221</v>
      </c>
      <c r="M61" s="257">
        <f>+L61*(1.01/0.0447)</f>
        <v>1278063.9370692</v>
      </c>
    </row>
    <row r="62" spans="2:13" x14ac:dyDescent="0.25">
      <c r="E62" s="230" t="s">
        <v>442</v>
      </c>
      <c r="F62" s="251"/>
      <c r="G62" s="252"/>
      <c r="H62" s="252" t="e">
        <f>+(H61-G61)/G61</f>
        <v>#DIV/0!</v>
      </c>
      <c r="I62" s="252">
        <f>+(I61-H61)/H61</f>
        <v>-0.79568292678110386</v>
      </c>
      <c r="J62" s="254">
        <f>+(J61-I61)/I61</f>
        <v>1.2185157446507064</v>
      </c>
      <c r="K62" s="254">
        <f>+(K61-J61)/J61</f>
        <v>0.18062900584573979</v>
      </c>
      <c r="L62" s="254">
        <f>+(L61-K61)/K61</f>
        <v>0.15593535715610701</v>
      </c>
      <c r="M62" s="165"/>
    </row>
    <row r="63" spans="2:13" x14ac:dyDescent="0.25">
      <c r="B63" s="43" t="s">
        <v>449</v>
      </c>
      <c r="C63" s="32"/>
      <c r="D63" s="32"/>
      <c r="E63" s="256"/>
      <c r="F63" s="257"/>
      <c r="G63" s="257"/>
      <c r="H63" s="257"/>
      <c r="I63" s="257">
        <f>+I61/(1+WACC!G44)</f>
        <v>18111.649393698375</v>
      </c>
      <c r="J63" s="258">
        <f>+J61/(1+WACC!G44)</f>
        <v>40180.979341513266</v>
      </c>
      <c r="K63" s="258">
        <f>+K61/(1+WACC!G44)</f>
        <v>47438.829693879015</v>
      </c>
      <c r="L63" s="258">
        <f>+L61/(1+WACC!G44)</f>
        <v>54836.220545261771</v>
      </c>
      <c r="M63" s="259">
        <f>M61*(1/((1.0447)^3))</f>
        <v>1120928.2034101465</v>
      </c>
    </row>
    <row r="64" spans="2:13" x14ac:dyDescent="0.25">
      <c r="M64" s="165"/>
    </row>
    <row r="65" spans="2:12" x14ac:dyDescent="0.25">
      <c r="B65" t="s">
        <v>450</v>
      </c>
      <c r="K65" s="118">
        <f>WACC!G44</f>
        <v>3.1504710329452526E-2</v>
      </c>
    </row>
    <row r="66" spans="2:12" x14ac:dyDescent="0.25">
      <c r="B66" t="s">
        <v>451</v>
      </c>
      <c r="G66" s="199">
        <f>SUM(J63:L63)</f>
        <v>142456.02958065405</v>
      </c>
      <c r="L66" s="118"/>
    </row>
    <row r="67" spans="2:12" x14ac:dyDescent="0.25">
      <c r="B67" t="s">
        <v>452</v>
      </c>
      <c r="G67" s="199">
        <f>+M63</f>
        <v>1120928.2034101465</v>
      </c>
      <c r="L67" s="237"/>
    </row>
    <row r="68" spans="2:12" x14ac:dyDescent="0.25">
      <c r="B68" t="s">
        <v>445</v>
      </c>
      <c r="G68" s="199">
        <f>+I57</f>
        <v>1435978.8699999999</v>
      </c>
      <c r="K68" s="165"/>
      <c r="L68" s="364"/>
    </row>
    <row r="69" spans="2:12" x14ac:dyDescent="0.25">
      <c r="B69" t="s">
        <v>95</v>
      </c>
      <c r="G69" s="199">
        <f>+Prognose!I36</f>
        <v>8844.27</v>
      </c>
      <c r="K69" s="365"/>
      <c r="L69" s="199"/>
    </row>
    <row r="70" spans="2:12" x14ac:dyDescent="0.25">
      <c r="B70" t="s">
        <v>92</v>
      </c>
      <c r="G70" s="54">
        <f>+Prognose!I34</f>
        <v>0</v>
      </c>
    </row>
    <row r="71" spans="2:12" x14ac:dyDescent="0.25">
      <c r="G71" s="231">
        <f>SUM(G66:G70)</f>
        <v>2708207.3729908005</v>
      </c>
    </row>
    <row r="72" spans="2:12" hidden="1" x14ac:dyDescent="0.25">
      <c r="B72" s="145" t="s">
        <v>453</v>
      </c>
      <c r="G72">
        <f>+DCF!F101</f>
        <v>0</v>
      </c>
    </row>
    <row r="73" spans="2:12" hidden="1" x14ac:dyDescent="0.25"/>
    <row r="74" spans="2:12" hidden="1" x14ac:dyDescent="0.25">
      <c r="B74" t="s">
        <v>454</v>
      </c>
      <c r="G74" s="165" t="e">
        <f>+G71/G72</f>
        <v>#DIV/0!</v>
      </c>
    </row>
    <row r="87" spans="13:13" x14ac:dyDescent="0.25">
      <c r="M87">
        <v>21</v>
      </c>
    </row>
  </sheetData>
  <mergeCells count="3">
    <mergeCell ref="B3:D3"/>
    <mergeCell ref="B12:E12"/>
    <mergeCell ref="B5:L9"/>
  </mergeCell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&amp;R&amp;D</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pageSetUpPr fitToPage="1"/>
  </sheetPr>
  <dimension ref="A1:H49"/>
  <sheetViews>
    <sheetView view="pageLayout" zoomScaleNormal="100" workbookViewId="0">
      <selection activeCell="H19" sqref="H19"/>
    </sheetView>
  </sheetViews>
  <sheetFormatPr defaultRowHeight="15" x14ac:dyDescent="0.25"/>
  <cols>
    <col min="1" max="1" width="8.5703125" customWidth="1"/>
    <col min="2" max="2" width="12.5703125" customWidth="1"/>
    <col min="3" max="3" width="16.140625" customWidth="1"/>
    <col min="4" max="4" width="14.140625" customWidth="1"/>
    <col min="5" max="7" width="9.7109375" bestFit="1" customWidth="1"/>
    <col min="8" max="8" width="8.7109375" bestFit="1" customWidth="1"/>
    <col min="9" max="11" width="9.7109375" bestFit="1" customWidth="1"/>
    <col min="12" max="12" width="8.28515625" bestFit="1" customWidth="1"/>
    <col min="13" max="249" width="8.85546875"/>
    <col min="250" max="250" width="11.5703125" customWidth="1"/>
    <col min="251" max="251" width="17" customWidth="1"/>
    <col min="252" max="252" width="8.85546875"/>
    <col min="253" max="253" width="2.85546875" customWidth="1"/>
    <col min="254" max="254" width="14.140625" customWidth="1"/>
    <col min="255" max="255" width="15.42578125" customWidth="1"/>
    <col min="256" max="256" width="13.5703125" customWidth="1"/>
    <col min="257" max="257" width="13.85546875" customWidth="1"/>
    <col min="258" max="258" width="13.140625" customWidth="1"/>
    <col min="259" max="259" width="14.85546875" bestFit="1" customWidth="1"/>
    <col min="260" max="260" width="2.7109375" customWidth="1"/>
    <col min="261" max="261" width="8.85546875"/>
    <col min="262" max="262" width="10.85546875" customWidth="1"/>
    <col min="263" max="263" width="7.85546875" customWidth="1"/>
    <col min="264" max="264" width="11.28515625" customWidth="1"/>
    <col min="265" max="505" width="8.85546875"/>
    <col min="506" max="506" width="11.5703125" customWidth="1"/>
    <col min="507" max="507" width="17" customWidth="1"/>
    <col min="508" max="508" width="8.85546875"/>
    <col min="509" max="509" width="2.85546875" customWidth="1"/>
    <col min="510" max="510" width="14.140625" customWidth="1"/>
    <col min="511" max="511" width="15.42578125" customWidth="1"/>
    <col min="512" max="512" width="13.5703125" customWidth="1"/>
    <col min="513" max="513" width="13.85546875" customWidth="1"/>
    <col min="514" max="514" width="13.140625" customWidth="1"/>
    <col min="515" max="515" width="14.85546875" bestFit="1" customWidth="1"/>
    <col min="516" max="516" width="2.7109375" customWidth="1"/>
    <col min="517" max="517" width="8.85546875"/>
    <col min="518" max="518" width="10.85546875" customWidth="1"/>
    <col min="519" max="519" width="7.85546875" customWidth="1"/>
    <col min="520" max="520" width="11.28515625" customWidth="1"/>
    <col min="521" max="761" width="8.85546875"/>
    <col min="762" max="762" width="11.5703125" customWidth="1"/>
    <col min="763" max="763" width="17" customWidth="1"/>
    <col min="764" max="764" width="8.85546875"/>
    <col min="765" max="765" width="2.85546875" customWidth="1"/>
    <col min="766" max="766" width="14.140625" customWidth="1"/>
    <col min="767" max="767" width="15.42578125" customWidth="1"/>
    <col min="768" max="768" width="13.5703125" customWidth="1"/>
    <col min="769" max="769" width="13.85546875" customWidth="1"/>
    <col min="770" max="770" width="13.140625" customWidth="1"/>
    <col min="771" max="771" width="14.85546875" bestFit="1" customWidth="1"/>
    <col min="772" max="772" width="2.7109375" customWidth="1"/>
    <col min="773" max="773" width="8.85546875"/>
    <col min="774" max="774" width="10.85546875" customWidth="1"/>
    <col min="775" max="775" width="7.85546875" customWidth="1"/>
    <col min="776" max="776" width="11.28515625" customWidth="1"/>
    <col min="777" max="1017" width="8.85546875"/>
    <col min="1018" max="1018" width="11.5703125" customWidth="1"/>
    <col min="1019" max="1019" width="17" customWidth="1"/>
    <col min="1020" max="1020" width="8.85546875"/>
    <col min="1021" max="1021" width="2.85546875" customWidth="1"/>
    <col min="1022" max="1022" width="14.140625" customWidth="1"/>
    <col min="1023" max="1023" width="15.42578125" customWidth="1"/>
    <col min="1024" max="1024" width="13.5703125" customWidth="1"/>
    <col min="1025" max="1025" width="13.85546875" customWidth="1"/>
    <col min="1026" max="1026" width="13.140625" customWidth="1"/>
    <col min="1027" max="1027" width="14.85546875" bestFit="1" customWidth="1"/>
    <col min="1028" max="1028" width="2.7109375" customWidth="1"/>
    <col min="1029" max="1029" width="8.85546875"/>
    <col min="1030" max="1030" width="10.85546875" customWidth="1"/>
    <col min="1031" max="1031" width="7.85546875" customWidth="1"/>
    <col min="1032" max="1032" width="11.28515625" customWidth="1"/>
    <col min="1033" max="1273" width="8.85546875"/>
    <col min="1274" max="1274" width="11.5703125" customWidth="1"/>
    <col min="1275" max="1275" width="17" customWidth="1"/>
    <col min="1276" max="1276" width="8.85546875"/>
    <col min="1277" max="1277" width="2.85546875" customWidth="1"/>
    <col min="1278" max="1278" width="14.140625" customWidth="1"/>
    <col min="1279" max="1279" width="15.42578125" customWidth="1"/>
    <col min="1280" max="1280" width="13.5703125" customWidth="1"/>
    <col min="1281" max="1281" width="13.85546875" customWidth="1"/>
    <col min="1282" max="1282" width="13.140625" customWidth="1"/>
    <col min="1283" max="1283" width="14.85546875" bestFit="1" customWidth="1"/>
    <col min="1284" max="1284" width="2.7109375" customWidth="1"/>
    <col min="1285" max="1285" width="8.85546875"/>
    <col min="1286" max="1286" width="10.85546875" customWidth="1"/>
    <col min="1287" max="1287" width="7.85546875" customWidth="1"/>
    <col min="1288" max="1288" width="11.28515625" customWidth="1"/>
    <col min="1289" max="1529" width="8.85546875"/>
    <col min="1530" max="1530" width="11.5703125" customWidth="1"/>
    <col min="1531" max="1531" width="17" customWidth="1"/>
    <col min="1532" max="1532" width="8.85546875"/>
    <col min="1533" max="1533" width="2.85546875" customWidth="1"/>
    <col min="1534" max="1534" width="14.140625" customWidth="1"/>
    <col min="1535" max="1535" width="15.42578125" customWidth="1"/>
    <col min="1536" max="1536" width="13.5703125" customWidth="1"/>
    <col min="1537" max="1537" width="13.85546875" customWidth="1"/>
    <col min="1538" max="1538" width="13.140625" customWidth="1"/>
    <col min="1539" max="1539" width="14.85546875" bestFit="1" customWidth="1"/>
    <col min="1540" max="1540" width="2.7109375" customWidth="1"/>
    <col min="1541" max="1541" width="8.85546875"/>
    <col min="1542" max="1542" width="10.85546875" customWidth="1"/>
    <col min="1543" max="1543" width="7.85546875" customWidth="1"/>
    <col min="1544" max="1544" width="11.28515625" customWidth="1"/>
    <col min="1545" max="1785" width="8.85546875"/>
    <col min="1786" max="1786" width="11.5703125" customWidth="1"/>
    <col min="1787" max="1787" width="17" customWidth="1"/>
    <col min="1788" max="1788" width="8.85546875"/>
    <col min="1789" max="1789" width="2.85546875" customWidth="1"/>
    <col min="1790" max="1790" width="14.140625" customWidth="1"/>
    <col min="1791" max="1791" width="15.42578125" customWidth="1"/>
    <col min="1792" max="1792" width="13.5703125" customWidth="1"/>
    <col min="1793" max="1793" width="13.85546875" customWidth="1"/>
    <col min="1794" max="1794" width="13.140625" customWidth="1"/>
    <col min="1795" max="1795" width="14.85546875" bestFit="1" customWidth="1"/>
    <col min="1796" max="1796" width="2.7109375" customWidth="1"/>
    <col min="1797" max="1797" width="8.85546875"/>
    <col min="1798" max="1798" width="10.85546875" customWidth="1"/>
    <col min="1799" max="1799" width="7.85546875" customWidth="1"/>
    <col min="1800" max="1800" width="11.28515625" customWidth="1"/>
    <col min="1801" max="2041" width="8.85546875"/>
    <col min="2042" max="2042" width="11.5703125" customWidth="1"/>
    <col min="2043" max="2043" width="17" customWidth="1"/>
    <col min="2044" max="2044" width="8.85546875"/>
    <col min="2045" max="2045" width="2.85546875" customWidth="1"/>
    <col min="2046" max="2046" width="14.140625" customWidth="1"/>
    <col min="2047" max="2047" width="15.42578125" customWidth="1"/>
    <col min="2048" max="2048" width="13.5703125" customWidth="1"/>
    <col min="2049" max="2049" width="13.85546875" customWidth="1"/>
    <col min="2050" max="2050" width="13.140625" customWidth="1"/>
    <col min="2051" max="2051" width="14.85546875" bestFit="1" customWidth="1"/>
    <col min="2052" max="2052" width="2.7109375" customWidth="1"/>
    <col min="2053" max="2053" width="8.85546875"/>
    <col min="2054" max="2054" width="10.85546875" customWidth="1"/>
    <col min="2055" max="2055" width="7.85546875" customWidth="1"/>
    <col min="2056" max="2056" width="11.28515625" customWidth="1"/>
    <col min="2057" max="2297" width="8.85546875"/>
    <col min="2298" max="2298" width="11.5703125" customWidth="1"/>
    <col min="2299" max="2299" width="17" customWidth="1"/>
    <col min="2300" max="2300" width="8.85546875"/>
    <col min="2301" max="2301" width="2.85546875" customWidth="1"/>
    <col min="2302" max="2302" width="14.140625" customWidth="1"/>
    <col min="2303" max="2303" width="15.42578125" customWidth="1"/>
    <col min="2304" max="2304" width="13.5703125" customWidth="1"/>
    <col min="2305" max="2305" width="13.85546875" customWidth="1"/>
    <col min="2306" max="2306" width="13.140625" customWidth="1"/>
    <col min="2307" max="2307" width="14.85546875" bestFit="1" customWidth="1"/>
    <col min="2308" max="2308" width="2.7109375" customWidth="1"/>
    <col min="2309" max="2309" width="8.85546875"/>
    <col min="2310" max="2310" width="10.85546875" customWidth="1"/>
    <col min="2311" max="2311" width="7.85546875" customWidth="1"/>
    <col min="2312" max="2312" width="11.28515625" customWidth="1"/>
    <col min="2313" max="2553" width="8.85546875"/>
    <col min="2554" max="2554" width="11.5703125" customWidth="1"/>
    <col min="2555" max="2555" width="17" customWidth="1"/>
    <col min="2556" max="2556" width="8.85546875"/>
    <col min="2557" max="2557" width="2.85546875" customWidth="1"/>
    <col min="2558" max="2558" width="14.140625" customWidth="1"/>
    <col min="2559" max="2559" width="15.42578125" customWidth="1"/>
    <col min="2560" max="2560" width="13.5703125" customWidth="1"/>
    <col min="2561" max="2561" width="13.85546875" customWidth="1"/>
    <col min="2562" max="2562" width="13.140625" customWidth="1"/>
    <col min="2563" max="2563" width="14.85546875" bestFit="1" customWidth="1"/>
    <col min="2564" max="2564" width="2.7109375" customWidth="1"/>
    <col min="2565" max="2565" width="8.85546875"/>
    <col min="2566" max="2566" width="10.85546875" customWidth="1"/>
    <col min="2567" max="2567" width="7.85546875" customWidth="1"/>
    <col min="2568" max="2568" width="11.28515625" customWidth="1"/>
    <col min="2569" max="2809" width="8.85546875"/>
    <col min="2810" max="2810" width="11.5703125" customWidth="1"/>
    <col min="2811" max="2811" width="17" customWidth="1"/>
    <col min="2812" max="2812" width="8.85546875"/>
    <col min="2813" max="2813" width="2.85546875" customWidth="1"/>
    <col min="2814" max="2814" width="14.140625" customWidth="1"/>
    <col min="2815" max="2815" width="15.42578125" customWidth="1"/>
    <col min="2816" max="2816" width="13.5703125" customWidth="1"/>
    <col min="2817" max="2817" width="13.85546875" customWidth="1"/>
    <col min="2818" max="2818" width="13.140625" customWidth="1"/>
    <col min="2819" max="2819" width="14.85546875" bestFit="1" customWidth="1"/>
    <col min="2820" max="2820" width="2.7109375" customWidth="1"/>
    <col min="2821" max="2821" width="8.85546875"/>
    <col min="2822" max="2822" width="10.85546875" customWidth="1"/>
    <col min="2823" max="2823" width="7.85546875" customWidth="1"/>
    <col min="2824" max="2824" width="11.28515625" customWidth="1"/>
    <col min="2825" max="3065" width="8.85546875"/>
    <col min="3066" max="3066" width="11.5703125" customWidth="1"/>
    <col min="3067" max="3067" width="17" customWidth="1"/>
    <col min="3068" max="3068" width="8.85546875"/>
    <col min="3069" max="3069" width="2.85546875" customWidth="1"/>
    <col min="3070" max="3070" width="14.140625" customWidth="1"/>
    <col min="3071" max="3071" width="15.42578125" customWidth="1"/>
    <col min="3072" max="3072" width="13.5703125" customWidth="1"/>
    <col min="3073" max="3073" width="13.85546875" customWidth="1"/>
    <col min="3074" max="3074" width="13.140625" customWidth="1"/>
    <col min="3075" max="3075" width="14.85546875" bestFit="1" customWidth="1"/>
    <col min="3076" max="3076" width="2.7109375" customWidth="1"/>
    <col min="3077" max="3077" width="8.85546875"/>
    <col min="3078" max="3078" width="10.85546875" customWidth="1"/>
    <col min="3079" max="3079" width="7.85546875" customWidth="1"/>
    <col min="3080" max="3080" width="11.28515625" customWidth="1"/>
    <col min="3081" max="3321" width="8.85546875"/>
    <col min="3322" max="3322" width="11.5703125" customWidth="1"/>
    <col min="3323" max="3323" width="17" customWidth="1"/>
    <col min="3324" max="3324" width="8.85546875"/>
    <col min="3325" max="3325" width="2.85546875" customWidth="1"/>
    <col min="3326" max="3326" width="14.140625" customWidth="1"/>
    <col min="3327" max="3327" width="15.42578125" customWidth="1"/>
    <col min="3328" max="3328" width="13.5703125" customWidth="1"/>
    <col min="3329" max="3329" width="13.85546875" customWidth="1"/>
    <col min="3330" max="3330" width="13.140625" customWidth="1"/>
    <col min="3331" max="3331" width="14.85546875" bestFit="1" customWidth="1"/>
    <col min="3332" max="3332" width="2.7109375" customWidth="1"/>
    <col min="3333" max="3333" width="8.85546875"/>
    <col min="3334" max="3334" width="10.85546875" customWidth="1"/>
    <col min="3335" max="3335" width="7.85546875" customWidth="1"/>
    <col min="3336" max="3336" width="11.28515625" customWidth="1"/>
    <col min="3337" max="3577" width="8.85546875"/>
    <col min="3578" max="3578" width="11.5703125" customWidth="1"/>
    <col min="3579" max="3579" width="17" customWidth="1"/>
    <col min="3580" max="3580" width="8.85546875"/>
    <col min="3581" max="3581" width="2.85546875" customWidth="1"/>
    <col min="3582" max="3582" width="14.140625" customWidth="1"/>
    <col min="3583" max="3583" width="15.42578125" customWidth="1"/>
    <col min="3584" max="3584" width="13.5703125" customWidth="1"/>
    <col min="3585" max="3585" width="13.85546875" customWidth="1"/>
    <col min="3586" max="3586" width="13.140625" customWidth="1"/>
    <col min="3587" max="3587" width="14.85546875" bestFit="1" customWidth="1"/>
    <col min="3588" max="3588" width="2.7109375" customWidth="1"/>
    <col min="3589" max="3589" width="8.85546875"/>
    <col min="3590" max="3590" width="10.85546875" customWidth="1"/>
    <col min="3591" max="3591" width="7.85546875" customWidth="1"/>
    <col min="3592" max="3592" width="11.28515625" customWidth="1"/>
    <col min="3593" max="3833" width="8.85546875"/>
    <col min="3834" max="3834" width="11.5703125" customWidth="1"/>
    <col min="3835" max="3835" width="17" customWidth="1"/>
    <col min="3836" max="3836" width="8.85546875"/>
    <col min="3837" max="3837" width="2.85546875" customWidth="1"/>
    <col min="3838" max="3838" width="14.140625" customWidth="1"/>
    <col min="3839" max="3839" width="15.42578125" customWidth="1"/>
    <col min="3840" max="3840" width="13.5703125" customWidth="1"/>
    <col min="3841" max="3841" width="13.85546875" customWidth="1"/>
    <col min="3842" max="3842" width="13.140625" customWidth="1"/>
    <col min="3843" max="3843" width="14.85546875" bestFit="1" customWidth="1"/>
    <col min="3844" max="3844" width="2.7109375" customWidth="1"/>
    <col min="3845" max="3845" width="8.85546875"/>
    <col min="3846" max="3846" width="10.85546875" customWidth="1"/>
    <col min="3847" max="3847" width="7.85546875" customWidth="1"/>
    <col min="3848" max="3848" width="11.28515625" customWidth="1"/>
    <col min="3849" max="4089" width="8.85546875"/>
    <col min="4090" max="4090" width="11.5703125" customWidth="1"/>
    <col min="4091" max="4091" width="17" customWidth="1"/>
    <col min="4092" max="4092" width="8.85546875"/>
    <col min="4093" max="4093" width="2.85546875" customWidth="1"/>
    <col min="4094" max="4094" width="14.140625" customWidth="1"/>
    <col min="4095" max="4095" width="15.42578125" customWidth="1"/>
    <col min="4096" max="4096" width="13.5703125" customWidth="1"/>
    <col min="4097" max="4097" width="13.85546875" customWidth="1"/>
    <col min="4098" max="4098" width="13.140625" customWidth="1"/>
    <col min="4099" max="4099" width="14.85546875" bestFit="1" customWidth="1"/>
    <col min="4100" max="4100" width="2.7109375" customWidth="1"/>
    <col min="4101" max="4101" width="8.85546875"/>
    <col min="4102" max="4102" width="10.85546875" customWidth="1"/>
    <col min="4103" max="4103" width="7.85546875" customWidth="1"/>
    <col min="4104" max="4104" width="11.28515625" customWidth="1"/>
    <col min="4105" max="4345" width="8.85546875"/>
    <col min="4346" max="4346" width="11.5703125" customWidth="1"/>
    <col min="4347" max="4347" width="17" customWidth="1"/>
    <col min="4348" max="4348" width="8.85546875"/>
    <col min="4349" max="4349" width="2.85546875" customWidth="1"/>
    <col min="4350" max="4350" width="14.140625" customWidth="1"/>
    <col min="4351" max="4351" width="15.42578125" customWidth="1"/>
    <col min="4352" max="4352" width="13.5703125" customWidth="1"/>
    <col min="4353" max="4353" width="13.85546875" customWidth="1"/>
    <col min="4354" max="4354" width="13.140625" customWidth="1"/>
    <col min="4355" max="4355" width="14.85546875" bestFit="1" customWidth="1"/>
    <col min="4356" max="4356" width="2.7109375" customWidth="1"/>
    <col min="4357" max="4357" width="8.85546875"/>
    <col min="4358" max="4358" width="10.85546875" customWidth="1"/>
    <col min="4359" max="4359" width="7.85546875" customWidth="1"/>
    <col min="4360" max="4360" width="11.28515625" customWidth="1"/>
    <col min="4361" max="4601" width="8.85546875"/>
    <col min="4602" max="4602" width="11.5703125" customWidth="1"/>
    <col min="4603" max="4603" width="17" customWidth="1"/>
    <col min="4604" max="4604" width="8.85546875"/>
    <col min="4605" max="4605" width="2.85546875" customWidth="1"/>
    <col min="4606" max="4606" width="14.140625" customWidth="1"/>
    <col min="4607" max="4607" width="15.42578125" customWidth="1"/>
    <col min="4608" max="4608" width="13.5703125" customWidth="1"/>
    <col min="4609" max="4609" width="13.85546875" customWidth="1"/>
    <col min="4610" max="4610" width="13.140625" customWidth="1"/>
    <col min="4611" max="4611" width="14.85546875" bestFit="1" customWidth="1"/>
    <col min="4612" max="4612" width="2.7109375" customWidth="1"/>
    <col min="4613" max="4613" width="8.85546875"/>
    <col min="4614" max="4614" width="10.85546875" customWidth="1"/>
    <col min="4615" max="4615" width="7.85546875" customWidth="1"/>
    <col min="4616" max="4616" width="11.28515625" customWidth="1"/>
    <col min="4617" max="4857" width="8.85546875"/>
    <col min="4858" max="4858" width="11.5703125" customWidth="1"/>
    <col min="4859" max="4859" width="17" customWidth="1"/>
    <col min="4860" max="4860" width="8.85546875"/>
    <col min="4861" max="4861" width="2.85546875" customWidth="1"/>
    <col min="4862" max="4862" width="14.140625" customWidth="1"/>
    <col min="4863" max="4863" width="15.42578125" customWidth="1"/>
    <col min="4864" max="4864" width="13.5703125" customWidth="1"/>
    <col min="4865" max="4865" width="13.85546875" customWidth="1"/>
    <col min="4866" max="4866" width="13.140625" customWidth="1"/>
    <col min="4867" max="4867" width="14.85546875" bestFit="1" customWidth="1"/>
    <col min="4868" max="4868" width="2.7109375" customWidth="1"/>
    <col min="4869" max="4869" width="8.85546875"/>
    <col min="4870" max="4870" width="10.85546875" customWidth="1"/>
    <col min="4871" max="4871" width="7.85546875" customWidth="1"/>
    <col min="4872" max="4872" width="11.28515625" customWidth="1"/>
    <col min="4873" max="5113" width="8.85546875"/>
    <col min="5114" max="5114" width="11.5703125" customWidth="1"/>
    <col min="5115" max="5115" width="17" customWidth="1"/>
    <col min="5116" max="5116" width="8.85546875"/>
    <col min="5117" max="5117" width="2.85546875" customWidth="1"/>
    <col min="5118" max="5118" width="14.140625" customWidth="1"/>
    <col min="5119" max="5119" width="15.42578125" customWidth="1"/>
    <col min="5120" max="5120" width="13.5703125" customWidth="1"/>
    <col min="5121" max="5121" width="13.85546875" customWidth="1"/>
    <col min="5122" max="5122" width="13.140625" customWidth="1"/>
    <col min="5123" max="5123" width="14.85546875" bestFit="1" customWidth="1"/>
    <col min="5124" max="5124" width="2.7109375" customWidth="1"/>
    <col min="5125" max="5125" width="8.85546875"/>
    <col min="5126" max="5126" width="10.85546875" customWidth="1"/>
    <col min="5127" max="5127" width="7.85546875" customWidth="1"/>
    <col min="5128" max="5128" width="11.28515625" customWidth="1"/>
    <col min="5129" max="5369" width="8.85546875"/>
    <col min="5370" max="5370" width="11.5703125" customWidth="1"/>
    <col min="5371" max="5371" width="17" customWidth="1"/>
    <col min="5372" max="5372" width="8.85546875"/>
    <col min="5373" max="5373" width="2.85546875" customWidth="1"/>
    <col min="5374" max="5374" width="14.140625" customWidth="1"/>
    <col min="5375" max="5375" width="15.42578125" customWidth="1"/>
    <col min="5376" max="5376" width="13.5703125" customWidth="1"/>
    <col min="5377" max="5377" width="13.85546875" customWidth="1"/>
    <col min="5378" max="5378" width="13.140625" customWidth="1"/>
    <col min="5379" max="5379" width="14.85546875" bestFit="1" customWidth="1"/>
    <col min="5380" max="5380" width="2.7109375" customWidth="1"/>
    <col min="5381" max="5381" width="8.85546875"/>
    <col min="5382" max="5382" width="10.85546875" customWidth="1"/>
    <col min="5383" max="5383" width="7.85546875" customWidth="1"/>
    <col min="5384" max="5384" width="11.28515625" customWidth="1"/>
    <col min="5385" max="5625" width="8.85546875"/>
    <col min="5626" max="5626" width="11.5703125" customWidth="1"/>
    <col min="5627" max="5627" width="17" customWidth="1"/>
    <col min="5628" max="5628" width="8.85546875"/>
    <col min="5629" max="5629" width="2.85546875" customWidth="1"/>
    <col min="5630" max="5630" width="14.140625" customWidth="1"/>
    <col min="5631" max="5631" width="15.42578125" customWidth="1"/>
    <col min="5632" max="5632" width="13.5703125" customWidth="1"/>
    <col min="5633" max="5633" width="13.85546875" customWidth="1"/>
    <col min="5634" max="5634" width="13.140625" customWidth="1"/>
    <col min="5635" max="5635" width="14.85546875" bestFit="1" customWidth="1"/>
    <col min="5636" max="5636" width="2.7109375" customWidth="1"/>
    <col min="5637" max="5637" width="8.85546875"/>
    <col min="5638" max="5638" width="10.85546875" customWidth="1"/>
    <col min="5639" max="5639" width="7.85546875" customWidth="1"/>
    <col min="5640" max="5640" width="11.28515625" customWidth="1"/>
    <col min="5641" max="5881" width="8.85546875"/>
    <col min="5882" max="5882" width="11.5703125" customWidth="1"/>
    <col min="5883" max="5883" width="17" customWidth="1"/>
    <col min="5884" max="5884" width="8.85546875"/>
    <col min="5885" max="5885" width="2.85546875" customWidth="1"/>
    <col min="5886" max="5886" width="14.140625" customWidth="1"/>
    <col min="5887" max="5887" width="15.42578125" customWidth="1"/>
    <col min="5888" max="5888" width="13.5703125" customWidth="1"/>
    <col min="5889" max="5889" width="13.85546875" customWidth="1"/>
    <col min="5890" max="5890" width="13.140625" customWidth="1"/>
    <col min="5891" max="5891" width="14.85546875" bestFit="1" customWidth="1"/>
    <col min="5892" max="5892" width="2.7109375" customWidth="1"/>
    <col min="5893" max="5893" width="8.85546875"/>
    <col min="5894" max="5894" width="10.85546875" customWidth="1"/>
    <col min="5895" max="5895" width="7.85546875" customWidth="1"/>
    <col min="5896" max="5896" width="11.28515625" customWidth="1"/>
    <col min="5897" max="6137" width="8.85546875"/>
    <col min="6138" max="6138" width="11.5703125" customWidth="1"/>
    <col min="6139" max="6139" width="17" customWidth="1"/>
    <col min="6140" max="6140" width="8.85546875"/>
    <col min="6141" max="6141" width="2.85546875" customWidth="1"/>
    <col min="6142" max="6142" width="14.140625" customWidth="1"/>
    <col min="6143" max="6143" width="15.42578125" customWidth="1"/>
    <col min="6144" max="6144" width="13.5703125" customWidth="1"/>
    <col min="6145" max="6145" width="13.85546875" customWidth="1"/>
    <col min="6146" max="6146" width="13.140625" customWidth="1"/>
    <col min="6147" max="6147" width="14.85546875" bestFit="1" customWidth="1"/>
    <col min="6148" max="6148" width="2.7109375" customWidth="1"/>
    <col min="6149" max="6149" width="8.85546875"/>
    <col min="6150" max="6150" width="10.85546875" customWidth="1"/>
    <col min="6151" max="6151" width="7.85546875" customWidth="1"/>
    <col min="6152" max="6152" width="11.28515625" customWidth="1"/>
    <col min="6153" max="6393" width="8.85546875"/>
    <col min="6394" max="6394" width="11.5703125" customWidth="1"/>
    <col min="6395" max="6395" width="17" customWidth="1"/>
    <col min="6396" max="6396" width="8.85546875"/>
    <col min="6397" max="6397" width="2.85546875" customWidth="1"/>
    <col min="6398" max="6398" width="14.140625" customWidth="1"/>
    <col min="6399" max="6399" width="15.42578125" customWidth="1"/>
    <col min="6400" max="6400" width="13.5703125" customWidth="1"/>
    <col min="6401" max="6401" width="13.85546875" customWidth="1"/>
    <col min="6402" max="6402" width="13.140625" customWidth="1"/>
    <col min="6403" max="6403" width="14.85546875" bestFit="1" customWidth="1"/>
    <col min="6404" max="6404" width="2.7109375" customWidth="1"/>
    <col min="6405" max="6405" width="8.85546875"/>
    <col min="6406" max="6406" width="10.85546875" customWidth="1"/>
    <col min="6407" max="6407" width="7.85546875" customWidth="1"/>
    <col min="6408" max="6408" width="11.28515625" customWidth="1"/>
    <col min="6409" max="6649" width="8.85546875"/>
    <col min="6650" max="6650" width="11.5703125" customWidth="1"/>
    <col min="6651" max="6651" width="17" customWidth="1"/>
    <col min="6652" max="6652" width="8.85546875"/>
    <col min="6653" max="6653" width="2.85546875" customWidth="1"/>
    <col min="6654" max="6654" width="14.140625" customWidth="1"/>
    <col min="6655" max="6655" width="15.42578125" customWidth="1"/>
    <col min="6656" max="6656" width="13.5703125" customWidth="1"/>
    <col min="6657" max="6657" width="13.85546875" customWidth="1"/>
    <col min="6658" max="6658" width="13.140625" customWidth="1"/>
    <col min="6659" max="6659" width="14.85546875" bestFit="1" customWidth="1"/>
    <col min="6660" max="6660" width="2.7109375" customWidth="1"/>
    <col min="6661" max="6661" width="8.85546875"/>
    <col min="6662" max="6662" width="10.85546875" customWidth="1"/>
    <col min="6663" max="6663" width="7.85546875" customWidth="1"/>
    <col min="6664" max="6664" width="11.28515625" customWidth="1"/>
    <col min="6665" max="6905" width="8.85546875"/>
    <col min="6906" max="6906" width="11.5703125" customWidth="1"/>
    <col min="6907" max="6907" width="17" customWidth="1"/>
    <col min="6908" max="6908" width="8.85546875"/>
    <col min="6909" max="6909" width="2.85546875" customWidth="1"/>
    <col min="6910" max="6910" width="14.140625" customWidth="1"/>
    <col min="6911" max="6911" width="15.42578125" customWidth="1"/>
    <col min="6912" max="6912" width="13.5703125" customWidth="1"/>
    <col min="6913" max="6913" width="13.85546875" customWidth="1"/>
    <col min="6914" max="6914" width="13.140625" customWidth="1"/>
    <col min="6915" max="6915" width="14.85546875" bestFit="1" customWidth="1"/>
    <col min="6916" max="6916" width="2.7109375" customWidth="1"/>
    <col min="6917" max="6917" width="8.85546875"/>
    <col min="6918" max="6918" width="10.85546875" customWidth="1"/>
    <col min="6919" max="6919" width="7.85546875" customWidth="1"/>
    <col min="6920" max="6920" width="11.28515625" customWidth="1"/>
    <col min="6921" max="7161" width="8.85546875"/>
    <col min="7162" max="7162" width="11.5703125" customWidth="1"/>
    <col min="7163" max="7163" width="17" customWidth="1"/>
    <col min="7164" max="7164" width="8.85546875"/>
    <col min="7165" max="7165" width="2.85546875" customWidth="1"/>
    <col min="7166" max="7166" width="14.140625" customWidth="1"/>
    <col min="7167" max="7167" width="15.42578125" customWidth="1"/>
    <col min="7168" max="7168" width="13.5703125" customWidth="1"/>
    <col min="7169" max="7169" width="13.85546875" customWidth="1"/>
    <col min="7170" max="7170" width="13.140625" customWidth="1"/>
    <col min="7171" max="7171" width="14.85546875" bestFit="1" customWidth="1"/>
    <col min="7172" max="7172" width="2.7109375" customWidth="1"/>
    <col min="7173" max="7173" width="8.85546875"/>
    <col min="7174" max="7174" width="10.85546875" customWidth="1"/>
    <col min="7175" max="7175" width="7.85546875" customWidth="1"/>
    <col min="7176" max="7176" width="11.28515625" customWidth="1"/>
    <col min="7177" max="7417" width="8.85546875"/>
    <col min="7418" max="7418" width="11.5703125" customWidth="1"/>
    <col min="7419" max="7419" width="17" customWidth="1"/>
    <col min="7420" max="7420" width="8.85546875"/>
    <col min="7421" max="7421" width="2.85546875" customWidth="1"/>
    <col min="7422" max="7422" width="14.140625" customWidth="1"/>
    <col min="7423" max="7423" width="15.42578125" customWidth="1"/>
    <col min="7424" max="7424" width="13.5703125" customWidth="1"/>
    <col min="7425" max="7425" width="13.85546875" customWidth="1"/>
    <col min="7426" max="7426" width="13.140625" customWidth="1"/>
    <col min="7427" max="7427" width="14.85546875" bestFit="1" customWidth="1"/>
    <col min="7428" max="7428" width="2.7109375" customWidth="1"/>
    <col min="7429" max="7429" width="8.85546875"/>
    <col min="7430" max="7430" width="10.85546875" customWidth="1"/>
    <col min="7431" max="7431" width="7.85546875" customWidth="1"/>
    <col min="7432" max="7432" width="11.28515625" customWidth="1"/>
    <col min="7433" max="7673" width="8.85546875"/>
    <col min="7674" max="7674" width="11.5703125" customWidth="1"/>
    <col min="7675" max="7675" width="17" customWidth="1"/>
    <col min="7676" max="7676" width="8.85546875"/>
    <col min="7677" max="7677" width="2.85546875" customWidth="1"/>
    <col min="7678" max="7678" width="14.140625" customWidth="1"/>
    <col min="7679" max="7679" width="15.42578125" customWidth="1"/>
    <col min="7680" max="7680" width="13.5703125" customWidth="1"/>
    <col min="7681" max="7681" width="13.85546875" customWidth="1"/>
    <col min="7682" max="7682" width="13.140625" customWidth="1"/>
    <col min="7683" max="7683" width="14.85546875" bestFit="1" customWidth="1"/>
    <col min="7684" max="7684" width="2.7109375" customWidth="1"/>
    <col min="7685" max="7685" width="8.85546875"/>
    <col min="7686" max="7686" width="10.85546875" customWidth="1"/>
    <col min="7687" max="7687" width="7.85546875" customWidth="1"/>
    <col min="7688" max="7688" width="11.28515625" customWidth="1"/>
    <col min="7689" max="7929" width="8.85546875"/>
    <col min="7930" max="7930" width="11.5703125" customWidth="1"/>
    <col min="7931" max="7931" width="17" customWidth="1"/>
    <col min="7932" max="7932" width="8.85546875"/>
    <col min="7933" max="7933" width="2.85546875" customWidth="1"/>
    <col min="7934" max="7934" width="14.140625" customWidth="1"/>
    <col min="7935" max="7935" width="15.42578125" customWidth="1"/>
    <col min="7936" max="7936" width="13.5703125" customWidth="1"/>
    <col min="7937" max="7937" width="13.85546875" customWidth="1"/>
    <col min="7938" max="7938" width="13.140625" customWidth="1"/>
    <col min="7939" max="7939" width="14.85546875" bestFit="1" customWidth="1"/>
    <col min="7940" max="7940" width="2.7109375" customWidth="1"/>
    <col min="7941" max="7941" width="8.85546875"/>
    <col min="7942" max="7942" width="10.85546875" customWidth="1"/>
    <col min="7943" max="7943" width="7.85546875" customWidth="1"/>
    <col min="7944" max="7944" width="11.28515625" customWidth="1"/>
    <col min="7945" max="8185" width="8.85546875"/>
    <col min="8186" max="8186" width="11.5703125" customWidth="1"/>
    <col min="8187" max="8187" width="17" customWidth="1"/>
    <col min="8188" max="8188" width="8.85546875"/>
    <col min="8189" max="8189" width="2.85546875" customWidth="1"/>
    <col min="8190" max="8190" width="14.140625" customWidth="1"/>
    <col min="8191" max="8191" width="15.42578125" customWidth="1"/>
    <col min="8192" max="8192" width="13.5703125" customWidth="1"/>
    <col min="8193" max="8193" width="13.85546875" customWidth="1"/>
    <col min="8194" max="8194" width="13.140625" customWidth="1"/>
    <col min="8195" max="8195" width="14.85546875" bestFit="1" customWidth="1"/>
    <col min="8196" max="8196" width="2.7109375" customWidth="1"/>
    <col min="8197" max="8197" width="8.85546875"/>
    <col min="8198" max="8198" width="10.85546875" customWidth="1"/>
    <col min="8199" max="8199" width="7.85546875" customWidth="1"/>
    <col min="8200" max="8200" width="11.28515625" customWidth="1"/>
    <col min="8201" max="8441" width="8.85546875"/>
    <col min="8442" max="8442" width="11.5703125" customWidth="1"/>
    <col min="8443" max="8443" width="17" customWidth="1"/>
    <col min="8444" max="8444" width="8.85546875"/>
    <col min="8445" max="8445" width="2.85546875" customWidth="1"/>
    <col min="8446" max="8446" width="14.140625" customWidth="1"/>
    <col min="8447" max="8447" width="15.42578125" customWidth="1"/>
    <col min="8448" max="8448" width="13.5703125" customWidth="1"/>
    <col min="8449" max="8449" width="13.85546875" customWidth="1"/>
    <col min="8450" max="8450" width="13.140625" customWidth="1"/>
    <col min="8451" max="8451" width="14.85546875" bestFit="1" customWidth="1"/>
    <col min="8452" max="8452" width="2.7109375" customWidth="1"/>
    <col min="8453" max="8453" width="8.85546875"/>
    <col min="8454" max="8454" width="10.85546875" customWidth="1"/>
    <col min="8455" max="8455" width="7.85546875" customWidth="1"/>
    <col min="8456" max="8456" width="11.28515625" customWidth="1"/>
    <col min="8457" max="8697" width="8.85546875"/>
    <col min="8698" max="8698" width="11.5703125" customWidth="1"/>
    <col min="8699" max="8699" width="17" customWidth="1"/>
    <col min="8700" max="8700" width="8.85546875"/>
    <col min="8701" max="8701" width="2.85546875" customWidth="1"/>
    <col min="8702" max="8702" width="14.140625" customWidth="1"/>
    <col min="8703" max="8703" width="15.42578125" customWidth="1"/>
    <col min="8704" max="8704" width="13.5703125" customWidth="1"/>
    <col min="8705" max="8705" width="13.85546875" customWidth="1"/>
    <col min="8706" max="8706" width="13.140625" customWidth="1"/>
    <col min="8707" max="8707" width="14.85546875" bestFit="1" customWidth="1"/>
    <col min="8708" max="8708" width="2.7109375" customWidth="1"/>
    <col min="8709" max="8709" width="8.85546875"/>
    <col min="8710" max="8710" width="10.85546875" customWidth="1"/>
    <col min="8711" max="8711" width="7.85546875" customWidth="1"/>
    <col min="8712" max="8712" width="11.28515625" customWidth="1"/>
    <col min="8713" max="8953" width="8.85546875"/>
    <col min="8954" max="8954" width="11.5703125" customWidth="1"/>
    <col min="8955" max="8955" width="17" customWidth="1"/>
    <col min="8956" max="8956" width="8.85546875"/>
    <col min="8957" max="8957" width="2.85546875" customWidth="1"/>
    <col min="8958" max="8958" width="14.140625" customWidth="1"/>
    <col min="8959" max="8959" width="15.42578125" customWidth="1"/>
    <col min="8960" max="8960" width="13.5703125" customWidth="1"/>
    <col min="8961" max="8961" width="13.85546875" customWidth="1"/>
    <col min="8962" max="8962" width="13.140625" customWidth="1"/>
    <col min="8963" max="8963" width="14.85546875" bestFit="1" customWidth="1"/>
    <col min="8964" max="8964" width="2.7109375" customWidth="1"/>
    <col min="8965" max="8965" width="8.85546875"/>
    <col min="8966" max="8966" width="10.85546875" customWidth="1"/>
    <col min="8967" max="8967" width="7.85546875" customWidth="1"/>
    <col min="8968" max="8968" width="11.28515625" customWidth="1"/>
    <col min="8969" max="9209" width="8.85546875"/>
    <col min="9210" max="9210" width="11.5703125" customWidth="1"/>
    <col min="9211" max="9211" width="17" customWidth="1"/>
    <col min="9212" max="9212" width="8.85546875"/>
    <col min="9213" max="9213" width="2.85546875" customWidth="1"/>
    <col min="9214" max="9214" width="14.140625" customWidth="1"/>
    <col min="9215" max="9215" width="15.42578125" customWidth="1"/>
    <col min="9216" max="9216" width="13.5703125" customWidth="1"/>
    <col min="9217" max="9217" width="13.85546875" customWidth="1"/>
    <col min="9218" max="9218" width="13.140625" customWidth="1"/>
    <col min="9219" max="9219" width="14.85546875" bestFit="1" customWidth="1"/>
    <col min="9220" max="9220" width="2.7109375" customWidth="1"/>
    <col min="9221" max="9221" width="8.85546875"/>
    <col min="9222" max="9222" width="10.85546875" customWidth="1"/>
    <col min="9223" max="9223" width="7.85546875" customWidth="1"/>
    <col min="9224" max="9224" width="11.28515625" customWidth="1"/>
    <col min="9225" max="9465" width="8.85546875"/>
    <col min="9466" max="9466" width="11.5703125" customWidth="1"/>
    <col min="9467" max="9467" width="17" customWidth="1"/>
    <col min="9468" max="9468" width="8.85546875"/>
    <col min="9469" max="9469" width="2.85546875" customWidth="1"/>
    <col min="9470" max="9470" width="14.140625" customWidth="1"/>
    <col min="9471" max="9471" width="15.42578125" customWidth="1"/>
    <col min="9472" max="9472" width="13.5703125" customWidth="1"/>
    <col min="9473" max="9473" width="13.85546875" customWidth="1"/>
    <col min="9474" max="9474" width="13.140625" customWidth="1"/>
    <col min="9475" max="9475" width="14.85546875" bestFit="1" customWidth="1"/>
    <col min="9476" max="9476" width="2.7109375" customWidth="1"/>
    <col min="9477" max="9477" width="8.85546875"/>
    <col min="9478" max="9478" width="10.85546875" customWidth="1"/>
    <col min="9479" max="9479" width="7.85546875" customWidth="1"/>
    <col min="9480" max="9480" width="11.28515625" customWidth="1"/>
    <col min="9481" max="9721" width="8.85546875"/>
    <col min="9722" max="9722" width="11.5703125" customWidth="1"/>
    <col min="9723" max="9723" width="17" customWidth="1"/>
    <col min="9724" max="9724" width="8.85546875"/>
    <col min="9725" max="9725" width="2.85546875" customWidth="1"/>
    <col min="9726" max="9726" width="14.140625" customWidth="1"/>
    <col min="9727" max="9727" width="15.42578125" customWidth="1"/>
    <col min="9728" max="9728" width="13.5703125" customWidth="1"/>
    <col min="9729" max="9729" width="13.85546875" customWidth="1"/>
    <col min="9730" max="9730" width="13.140625" customWidth="1"/>
    <col min="9731" max="9731" width="14.85546875" bestFit="1" customWidth="1"/>
    <col min="9732" max="9732" width="2.7109375" customWidth="1"/>
    <col min="9733" max="9733" width="8.85546875"/>
    <col min="9734" max="9734" width="10.85546875" customWidth="1"/>
    <col min="9735" max="9735" width="7.85546875" customWidth="1"/>
    <col min="9736" max="9736" width="11.28515625" customWidth="1"/>
    <col min="9737" max="9977" width="8.85546875"/>
    <col min="9978" max="9978" width="11.5703125" customWidth="1"/>
    <col min="9979" max="9979" width="17" customWidth="1"/>
    <col min="9980" max="9980" width="8.85546875"/>
    <col min="9981" max="9981" width="2.85546875" customWidth="1"/>
    <col min="9982" max="9982" width="14.140625" customWidth="1"/>
    <col min="9983" max="9983" width="15.42578125" customWidth="1"/>
    <col min="9984" max="9984" width="13.5703125" customWidth="1"/>
    <col min="9985" max="9985" width="13.85546875" customWidth="1"/>
    <col min="9986" max="9986" width="13.140625" customWidth="1"/>
    <col min="9987" max="9987" width="14.85546875" bestFit="1" customWidth="1"/>
    <col min="9988" max="9988" width="2.7109375" customWidth="1"/>
    <col min="9989" max="9989" width="8.85546875"/>
    <col min="9990" max="9990" width="10.85546875" customWidth="1"/>
    <col min="9991" max="9991" width="7.85546875" customWidth="1"/>
    <col min="9992" max="9992" width="11.28515625" customWidth="1"/>
    <col min="9993" max="10233" width="8.85546875"/>
    <col min="10234" max="10234" width="11.5703125" customWidth="1"/>
    <col min="10235" max="10235" width="17" customWidth="1"/>
    <col min="10236" max="10236" width="8.85546875"/>
    <col min="10237" max="10237" width="2.85546875" customWidth="1"/>
    <col min="10238" max="10238" width="14.140625" customWidth="1"/>
    <col min="10239" max="10239" width="15.42578125" customWidth="1"/>
    <col min="10240" max="10240" width="13.5703125" customWidth="1"/>
    <col min="10241" max="10241" width="13.85546875" customWidth="1"/>
    <col min="10242" max="10242" width="13.140625" customWidth="1"/>
    <col min="10243" max="10243" width="14.85546875" bestFit="1" customWidth="1"/>
    <col min="10244" max="10244" width="2.7109375" customWidth="1"/>
    <col min="10245" max="10245" width="8.85546875"/>
    <col min="10246" max="10246" width="10.85546875" customWidth="1"/>
    <col min="10247" max="10247" width="7.85546875" customWidth="1"/>
    <col min="10248" max="10248" width="11.28515625" customWidth="1"/>
    <col min="10249" max="10489" width="8.85546875"/>
    <col min="10490" max="10490" width="11.5703125" customWidth="1"/>
    <col min="10491" max="10491" width="17" customWidth="1"/>
    <col min="10492" max="10492" width="8.85546875"/>
    <col min="10493" max="10493" width="2.85546875" customWidth="1"/>
    <col min="10494" max="10494" width="14.140625" customWidth="1"/>
    <col min="10495" max="10495" width="15.42578125" customWidth="1"/>
    <col min="10496" max="10496" width="13.5703125" customWidth="1"/>
    <col min="10497" max="10497" width="13.85546875" customWidth="1"/>
    <col min="10498" max="10498" width="13.140625" customWidth="1"/>
    <col min="10499" max="10499" width="14.85546875" bestFit="1" customWidth="1"/>
    <col min="10500" max="10500" width="2.7109375" customWidth="1"/>
    <col min="10501" max="10501" width="8.85546875"/>
    <col min="10502" max="10502" width="10.85546875" customWidth="1"/>
    <col min="10503" max="10503" width="7.85546875" customWidth="1"/>
    <col min="10504" max="10504" width="11.28515625" customWidth="1"/>
    <col min="10505" max="10745" width="8.85546875"/>
    <col min="10746" max="10746" width="11.5703125" customWidth="1"/>
    <col min="10747" max="10747" width="17" customWidth="1"/>
    <col min="10748" max="10748" width="8.85546875"/>
    <col min="10749" max="10749" width="2.85546875" customWidth="1"/>
    <col min="10750" max="10750" width="14.140625" customWidth="1"/>
    <col min="10751" max="10751" width="15.42578125" customWidth="1"/>
    <col min="10752" max="10752" width="13.5703125" customWidth="1"/>
    <col min="10753" max="10753" width="13.85546875" customWidth="1"/>
    <col min="10754" max="10754" width="13.140625" customWidth="1"/>
    <col min="10755" max="10755" width="14.85546875" bestFit="1" customWidth="1"/>
    <col min="10756" max="10756" width="2.7109375" customWidth="1"/>
    <col min="10757" max="10757" width="8.85546875"/>
    <col min="10758" max="10758" width="10.85546875" customWidth="1"/>
    <col min="10759" max="10759" width="7.85546875" customWidth="1"/>
    <col min="10760" max="10760" width="11.28515625" customWidth="1"/>
    <col min="10761" max="11001" width="8.85546875"/>
    <col min="11002" max="11002" width="11.5703125" customWidth="1"/>
    <col min="11003" max="11003" width="17" customWidth="1"/>
    <col min="11004" max="11004" width="8.85546875"/>
    <col min="11005" max="11005" width="2.85546875" customWidth="1"/>
    <col min="11006" max="11006" width="14.140625" customWidth="1"/>
    <col min="11007" max="11007" width="15.42578125" customWidth="1"/>
    <col min="11008" max="11008" width="13.5703125" customWidth="1"/>
    <col min="11009" max="11009" width="13.85546875" customWidth="1"/>
    <col min="11010" max="11010" width="13.140625" customWidth="1"/>
    <col min="11011" max="11011" width="14.85546875" bestFit="1" customWidth="1"/>
    <col min="11012" max="11012" width="2.7109375" customWidth="1"/>
    <col min="11013" max="11013" width="8.85546875"/>
    <col min="11014" max="11014" width="10.85546875" customWidth="1"/>
    <col min="11015" max="11015" width="7.85546875" customWidth="1"/>
    <col min="11016" max="11016" width="11.28515625" customWidth="1"/>
    <col min="11017" max="11257" width="8.85546875"/>
    <col min="11258" max="11258" width="11.5703125" customWidth="1"/>
    <col min="11259" max="11259" width="17" customWidth="1"/>
    <col min="11260" max="11260" width="8.85546875"/>
    <col min="11261" max="11261" width="2.85546875" customWidth="1"/>
    <col min="11262" max="11262" width="14.140625" customWidth="1"/>
    <col min="11263" max="11263" width="15.42578125" customWidth="1"/>
    <col min="11264" max="11264" width="13.5703125" customWidth="1"/>
    <col min="11265" max="11265" width="13.85546875" customWidth="1"/>
    <col min="11266" max="11266" width="13.140625" customWidth="1"/>
    <col min="11267" max="11267" width="14.85546875" bestFit="1" customWidth="1"/>
    <col min="11268" max="11268" width="2.7109375" customWidth="1"/>
    <col min="11269" max="11269" width="8.85546875"/>
    <col min="11270" max="11270" width="10.85546875" customWidth="1"/>
    <col min="11271" max="11271" width="7.85546875" customWidth="1"/>
    <col min="11272" max="11272" width="11.28515625" customWidth="1"/>
    <col min="11273" max="11513" width="8.85546875"/>
    <col min="11514" max="11514" width="11.5703125" customWidth="1"/>
    <col min="11515" max="11515" width="17" customWidth="1"/>
    <col min="11516" max="11516" width="8.85546875"/>
    <col min="11517" max="11517" width="2.85546875" customWidth="1"/>
    <col min="11518" max="11518" width="14.140625" customWidth="1"/>
    <col min="11519" max="11519" width="15.42578125" customWidth="1"/>
    <col min="11520" max="11520" width="13.5703125" customWidth="1"/>
    <col min="11521" max="11521" width="13.85546875" customWidth="1"/>
    <col min="11522" max="11522" width="13.140625" customWidth="1"/>
    <col min="11523" max="11523" width="14.85546875" bestFit="1" customWidth="1"/>
    <col min="11524" max="11524" width="2.7109375" customWidth="1"/>
    <col min="11525" max="11525" width="8.85546875"/>
    <col min="11526" max="11526" width="10.85546875" customWidth="1"/>
    <col min="11527" max="11527" width="7.85546875" customWidth="1"/>
    <col min="11528" max="11528" width="11.28515625" customWidth="1"/>
    <col min="11529" max="11769" width="8.85546875"/>
    <col min="11770" max="11770" width="11.5703125" customWidth="1"/>
    <col min="11771" max="11771" width="17" customWidth="1"/>
    <col min="11772" max="11772" width="8.85546875"/>
    <col min="11773" max="11773" width="2.85546875" customWidth="1"/>
    <col min="11774" max="11774" width="14.140625" customWidth="1"/>
    <col min="11775" max="11775" width="15.42578125" customWidth="1"/>
    <col min="11776" max="11776" width="13.5703125" customWidth="1"/>
    <col min="11777" max="11777" width="13.85546875" customWidth="1"/>
    <col min="11778" max="11778" width="13.140625" customWidth="1"/>
    <col min="11779" max="11779" width="14.85546875" bestFit="1" customWidth="1"/>
    <col min="11780" max="11780" width="2.7109375" customWidth="1"/>
    <col min="11781" max="11781" width="8.85546875"/>
    <col min="11782" max="11782" width="10.85546875" customWidth="1"/>
    <col min="11783" max="11783" width="7.85546875" customWidth="1"/>
    <col min="11784" max="11784" width="11.28515625" customWidth="1"/>
    <col min="11785" max="12025" width="8.85546875"/>
    <col min="12026" max="12026" width="11.5703125" customWidth="1"/>
    <col min="12027" max="12027" width="17" customWidth="1"/>
    <col min="12028" max="12028" width="8.85546875"/>
    <col min="12029" max="12029" width="2.85546875" customWidth="1"/>
    <col min="12030" max="12030" width="14.140625" customWidth="1"/>
    <col min="12031" max="12031" width="15.42578125" customWidth="1"/>
    <col min="12032" max="12032" width="13.5703125" customWidth="1"/>
    <col min="12033" max="12033" width="13.85546875" customWidth="1"/>
    <col min="12034" max="12034" width="13.140625" customWidth="1"/>
    <col min="12035" max="12035" width="14.85546875" bestFit="1" customWidth="1"/>
    <col min="12036" max="12036" width="2.7109375" customWidth="1"/>
    <col min="12037" max="12037" width="8.85546875"/>
    <col min="12038" max="12038" width="10.85546875" customWidth="1"/>
    <col min="12039" max="12039" width="7.85546875" customWidth="1"/>
    <col min="12040" max="12040" width="11.28515625" customWidth="1"/>
    <col min="12041" max="12281" width="8.85546875"/>
    <col min="12282" max="12282" width="11.5703125" customWidth="1"/>
    <col min="12283" max="12283" width="17" customWidth="1"/>
    <col min="12284" max="12284" width="8.85546875"/>
    <col min="12285" max="12285" width="2.85546875" customWidth="1"/>
    <col min="12286" max="12286" width="14.140625" customWidth="1"/>
    <col min="12287" max="12287" width="15.42578125" customWidth="1"/>
    <col min="12288" max="12288" width="13.5703125" customWidth="1"/>
    <col min="12289" max="12289" width="13.85546875" customWidth="1"/>
    <col min="12290" max="12290" width="13.140625" customWidth="1"/>
    <col min="12291" max="12291" width="14.85546875" bestFit="1" customWidth="1"/>
    <col min="12292" max="12292" width="2.7109375" customWidth="1"/>
    <col min="12293" max="12293" width="8.85546875"/>
    <col min="12294" max="12294" width="10.85546875" customWidth="1"/>
    <col min="12295" max="12295" width="7.85546875" customWidth="1"/>
    <col min="12296" max="12296" width="11.28515625" customWidth="1"/>
    <col min="12297" max="12537" width="8.85546875"/>
    <col min="12538" max="12538" width="11.5703125" customWidth="1"/>
    <col min="12539" max="12539" width="17" customWidth="1"/>
    <col min="12540" max="12540" width="8.85546875"/>
    <col min="12541" max="12541" width="2.85546875" customWidth="1"/>
    <col min="12542" max="12542" width="14.140625" customWidth="1"/>
    <col min="12543" max="12543" width="15.42578125" customWidth="1"/>
    <col min="12544" max="12544" width="13.5703125" customWidth="1"/>
    <col min="12545" max="12545" width="13.85546875" customWidth="1"/>
    <col min="12546" max="12546" width="13.140625" customWidth="1"/>
    <col min="12547" max="12547" width="14.85546875" bestFit="1" customWidth="1"/>
    <col min="12548" max="12548" width="2.7109375" customWidth="1"/>
    <col min="12549" max="12549" width="8.85546875"/>
    <col min="12550" max="12550" width="10.85546875" customWidth="1"/>
    <col min="12551" max="12551" width="7.85546875" customWidth="1"/>
    <col min="12552" max="12552" width="11.28515625" customWidth="1"/>
    <col min="12553" max="12793" width="8.85546875"/>
    <col min="12794" max="12794" width="11.5703125" customWidth="1"/>
    <col min="12795" max="12795" width="17" customWidth="1"/>
    <col min="12796" max="12796" width="8.85546875"/>
    <col min="12797" max="12797" width="2.85546875" customWidth="1"/>
    <col min="12798" max="12798" width="14.140625" customWidth="1"/>
    <col min="12799" max="12799" width="15.42578125" customWidth="1"/>
    <col min="12800" max="12800" width="13.5703125" customWidth="1"/>
    <col min="12801" max="12801" width="13.85546875" customWidth="1"/>
    <col min="12802" max="12802" width="13.140625" customWidth="1"/>
    <col min="12803" max="12803" width="14.85546875" bestFit="1" customWidth="1"/>
    <col min="12804" max="12804" width="2.7109375" customWidth="1"/>
    <col min="12805" max="12805" width="8.85546875"/>
    <col min="12806" max="12806" width="10.85546875" customWidth="1"/>
    <col min="12807" max="12807" width="7.85546875" customWidth="1"/>
    <col min="12808" max="12808" width="11.28515625" customWidth="1"/>
    <col min="12809" max="13049" width="8.85546875"/>
    <col min="13050" max="13050" width="11.5703125" customWidth="1"/>
    <col min="13051" max="13051" width="17" customWidth="1"/>
    <col min="13052" max="13052" width="8.85546875"/>
    <col min="13053" max="13053" width="2.85546875" customWidth="1"/>
    <col min="13054" max="13054" width="14.140625" customWidth="1"/>
    <col min="13055" max="13055" width="15.42578125" customWidth="1"/>
    <col min="13056" max="13056" width="13.5703125" customWidth="1"/>
    <col min="13057" max="13057" width="13.85546875" customWidth="1"/>
    <col min="13058" max="13058" width="13.140625" customWidth="1"/>
    <col min="13059" max="13059" width="14.85546875" bestFit="1" customWidth="1"/>
    <col min="13060" max="13060" width="2.7109375" customWidth="1"/>
    <col min="13061" max="13061" width="8.85546875"/>
    <col min="13062" max="13062" width="10.85546875" customWidth="1"/>
    <col min="13063" max="13063" width="7.85546875" customWidth="1"/>
    <col min="13064" max="13064" width="11.28515625" customWidth="1"/>
    <col min="13065" max="13305" width="8.85546875"/>
    <col min="13306" max="13306" width="11.5703125" customWidth="1"/>
    <col min="13307" max="13307" width="17" customWidth="1"/>
    <col min="13308" max="13308" width="8.85546875"/>
    <col min="13309" max="13309" width="2.85546875" customWidth="1"/>
    <col min="13310" max="13310" width="14.140625" customWidth="1"/>
    <col min="13311" max="13311" width="15.42578125" customWidth="1"/>
    <col min="13312" max="13312" width="13.5703125" customWidth="1"/>
    <col min="13313" max="13313" width="13.85546875" customWidth="1"/>
    <col min="13314" max="13314" width="13.140625" customWidth="1"/>
    <col min="13315" max="13315" width="14.85546875" bestFit="1" customWidth="1"/>
    <col min="13316" max="13316" width="2.7109375" customWidth="1"/>
    <col min="13317" max="13317" width="8.85546875"/>
    <col min="13318" max="13318" width="10.85546875" customWidth="1"/>
    <col min="13319" max="13319" width="7.85546875" customWidth="1"/>
    <col min="13320" max="13320" width="11.28515625" customWidth="1"/>
    <col min="13321" max="13561" width="8.85546875"/>
    <col min="13562" max="13562" width="11.5703125" customWidth="1"/>
    <col min="13563" max="13563" width="17" customWidth="1"/>
    <col min="13564" max="13564" width="8.85546875"/>
    <col min="13565" max="13565" width="2.85546875" customWidth="1"/>
    <col min="13566" max="13566" width="14.140625" customWidth="1"/>
    <col min="13567" max="13567" width="15.42578125" customWidth="1"/>
    <col min="13568" max="13568" width="13.5703125" customWidth="1"/>
    <col min="13569" max="13569" width="13.85546875" customWidth="1"/>
    <col min="13570" max="13570" width="13.140625" customWidth="1"/>
    <col min="13571" max="13571" width="14.85546875" bestFit="1" customWidth="1"/>
    <col min="13572" max="13572" width="2.7109375" customWidth="1"/>
    <col min="13573" max="13573" width="8.85546875"/>
    <col min="13574" max="13574" width="10.85546875" customWidth="1"/>
    <col min="13575" max="13575" width="7.85546875" customWidth="1"/>
    <col min="13576" max="13576" width="11.28515625" customWidth="1"/>
    <col min="13577" max="13817" width="8.85546875"/>
    <col min="13818" max="13818" width="11.5703125" customWidth="1"/>
    <col min="13819" max="13819" width="17" customWidth="1"/>
    <col min="13820" max="13820" width="8.85546875"/>
    <col min="13821" max="13821" width="2.85546875" customWidth="1"/>
    <col min="13822" max="13822" width="14.140625" customWidth="1"/>
    <col min="13823" max="13823" width="15.42578125" customWidth="1"/>
    <col min="13824" max="13824" width="13.5703125" customWidth="1"/>
    <col min="13825" max="13825" width="13.85546875" customWidth="1"/>
    <col min="13826" max="13826" width="13.140625" customWidth="1"/>
    <col min="13827" max="13827" width="14.85546875" bestFit="1" customWidth="1"/>
    <col min="13828" max="13828" width="2.7109375" customWidth="1"/>
    <col min="13829" max="13829" width="8.85546875"/>
    <col min="13830" max="13830" width="10.85546875" customWidth="1"/>
    <col min="13831" max="13831" width="7.85546875" customWidth="1"/>
    <col min="13832" max="13832" width="11.28515625" customWidth="1"/>
    <col min="13833" max="14073" width="8.85546875"/>
    <col min="14074" max="14074" width="11.5703125" customWidth="1"/>
    <col min="14075" max="14075" width="17" customWidth="1"/>
    <col min="14076" max="14076" width="8.85546875"/>
    <col min="14077" max="14077" width="2.85546875" customWidth="1"/>
    <col min="14078" max="14078" width="14.140625" customWidth="1"/>
    <col min="14079" max="14079" width="15.42578125" customWidth="1"/>
    <col min="14080" max="14080" width="13.5703125" customWidth="1"/>
    <col min="14081" max="14081" width="13.85546875" customWidth="1"/>
    <col min="14082" max="14082" width="13.140625" customWidth="1"/>
    <col min="14083" max="14083" width="14.85546875" bestFit="1" customWidth="1"/>
    <col min="14084" max="14084" width="2.7109375" customWidth="1"/>
    <col min="14085" max="14085" width="8.85546875"/>
    <col min="14086" max="14086" width="10.85546875" customWidth="1"/>
    <col min="14087" max="14087" width="7.85546875" customWidth="1"/>
    <col min="14088" max="14088" width="11.28515625" customWidth="1"/>
    <col min="14089" max="14329" width="8.85546875"/>
    <col min="14330" max="14330" width="11.5703125" customWidth="1"/>
    <col min="14331" max="14331" width="17" customWidth="1"/>
    <col min="14332" max="14332" width="8.85546875"/>
    <col min="14333" max="14333" width="2.85546875" customWidth="1"/>
    <col min="14334" max="14334" width="14.140625" customWidth="1"/>
    <col min="14335" max="14335" width="15.42578125" customWidth="1"/>
    <col min="14336" max="14336" width="13.5703125" customWidth="1"/>
    <col min="14337" max="14337" width="13.85546875" customWidth="1"/>
    <col min="14338" max="14338" width="13.140625" customWidth="1"/>
    <col min="14339" max="14339" width="14.85546875" bestFit="1" customWidth="1"/>
    <col min="14340" max="14340" width="2.7109375" customWidth="1"/>
    <col min="14341" max="14341" width="8.85546875"/>
    <col min="14342" max="14342" width="10.85546875" customWidth="1"/>
    <col min="14343" max="14343" width="7.85546875" customWidth="1"/>
    <col min="14344" max="14344" width="11.28515625" customWidth="1"/>
    <col min="14345" max="14585" width="8.85546875"/>
    <col min="14586" max="14586" width="11.5703125" customWidth="1"/>
    <col min="14587" max="14587" width="17" customWidth="1"/>
    <col min="14588" max="14588" width="8.85546875"/>
    <col min="14589" max="14589" width="2.85546875" customWidth="1"/>
    <col min="14590" max="14590" width="14.140625" customWidth="1"/>
    <col min="14591" max="14591" width="15.42578125" customWidth="1"/>
    <col min="14592" max="14592" width="13.5703125" customWidth="1"/>
    <col min="14593" max="14593" width="13.85546875" customWidth="1"/>
    <col min="14594" max="14594" width="13.140625" customWidth="1"/>
    <col min="14595" max="14595" width="14.85546875" bestFit="1" customWidth="1"/>
    <col min="14596" max="14596" width="2.7109375" customWidth="1"/>
    <col min="14597" max="14597" width="8.85546875"/>
    <col min="14598" max="14598" width="10.85546875" customWidth="1"/>
    <col min="14599" max="14599" width="7.85546875" customWidth="1"/>
    <col min="14600" max="14600" width="11.28515625" customWidth="1"/>
    <col min="14601" max="14841" width="8.85546875"/>
    <col min="14842" max="14842" width="11.5703125" customWidth="1"/>
    <col min="14843" max="14843" width="17" customWidth="1"/>
    <col min="14844" max="14844" width="8.85546875"/>
    <col min="14845" max="14845" width="2.85546875" customWidth="1"/>
    <col min="14846" max="14846" width="14.140625" customWidth="1"/>
    <col min="14847" max="14847" width="15.42578125" customWidth="1"/>
    <col min="14848" max="14848" width="13.5703125" customWidth="1"/>
    <col min="14849" max="14849" width="13.85546875" customWidth="1"/>
    <col min="14850" max="14850" width="13.140625" customWidth="1"/>
    <col min="14851" max="14851" width="14.85546875" bestFit="1" customWidth="1"/>
    <col min="14852" max="14852" width="2.7109375" customWidth="1"/>
    <col min="14853" max="14853" width="8.85546875"/>
    <col min="14854" max="14854" width="10.85546875" customWidth="1"/>
    <col min="14855" max="14855" width="7.85546875" customWidth="1"/>
    <col min="14856" max="14856" width="11.28515625" customWidth="1"/>
    <col min="14857" max="15097" width="8.85546875"/>
    <col min="15098" max="15098" width="11.5703125" customWidth="1"/>
    <col min="15099" max="15099" width="17" customWidth="1"/>
    <col min="15100" max="15100" width="8.85546875"/>
    <col min="15101" max="15101" width="2.85546875" customWidth="1"/>
    <col min="15102" max="15102" width="14.140625" customWidth="1"/>
    <col min="15103" max="15103" width="15.42578125" customWidth="1"/>
    <col min="15104" max="15104" width="13.5703125" customWidth="1"/>
    <col min="15105" max="15105" width="13.85546875" customWidth="1"/>
    <col min="15106" max="15106" width="13.140625" customWidth="1"/>
    <col min="15107" max="15107" width="14.85546875" bestFit="1" customWidth="1"/>
    <col min="15108" max="15108" width="2.7109375" customWidth="1"/>
    <col min="15109" max="15109" width="8.85546875"/>
    <col min="15110" max="15110" width="10.85546875" customWidth="1"/>
    <col min="15111" max="15111" width="7.85546875" customWidth="1"/>
    <col min="15112" max="15112" width="11.28515625" customWidth="1"/>
    <col min="15113" max="15353" width="8.85546875"/>
    <col min="15354" max="15354" width="11.5703125" customWidth="1"/>
    <col min="15355" max="15355" width="17" customWidth="1"/>
    <col min="15356" max="15356" width="8.85546875"/>
    <col min="15357" max="15357" width="2.85546875" customWidth="1"/>
    <col min="15358" max="15358" width="14.140625" customWidth="1"/>
    <col min="15359" max="15359" width="15.42578125" customWidth="1"/>
    <col min="15360" max="15360" width="13.5703125" customWidth="1"/>
    <col min="15361" max="15361" width="13.85546875" customWidth="1"/>
    <col min="15362" max="15362" width="13.140625" customWidth="1"/>
    <col min="15363" max="15363" width="14.85546875" bestFit="1" customWidth="1"/>
    <col min="15364" max="15364" width="2.7109375" customWidth="1"/>
    <col min="15365" max="15365" width="8.85546875"/>
    <col min="15366" max="15366" width="10.85546875" customWidth="1"/>
    <col min="15367" max="15367" width="7.85546875" customWidth="1"/>
    <col min="15368" max="15368" width="11.28515625" customWidth="1"/>
    <col min="15369" max="15609" width="8.85546875"/>
    <col min="15610" max="15610" width="11.5703125" customWidth="1"/>
    <col min="15611" max="15611" width="17" customWidth="1"/>
    <col min="15612" max="15612" width="8.85546875"/>
    <col min="15613" max="15613" width="2.85546875" customWidth="1"/>
    <col min="15614" max="15614" width="14.140625" customWidth="1"/>
    <col min="15615" max="15615" width="15.42578125" customWidth="1"/>
    <col min="15616" max="15616" width="13.5703125" customWidth="1"/>
    <col min="15617" max="15617" width="13.85546875" customWidth="1"/>
    <col min="15618" max="15618" width="13.140625" customWidth="1"/>
    <col min="15619" max="15619" width="14.85546875" bestFit="1" customWidth="1"/>
    <col min="15620" max="15620" width="2.7109375" customWidth="1"/>
    <col min="15621" max="15621" width="8.85546875"/>
    <col min="15622" max="15622" width="10.85546875" customWidth="1"/>
    <col min="15623" max="15623" width="7.85546875" customWidth="1"/>
    <col min="15624" max="15624" width="11.28515625" customWidth="1"/>
    <col min="15625" max="15865" width="8.85546875"/>
    <col min="15866" max="15866" width="11.5703125" customWidth="1"/>
    <col min="15867" max="15867" width="17" customWidth="1"/>
    <col min="15868" max="15868" width="8.85546875"/>
    <col min="15869" max="15869" width="2.85546875" customWidth="1"/>
    <col min="15870" max="15870" width="14.140625" customWidth="1"/>
    <col min="15871" max="15871" width="15.42578125" customWidth="1"/>
    <col min="15872" max="15872" width="13.5703125" customWidth="1"/>
    <col min="15873" max="15873" width="13.85546875" customWidth="1"/>
    <col min="15874" max="15874" width="13.140625" customWidth="1"/>
    <col min="15875" max="15875" width="14.85546875" bestFit="1" customWidth="1"/>
    <col min="15876" max="15876" width="2.7109375" customWidth="1"/>
    <col min="15877" max="15877" width="8.85546875"/>
    <col min="15878" max="15878" width="10.85546875" customWidth="1"/>
    <col min="15879" max="15879" width="7.85546875" customWidth="1"/>
    <col min="15880" max="15880" width="11.28515625" customWidth="1"/>
    <col min="15881" max="16121" width="8.85546875"/>
    <col min="16122" max="16122" width="11.5703125" customWidth="1"/>
    <col min="16123" max="16123" width="17" customWidth="1"/>
    <col min="16124" max="16124" width="8.85546875"/>
    <col min="16125" max="16125" width="2.85546875" customWidth="1"/>
    <col min="16126" max="16126" width="14.140625" customWidth="1"/>
    <col min="16127" max="16127" width="15.42578125" customWidth="1"/>
    <col min="16128" max="16128" width="13.5703125" customWidth="1"/>
    <col min="16129" max="16129" width="13.85546875" customWidth="1"/>
    <col min="16130" max="16130" width="13.140625" customWidth="1"/>
    <col min="16131" max="16131" width="14.85546875" bestFit="1" customWidth="1"/>
    <col min="16132" max="16132" width="2.7109375" customWidth="1"/>
    <col min="16133" max="16133" width="8.85546875"/>
    <col min="16134" max="16134" width="10.85546875" customWidth="1"/>
    <col min="16135" max="16135" width="7.85546875" customWidth="1"/>
    <col min="16136" max="16136" width="11.28515625" customWidth="1"/>
    <col min="16137" max="16384" width="8.85546875"/>
  </cols>
  <sheetData>
    <row r="1" spans="1:8" ht="23.25" x14ac:dyDescent="0.35">
      <c r="A1" s="65" t="s">
        <v>29</v>
      </c>
      <c r="B1" s="67"/>
      <c r="C1" s="69"/>
      <c r="D1" s="60"/>
      <c r="E1" s="60"/>
      <c r="F1" s="60"/>
      <c r="G1" s="60"/>
    </row>
    <row r="2" spans="1:8" ht="15" customHeight="1" x14ac:dyDescent="0.3">
      <c r="B2" s="67"/>
      <c r="C2" s="69"/>
      <c r="D2" s="60"/>
      <c r="E2" s="60"/>
      <c r="F2" s="60"/>
      <c r="G2" s="60"/>
    </row>
    <row r="3" spans="1:8" x14ac:dyDescent="0.25">
      <c r="A3" s="306" t="s">
        <v>308</v>
      </c>
    </row>
    <row r="4" spans="1:8" x14ac:dyDescent="0.25">
      <c r="A4" t="s">
        <v>455</v>
      </c>
    </row>
    <row r="5" spans="1:8" x14ac:dyDescent="0.25">
      <c r="A5" s="447" t="s">
        <v>456</v>
      </c>
      <c r="B5" s="447"/>
      <c r="C5" s="447"/>
      <c r="D5" s="447"/>
      <c r="E5" s="447"/>
      <c r="F5" s="447"/>
      <c r="G5" s="447"/>
      <c r="H5" s="447"/>
    </row>
    <row r="6" spans="1:8" x14ac:dyDescent="0.25">
      <c r="A6" s="447"/>
      <c r="B6" s="447"/>
      <c r="C6" s="447"/>
      <c r="D6" s="447"/>
      <c r="E6" s="447"/>
      <c r="F6" s="447"/>
      <c r="G6" s="447"/>
      <c r="H6" s="447"/>
    </row>
    <row r="7" spans="1:8" x14ac:dyDescent="0.25">
      <c r="A7" s="447"/>
      <c r="B7" s="447"/>
      <c r="C7" s="447"/>
      <c r="D7" s="447"/>
      <c r="E7" s="447"/>
      <c r="F7" s="447"/>
      <c r="G7" s="447"/>
      <c r="H7" s="447"/>
    </row>
    <row r="8" spans="1:8" x14ac:dyDescent="0.25">
      <c r="A8" s="447"/>
      <c r="B8" s="447"/>
      <c r="C8" s="447"/>
      <c r="D8" s="447"/>
      <c r="E8" s="447"/>
      <c r="F8" s="447"/>
      <c r="G8" s="447"/>
      <c r="H8" s="447"/>
    </row>
    <row r="9" spans="1:8" x14ac:dyDescent="0.25">
      <c r="A9" s="447"/>
      <c r="B9" s="447"/>
      <c r="C9" s="447"/>
      <c r="D9" s="447"/>
      <c r="E9" s="447"/>
      <c r="F9" s="447"/>
      <c r="G9" s="447"/>
      <c r="H9" s="447"/>
    </row>
    <row r="10" spans="1:8" x14ac:dyDescent="0.25">
      <c r="A10" s="447"/>
      <c r="B10" s="447"/>
      <c r="C10" s="447"/>
      <c r="D10" s="447"/>
      <c r="E10" s="447"/>
      <c r="F10" s="447"/>
      <c r="G10" s="447"/>
      <c r="H10" s="447"/>
    </row>
    <row r="11" spans="1:8" x14ac:dyDescent="0.25">
      <c r="A11" s="306" t="s">
        <v>309</v>
      </c>
    </row>
    <row r="12" spans="1:8" x14ac:dyDescent="0.25">
      <c r="A12" t="s">
        <v>457</v>
      </c>
      <c r="D12" s="232">
        <f>+'Eigen vermogenswaarde'!K65</f>
        <v>537093.15874999994</v>
      </c>
    </row>
    <row r="13" spans="1:8" x14ac:dyDescent="0.25">
      <c r="A13" t="s">
        <v>458</v>
      </c>
      <c r="D13" s="232">
        <f>AVERAGE(rendement!F23:H23)</f>
        <v>62500</v>
      </c>
    </row>
    <row r="14" spans="1:8" x14ac:dyDescent="0.25">
      <c r="A14" t="s">
        <v>459</v>
      </c>
      <c r="D14">
        <v>7</v>
      </c>
    </row>
    <row r="15" spans="1:8" x14ac:dyDescent="0.25">
      <c r="A15" t="s">
        <v>460</v>
      </c>
      <c r="D15" s="118">
        <f>+variabelen!E92</f>
        <v>7.5000000000000011E-2</v>
      </c>
    </row>
    <row r="16" spans="1:8" x14ac:dyDescent="0.25">
      <c r="A16" t="s">
        <v>544</v>
      </c>
      <c r="D16" s="54">
        <f>'Projectie vastgoed'!G10</f>
        <v>1652224.9963915041</v>
      </c>
    </row>
    <row r="18" spans="1:4" x14ac:dyDescent="0.25">
      <c r="A18" s="4" t="s">
        <v>461</v>
      </c>
      <c r="B18" s="4"/>
      <c r="C18" s="4"/>
      <c r="D18" s="233">
        <f>+D12+(D13*(1-(1+D15)^-D14)/D15)+D16</f>
        <v>2520355.7377266013</v>
      </c>
    </row>
    <row r="49" spans="8:8" x14ac:dyDescent="0.25">
      <c r="H49" s="273"/>
    </row>
  </sheetData>
  <mergeCells count="1">
    <mergeCell ref="A5:H10"/>
  </mergeCells>
  <pageMargins left="0.70866141732283472" right="0.70866141732283472" top="0.74803149606299213" bottom="0.74803149606299213" header="0.31496062992125984" footer="0.31496062992125984"/>
  <pageSetup paperSize="9" firstPageNumber="23" fitToHeight="0" orientation="portrait" useFirstPageNumber="1" r:id="rId1"/>
  <headerFooter>
    <oddHeader>&amp;LSisu BV&amp;CWaardering&amp;R&amp;D</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49"/>
  <sheetViews>
    <sheetView workbookViewId="0">
      <selection activeCell="E27" sqref="E27"/>
    </sheetView>
  </sheetViews>
  <sheetFormatPr defaultRowHeight="15" x14ac:dyDescent="0.25"/>
  <cols>
    <col min="1" max="1" width="8.5703125" customWidth="1"/>
    <col min="2" max="2" width="12.5703125" customWidth="1"/>
    <col min="3" max="3" width="16.140625" customWidth="1"/>
    <col min="4" max="4" width="14.140625" customWidth="1"/>
    <col min="5" max="7" width="9.7109375" bestFit="1" customWidth="1"/>
    <col min="8" max="8" width="8.7109375" bestFit="1" customWidth="1"/>
    <col min="9" max="11" width="9.7109375" bestFit="1" customWidth="1"/>
    <col min="12" max="12" width="8.28515625" bestFit="1" customWidth="1"/>
    <col min="13" max="249" width="8.85546875"/>
    <col min="250" max="250" width="11.5703125" customWidth="1"/>
    <col min="251" max="251" width="17" customWidth="1"/>
    <col min="252" max="252" width="8.85546875"/>
    <col min="253" max="253" width="2.85546875" customWidth="1"/>
    <col min="254" max="254" width="14.140625" customWidth="1"/>
    <col min="255" max="255" width="15.42578125" customWidth="1"/>
    <col min="256" max="256" width="13.5703125" customWidth="1"/>
    <col min="257" max="257" width="13.85546875" customWidth="1"/>
    <col min="258" max="258" width="13.140625" customWidth="1"/>
    <col min="259" max="259" width="14.85546875" bestFit="1" customWidth="1"/>
    <col min="260" max="260" width="2.7109375" customWidth="1"/>
    <col min="261" max="261" width="8.85546875"/>
    <col min="262" max="262" width="10.85546875" customWidth="1"/>
    <col min="263" max="263" width="7.85546875" customWidth="1"/>
    <col min="264" max="264" width="11.28515625" customWidth="1"/>
    <col min="265" max="505" width="8.85546875"/>
    <col min="506" max="506" width="11.5703125" customWidth="1"/>
    <col min="507" max="507" width="17" customWidth="1"/>
    <col min="508" max="508" width="8.85546875"/>
    <col min="509" max="509" width="2.85546875" customWidth="1"/>
    <col min="510" max="510" width="14.140625" customWidth="1"/>
    <col min="511" max="511" width="15.42578125" customWidth="1"/>
    <col min="512" max="512" width="13.5703125" customWidth="1"/>
    <col min="513" max="513" width="13.85546875" customWidth="1"/>
    <col min="514" max="514" width="13.140625" customWidth="1"/>
    <col min="515" max="515" width="14.85546875" bestFit="1" customWidth="1"/>
    <col min="516" max="516" width="2.7109375" customWidth="1"/>
    <col min="517" max="517" width="8.85546875"/>
    <col min="518" max="518" width="10.85546875" customWidth="1"/>
    <col min="519" max="519" width="7.85546875" customWidth="1"/>
    <col min="520" max="520" width="11.28515625" customWidth="1"/>
    <col min="521" max="761" width="8.85546875"/>
    <col min="762" max="762" width="11.5703125" customWidth="1"/>
    <col min="763" max="763" width="17" customWidth="1"/>
    <col min="764" max="764" width="8.85546875"/>
    <col min="765" max="765" width="2.85546875" customWidth="1"/>
    <col min="766" max="766" width="14.140625" customWidth="1"/>
    <col min="767" max="767" width="15.42578125" customWidth="1"/>
    <col min="768" max="768" width="13.5703125" customWidth="1"/>
    <col min="769" max="769" width="13.85546875" customWidth="1"/>
    <col min="770" max="770" width="13.140625" customWidth="1"/>
    <col min="771" max="771" width="14.85546875" bestFit="1" customWidth="1"/>
    <col min="772" max="772" width="2.7109375" customWidth="1"/>
    <col min="773" max="773" width="8.85546875"/>
    <col min="774" max="774" width="10.85546875" customWidth="1"/>
    <col min="775" max="775" width="7.85546875" customWidth="1"/>
    <col min="776" max="776" width="11.28515625" customWidth="1"/>
    <col min="777" max="1017" width="8.85546875"/>
    <col min="1018" max="1018" width="11.5703125" customWidth="1"/>
    <col min="1019" max="1019" width="17" customWidth="1"/>
    <col min="1020" max="1020" width="8.85546875"/>
    <col min="1021" max="1021" width="2.85546875" customWidth="1"/>
    <col min="1022" max="1022" width="14.140625" customWidth="1"/>
    <col min="1023" max="1023" width="15.42578125" customWidth="1"/>
    <col min="1024" max="1024" width="13.5703125" customWidth="1"/>
    <col min="1025" max="1025" width="13.85546875" customWidth="1"/>
    <col min="1026" max="1026" width="13.140625" customWidth="1"/>
    <col min="1027" max="1027" width="14.85546875" bestFit="1" customWidth="1"/>
    <col min="1028" max="1028" width="2.7109375" customWidth="1"/>
    <col min="1029" max="1029" width="8.85546875"/>
    <col min="1030" max="1030" width="10.85546875" customWidth="1"/>
    <col min="1031" max="1031" width="7.85546875" customWidth="1"/>
    <col min="1032" max="1032" width="11.28515625" customWidth="1"/>
    <col min="1033" max="1273" width="8.85546875"/>
    <col min="1274" max="1274" width="11.5703125" customWidth="1"/>
    <col min="1275" max="1275" width="17" customWidth="1"/>
    <col min="1276" max="1276" width="8.85546875"/>
    <col min="1277" max="1277" width="2.85546875" customWidth="1"/>
    <col min="1278" max="1278" width="14.140625" customWidth="1"/>
    <col min="1279" max="1279" width="15.42578125" customWidth="1"/>
    <col min="1280" max="1280" width="13.5703125" customWidth="1"/>
    <col min="1281" max="1281" width="13.85546875" customWidth="1"/>
    <col min="1282" max="1282" width="13.140625" customWidth="1"/>
    <col min="1283" max="1283" width="14.85546875" bestFit="1" customWidth="1"/>
    <col min="1284" max="1284" width="2.7109375" customWidth="1"/>
    <col min="1285" max="1285" width="8.85546875"/>
    <col min="1286" max="1286" width="10.85546875" customWidth="1"/>
    <col min="1287" max="1287" width="7.85546875" customWidth="1"/>
    <col min="1288" max="1288" width="11.28515625" customWidth="1"/>
    <col min="1289" max="1529" width="8.85546875"/>
    <col min="1530" max="1530" width="11.5703125" customWidth="1"/>
    <col min="1531" max="1531" width="17" customWidth="1"/>
    <col min="1532" max="1532" width="8.85546875"/>
    <col min="1533" max="1533" width="2.85546875" customWidth="1"/>
    <col min="1534" max="1534" width="14.140625" customWidth="1"/>
    <col min="1535" max="1535" width="15.42578125" customWidth="1"/>
    <col min="1536" max="1536" width="13.5703125" customWidth="1"/>
    <col min="1537" max="1537" width="13.85546875" customWidth="1"/>
    <col min="1538" max="1538" width="13.140625" customWidth="1"/>
    <col min="1539" max="1539" width="14.85546875" bestFit="1" customWidth="1"/>
    <col min="1540" max="1540" width="2.7109375" customWidth="1"/>
    <col min="1541" max="1541" width="8.85546875"/>
    <col min="1542" max="1542" width="10.85546875" customWidth="1"/>
    <col min="1543" max="1543" width="7.85546875" customWidth="1"/>
    <col min="1544" max="1544" width="11.28515625" customWidth="1"/>
    <col min="1545" max="1785" width="8.85546875"/>
    <col min="1786" max="1786" width="11.5703125" customWidth="1"/>
    <col min="1787" max="1787" width="17" customWidth="1"/>
    <col min="1788" max="1788" width="8.85546875"/>
    <col min="1789" max="1789" width="2.85546875" customWidth="1"/>
    <col min="1790" max="1790" width="14.140625" customWidth="1"/>
    <col min="1791" max="1791" width="15.42578125" customWidth="1"/>
    <col min="1792" max="1792" width="13.5703125" customWidth="1"/>
    <col min="1793" max="1793" width="13.85546875" customWidth="1"/>
    <col min="1794" max="1794" width="13.140625" customWidth="1"/>
    <col min="1795" max="1795" width="14.85546875" bestFit="1" customWidth="1"/>
    <col min="1796" max="1796" width="2.7109375" customWidth="1"/>
    <col min="1797" max="1797" width="8.85546875"/>
    <col min="1798" max="1798" width="10.85546875" customWidth="1"/>
    <col min="1799" max="1799" width="7.85546875" customWidth="1"/>
    <col min="1800" max="1800" width="11.28515625" customWidth="1"/>
    <col min="1801" max="2041" width="8.85546875"/>
    <col min="2042" max="2042" width="11.5703125" customWidth="1"/>
    <col min="2043" max="2043" width="17" customWidth="1"/>
    <col min="2044" max="2044" width="8.85546875"/>
    <col min="2045" max="2045" width="2.85546875" customWidth="1"/>
    <col min="2046" max="2046" width="14.140625" customWidth="1"/>
    <col min="2047" max="2047" width="15.42578125" customWidth="1"/>
    <col min="2048" max="2048" width="13.5703125" customWidth="1"/>
    <col min="2049" max="2049" width="13.85546875" customWidth="1"/>
    <col min="2050" max="2050" width="13.140625" customWidth="1"/>
    <col min="2051" max="2051" width="14.85546875" bestFit="1" customWidth="1"/>
    <col min="2052" max="2052" width="2.7109375" customWidth="1"/>
    <col min="2053" max="2053" width="8.85546875"/>
    <col min="2054" max="2054" width="10.85546875" customWidth="1"/>
    <col min="2055" max="2055" width="7.85546875" customWidth="1"/>
    <col min="2056" max="2056" width="11.28515625" customWidth="1"/>
    <col min="2057" max="2297" width="8.85546875"/>
    <col min="2298" max="2298" width="11.5703125" customWidth="1"/>
    <col min="2299" max="2299" width="17" customWidth="1"/>
    <col min="2300" max="2300" width="8.85546875"/>
    <col min="2301" max="2301" width="2.85546875" customWidth="1"/>
    <col min="2302" max="2302" width="14.140625" customWidth="1"/>
    <col min="2303" max="2303" width="15.42578125" customWidth="1"/>
    <col min="2304" max="2304" width="13.5703125" customWidth="1"/>
    <col min="2305" max="2305" width="13.85546875" customWidth="1"/>
    <col min="2306" max="2306" width="13.140625" customWidth="1"/>
    <col min="2307" max="2307" width="14.85546875" bestFit="1" customWidth="1"/>
    <col min="2308" max="2308" width="2.7109375" customWidth="1"/>
    <col min="2309" max="2309" width="8.85546875"/>
    <col min="2310" max="2310" width="10.85546875" customWidth="1"/>
    <col min="2311" max="2311" width="7.85546875" customWidth="1"/>
    <col min="2312" max="2312" width="11.28515625" customWidth="1"/>
    <col min="2313" max="2553" width="8.85546875"/>
    <col min="2554" max="2554" width="11.5703125" customWidth="1"/>
    <col min="2555" max="2555" width="17" customWidth="1"/>
    <col min="2556" max="2556" width="8.85546875"/>
    <col min="2557" max="2557" width="2.85546875" customWidth="1"/>
    <col min="2558" max="2558" width="14.140625" customWidth="1"/>
    <col min="2559" max="2559" width="15.42578125" customWidth="1"/>
    <col min="2560" max="2560" width="13.5703125" customWidth="1"/>
    <col min="2561" max="2561" width="13.85546875" customWidth="1"/>
    <col min="2562" max="2562" width="13.140625" customWidth="1"/>
    <col min="2563" max="2563" width="14.85546875" bestFit="1" customWidth="1"/>
    <col min="2564" max="2564" width="2.7109375" customWidth="1"/>
    <col min="2565" max="2565" width="8.85546875"/>
    <col min="2566" max="2566" width="10.85546875" customWidth="1"/>
    <col min="2567" max="2567" width="7.85546875" customWidth="1"/>
    <col min="2568" max="2568" width="11.28515625" customWidth="1"/>
    <col min="2569" max="2809" width="8.85546875"/>
    <col min="2810" max="2810" width="11.5703125" customWidth="1"/>
    <col min="2811" max="2811" width="17" customWidth="1"/>
    <col min="2812" max="2812" width="8.85546875"/>
    <col min="2813" max="2813" width="2.85546875" customWidth="1"/>
    <col min="2814" max="2814" width="14.140625" customWidth="1"/>
    <col min="2815" max="2815" width="15.42578125" customWidth="1"/>
    <col min="2816" max="2816" width="13.5703125" customWidth="1"/>
    <col min="2817" max="2817" width="13.85546875" customWidth="1"/>
    <col min="2818" max="2818" width="13.140625" customWidth="1"/>
    <col min="2819" max="2819" width="14.85546875" bestFit="1" customWidth="1"/>
    <col min="2820" max="2820" width="2.7109375" customWidth="1"/>
    <col min="2821" max="2821" width="8.85546875"/>
    <col min="2822" max="2822" width="10.85546875" customWidth="1"/>
    <col min="2823" max="2823" width="7.85546875" customWidth="1"/>
    <col min="2824" max="2824" width="11.28515625" customWidth="1"/>
    <col min="2825" max="3065" width="8.85546875"/>
    <col min="3066" max="3066" width="11.5703125" customWidth="1"/>
    <col min="3067" max="3067" width="17" customWidth="1"/>
    <col min="3068" max="3068" width="8.85546875"/>
    <col min="3069" max="3069" width="2.85546875" customWidth="1"/>
    <col min="3070" max="3070" width="14.140625" customWidth="1"/>
    <col min="3071" max="3071" width="15.42578125" customWidth="1"/>
    <col min="3072" max="3072" width="13.5703125" customWidth="1"/>
    <col min="3073" max="3073" width="13.85546875" customWidth="1"/>
    <col min="3074" max="3074" width="13.140625" customWidth="1"/>
    <col min="3075" max="3075" width="14.85546875" bestFit="1" customWidth="1"/>
    <col min="3076" max="3076" width="2.7109375" customWidth="1"/>
    <col min="3077" max="3077" width="8.85546875"/>
    <col min="3078" max="3078" width="10.85546875" customWidth="1"/>
    <col min="3079" max="3079" width="7.85546875" customWidth="1"/>
    <col min="3080" max="3080" width="11.28515625" customWidth="1"/>
    <col min="3081" max="3321" width="8.85546875"/>
    <col min="3322" max="3322" width="11.5703125" customWidth="1"/>
    <col min="3323" max="3323" width="17" customWidth="1"/>
    <col min="3324" max="3324" width="8.85546875"/>
    <col min="3325" max="3325" width="2.85546875" customWidth="1"/>
    <col min="3326" max="3326" width="14.140625" customWidth="1"/>
    <col min="3327" max="3327" width="15.42578125" customWidth="1"/>
    <col min="3328" max="3328" width="13.5703125" customWidth="1"/>
    <col min="3329" max="3329" width="13.85546875" customWidth="1"/>
    <col min="3330" max="3330" width="13.140625" customWidth="1"/>
    <col min="3331" max="3331" width="14.85546875" bestFit="1" customWidth="1"/>
    <col min="3332" max="3332" width="2.7109375" customWidth="1"/>
    <col min="3333" max="3333" width="8.85546875"/>
    <col min="3334" max="3334" width="10.85546875" customWidth="1"/>
    <col min="3335" max="3335" width="7.85546875" customWidth="1"/>
    <col min="3336" max="3336" width="11.28515625" customWidth="1"/>
    <col min="3337" max="3577" width="8.85546875"/>
    <col min="3578" max="3578" width="11.5703125" customWidth="1"/>
    <col min="3579" max="3579" width="17" customWidth="1"/>
    <col min="3580" max="3580" width="8.85546875"/>
    <col min="3581" max="3581" width="2.85546875" customWidth="1"/>
    <col min="3582" max="3582" width="14.140625" customWidth="1"/>
    <col min="3583" max="3583" width="15.42578125" customWidth="1"/>
    <col min="3584" max="3584" width="13.5703125" customWidth="1"/>
    <col min="3585" max="3585" width="13.85546875" customWidth="1"/>
    <col min="3586" max="3586" width="13.140625" customWidth="1"/>
    <col min="3587" max="3587" width="14.85546875" bestFit="1" customWidth="1"/>
    <col min="3588" max="3588" width="2.7109375" customWidth="1"/>
    <col min="3589" max="3589" width="8.85546875"/>
    <col min="3590" max="3590" width="10.85546875" customWidth="1"/>
    <col min="3591" max="3591" width="7.85546875" customWidth="1"/>
    <col min="3592" max="3592" width="11.28515625" customWidth="1"/>
    <col min="3593" max="3833" width="8.85546875"/>
    <col min="3834" max="3834" width="11.5703125" customWidth="1"/>
    <col min="3835" max="3835" width="17" customWidth="1"/>
    <col min="3836" max="3836" width="8.85546875"/>
    <col min="3837" max="3837" width="2.85546875" customWidth="1"/>
    <col min="3838" max="3838" width="14.140625" customWidth="1"/>
    <col min="3839" max="3839" width="15.42578125" customWidth="1"/>
    <col min="3840" max="3840" width="13.5703125" customWidth="1"/>
    <col min="3841" max="3841" width="13.85546875" customWidth="1"/>
    <col min="3842" max="3842" width="13.140625" customWidth="1"/>
    <col min="3843" max="3843" width="14.85546875" bestFit="1" customWidth="1"/>
    <col min="3844" max="3844" width="2.7109375" customWidth="1"/>
    <col min="3845" max="3845" width="8.85546875"/>
    <col min="3846" max="3846" width="10.85546875" customWidth="1"/>
    <col min="3847" max="3847" width="7.85546875" customWidth="1"/>
    <col min="3848" max="3848" width="11.28515625" customWidth="1"/>
    <col min="3849" max="4089" width="8.85546875"/>
    <col min="4090" max="4090" width="11.5703125" customWidth="1"/>
    <col min="4091" max="4091" width="17" customWidth="1"/>
    <col min="4092" max="4092" width="8.85546875"/>
    <col min="4093" max="4093" width="2.85546875" customWidth="1"/>
    <col min="4094" max="4094" width="14.140625" customWidth="1"/>
    <col min="4095" max="4095" width="15.42578125" customWidth="1"/>
    <col min="4096" max="4096" width="13.5703125" customWidth="1"/>
    <col min="4097" max="4097" width="13.85546875" customWidth="1"/>
    <col min="4098" max="4098" width="13.140625" customWidth="1"/>
    <col min="4099" max="4099" width="14.85546875" bestFit="1" customWidth="1"/>
    <col min="4100" max="4100" width="2.7109375" customWidth="1"/>
    <col min="4101" max="4101" width="8.85546875"/>
    <col min="4102" max="4102" width="10.85546875" customWidth="1"/>
    <col min="4103" max="4103" width="7.85546875" customWidth="1"/>
    <col min="4104" max="4104" width="11.28515625" customWidth="1"/>
    <col min="4105" max="4345" width="8.85546875"/>
    <col min="4346" max="4346" width="11.5703125" customWidth="1"/>
    <col min="4347" max="4347" width="17" customWidth="1"/>
    <col min="4348" max="4348" width="8.85546875"/>
    <col min="4349" max="4349" width="2.85546875" customWidth="1"/>
    <col min="4350" max="4350" width="14.140625" customWidth="1"/>
    <col min="4351" max="4351" width="15.42578125" customWidth="1"/>
    <col min="4352" max="4352" width="13.5703125" customWidth="1"/>
    <col min="4353" max="4353" width="13.85546875" customWidth="1"/>
    <col min="4354" max="4354" width="13.140625" customWidth="1"/>
    <col min="4355" max="4355" width="14.85546875" bestFit="1" customWidth="1"/>
    <col min="4356" max="4356" width="2.7109375" customWidth="1"/>
    <col min="4357" max="4357" width="8.85546875"/>
    <col min="4358" max="4358" width="10.85546875" customWidth="1"/>
    <col min="4359" max="4359" width="7.85546875" customWidth="1"/>
    <col min="4360" max="4360" width="11.28515625" customWidth="1"/>
    <col min="4361" max="4601" width="8.85546875"/>
    <col min="4602" max="4602" width="11.5703125" customWidth="1"/>
    <col min="4603" max="4603" width="17" customWidth="1"/>
    <col min="4604" max="4604" width="8.85546875"/>
    <col min="4605" max="4605" width="2.85546875" customWidth="1"/>
    <col min="4606" max="4606" width="14.140625" customWidth="1"/>
    <col min="4607" max="4607" width="15.42578125" customWidth="1"/>
    <col min="4608" max="4608" width="13.5703125" customWidth="1"/>
    <col min="4609" max="4609" width="13.85546875" customWidth="1"/>
    <col min="4610" max="4610" width="13.140625" customWidth="1"/>
    <col min="4611" max="4611" width="14.85546875" bestFit="1" customWidth="1"/>
    <col min="4612" max="4612" width="2.7109375" customWidth="1"/>
    <col min="4613" max="4613" width="8.85546875"/>
    <col min="4614" max="4614" width="10.85546875" customWidth="1"/>
    <col min="4615" max="4615" width="7.85546875" customWidth="1"/>
    <col min="4616" max="4616" width="11.28515625" customWidth="1"/>
    <col min="4617" max="4857" width="8.85546875"/>
    <col min="4858" max="4858" width="11.5703125" customWidth="1"/>
    <col min="4859" max="4859" width="17" customWidth="1"/>
    <col min="4860" max="4860" width="8.85546875"/>
    <col min="4861" max="4861" width="2.85546875" customWidth="1"/>
    <col min="4862" max="4862" width="14.140625" customWidth="1"/>
    <col min="4863" max="4863" width="15.42578125" customWidth="1"/>
    <col min="4864" max="4864" width="13.5703125" customWidth="1"/>
    <col min="4865" max="4865" width="13.85546875" customWidth="1"/>
    <col min="4866" max="4866" width="13.140625" customWidth="1"/>
    <col min="4867" max="4867" width="14.85546875" bestFit="1" customWidth="1"/>
    <col min="4868" max="4868" width="2.7109375" customWidth="1"/>
    <col min="4869" max="4869" width="8.85546875"/>
    <col min="4870" max="4870" width="10.85546875" customWidth="1"/>
    <col min="4871" max="4871" width="7.85546875" customWidth="1"/>
    <col min="4872" max="4872" width="11.28515625" customWidth="1"/>
    <col min="4873" max="5113" width="8.85546875"/>
    <col min="5114" max="5114" width="11.5703125" customWidth="1"/>
    <col min="5115" max="5115" width="17" customWidth="1"/>
    <col min="5116" max="5116" width="8.85546875"/>
    <col min="5117" max="5117" width="2.85546875" customWidth="1"/>
    <col min="5118" max="5118" width="14.140625" customWidth="1"/>
    <col min="5119" max="5119" width="15.42578125" customWidth="1"/>
    <col min="5120" max="5120" width="13.5703125" customWidth="1"/>
    <col min="5121" max="5121" width="13.85546875" customWidth="1"/>
    <col min="5122" max="5122" width="13.140625" customWidth="1"/>
    <col min="5123" max="5123" width="14.85546875" bestFit="1" customWidth="1"/>
    <col min="5124" max="5124" width="2.7109375" customWidth="1"/>
    <col min="5125" max="5125" width="8.85546875"/>
    <col min="5126" max="5126" width="10.85546875" customWidth="1"/>
    <col min="5127" max="5127" width="7.85546875" customWidth="1"/>
    <col min="5128" max="5128" width="11.28515625" customWidth="1"/>
    <col min="5129" max="5369" width="8.85546875"/>
    <col min="5370" max="5370" width="11.5703125" customWidth="1"/>
    <col min="5371" max="5371" width="17" customWidth="1"/>
    <col min="5372" max="5372" width="8.85546875"/>
    <col min="5373" max="5373" width="2.85546875" customWidth="1"/>
    <col min="5374" max="5374" width="14.140625" customWidth="1"/>
    <col min="5375" max="5375" width="15.42578125" customWidth="1"/>
    <col min="5376" max="5376" width="13.5703125" customWidth="1"/>
    <col min="5377" max="5377" width="13.85546875" customWidth="1"/>
    <col min="5378" max="5378" width="13.140625" customWidth="1"/>
    <col min="5379" max="5379" width="14.85546875" bestFit="1" customWidth="1"/>
    <col min="5380" max="5380" width="2.7109375" customWidth="1"/>
    <col min="5381" max="5381" width="8.85546875"/>
    <col min="5382" max="5382" width="10.85546875" customWidth="1"/>
    <col min="5383" max="5383" width="7.85546875" customWidth="1"/>
    <col min="5384" max="5384" width="11.28515625" customWidth="1"/>
    <col min="5385" max="5625" width="8.85546875"/>
    <col min="5626" max="5626" width="11.5703125" customWidth="1"/>
    <col min="5627" max="5627" width="17" customWidth="1"/>
    <col min="5628" max="5628" width="8.85546875"/>
    <col min="5629" max="5629" width="2.85546875" customWidth="1"/>
    <col min="5630" max="5630" width="14.140625" customWidth="1"/>
    <col min="5631" max="5631" width="15.42578125" customWidth="1"/>
    <col min="5632" max="5632" width="13.5703125" customWidth="1"/>
    <col min="5633" max="5633" width="13.85546875" customWidth="1"/>
    <col min="5634" max="5634" width="13.140625" customWidth="1"/>
    <col min="5635" max="5635" width="14.85546875" bestFit="1" customWidth="1"/>
    <col min="5636" max="5636" width="2.7109375" customWidth="1"/>
    <col min="5637" max="5637" width="8.85546875"/>
    <col min="5638" max="5638" width="10.85546875" customWidth="1"/>
    <col min="5639" max="5639" width="7.85546875" customWidth="1"/>
    <col min="5640" max="5640" width="11.28515625" customWidth="1"/>
    <col min="5641" max="5881" width="8.85546875"/>
    <col min="5882" max="5882" width="11.5703125" customWidth="1"/>
    <col min="5883" max="5883" width="17" customWidth="1"/>
    <col min="5884" max="5884" width="8.85546875"/>
    <col min="5885" max="5885" width="2.85546875" customWidth="1"/>
    <col min="5886" max="5886" width="14.140625" customWidth="1"/>
    <col min="5887" max="5887" width="15.42578125" customWidth="1"/>
    <col min="5888" max="5888" width="13.5703125" customWidth="1"/>
    <col min="5889" max="5889" width="13.85546875" customWidth="1"/>
    <col min="5890" max="5890" width="13.140625" customWidth="1"/>
    <col min="5891" max="5891" width="14.85546875" bestFit="1" customWidth="1"/>
    <col min="5892" max="5892" width="2.7109375" customWidth="1"/>
    <col min="5893" max="5893" width="8.85546875"/>
    <col min="5894" max="5894" width="10.85546875" customWidth="1"/>
    <col min="5895" max="5895" width="7.85546875" customWidth="1"/>
    <col min="5896" max="5896" width="11.28515625" customWidth="1"/>
    <col min="5897" max="6137" width="8.85546875"/>
    <col min="6138" max="6138" width="11.5703125" customWidth="1"/>
    <col min="6139" max="6139" width="17" customWidth="1"/>
    <col min="6140" max="6140" width="8.85546875"/>
    <col min="6141" max="6141" width="2.85546875" customWidth="1"/>
    <col min="6142" max="6142" width="14.140625" customWidth="1"/>
    <col min="6143" max="6143" width="15.42578125" customWidth="1"/>
    <col min="6144" max="6144" width="13.5703125" customWidth="1"/>
    <col min="6145" max="6145" width="13.85546875" customWidth="1"/>
    <col min="6146" max="6146" width="13.140625" customWidth="1"/>
    <col min="6147" max="6147" width="14.85546875" bestFit="1" customWidth="1"/>
    <col min="6148" max="6148" width="2.7109375" customWidth="1"/>
    <col min="6149" max="6149" width="8.85546875"/>
    <col min="6150" max="6150" width="10.85546875" customWidth="1"/>
    <col min="6151" max="6151" width="7.85546875" customWidth="1"/>
    <col min="6152" max="6152" width="11.28515625" customWidth="1"/>
    <col min="6153" max="6393" width="8.85546875"/>
    <col min="6394" max="6394" width="11.5703125" customWidth="1"/>
    <col min="6395" max="6395" width="17" customWidth="1"/>
    <col min="6396" max="6396" width="8.85546875"/>
    <col min="6397" max="6397" width="2.85546875" customWidth="1"/>
    <col min="6398" max="6398" width="14.140625" customWidth="1"/>
    <col min="6399" max="6399" width="15.42578125" customWidth="1"/>
    <col min="6400" max="6400" width="13.5703125" customWidth="1"/>
    <col min="6401" max="6401" width="13.85546875" customWidth="1"/>
    <col min="6402" max="6402" width="13.140625" customWidth="1"/>
    <col min="6403" max="6403" width="14.85546875" bestFit="1" customWidth="1"/>
    <col min="6404" max="6404" width="2.7109375" customWidth="1"/>
    <col min="6405" max="6405" width="8.85546875"/>
    <col min="6406" max="6406" width="10.85546875" customWidth="1"/>
    <col min="6407" max="6407" width="7.85546875" customWidth="1"/>
    <col min="6408" max="6408" width="11.28515625" customWidth="1"/>
    <col min="6409" max="6649" width="8.85546875"/>
    <col min="6650" max="6650" width="11.5703125" customWidth="1"/>
    <col min="6651" max="6651" width="17" customWidth="1"/>
    <col min="6652" max="6652" width="8.85546875"/>
    <col min="6653" max="6653" width="2.85546875" customWidth="1"/>
    <col min="6654" max="6654" width="14.140625" customWidth="1"/>
    <col min="6655" max="6655" width="15.42578125" customWidth="1"/>
    <col min="6656" max="6656" width="13.5703125" customWidth="1"/>
    <col min="6657" max="6657" width="13.85546875" customWidth="1"/>
    <col min="6658" max="6658" width="13.140625" customWidth="1"/>
    <col min="6659" max="6659" width="14.85546875" bestFit="1" customWidth="1"/>
    <col min="6660" max="6660" width="2.7109375" customWidth="1"/>
    <col min="6661" max="6661" width="8.85546875"/>
    <col min="6662" max="6662" width="10.85546875" customWidth="1"/>
    <col min="6663" max="6663" width="7.85546875" customWidth="1"/>
    <col min="6664" max="6664" width="11.28515625" customWidth="1"/>
    <col min="6665" max="6905" width="8.85546875"/>
    <col min="6906" max="6906" width="11.5703125" customWidth="1"/>
    <col min="6907" max="6907" width="17" customWidth="1"/>
    <col min="6908" max="6908" width="8.85546875"/>
    <col min="6909" max="6909" width="2.85546875" customWidth="1"/>
    <col min="6910" max="6910" width="14.140625" customWidth="1"/>
    <col min="6911" max="6911" width="15.42578125" customWidth="1"/>
    <col min="6912" max="6912" width="13.5703125" customWidth="1"/>
    <col min="6913" max="6913" width="13.85546875" customWidth="1"/>
    <col min="6914" max="6914" width="13.140625" customWidth="1"/>
    <col min="6915" max="6915" width="14.85546875" bestFit="1" customWidth="1"/>
    <col min="6916" max="6916" width="2.7109375" customWidth="1"/>
    <col min="6917" max="6917" width="8.85546875"/>
    <col min="6918" max="6918" width="10.85546875" customWidth="1"/>
    <col min="6919" max="6919" width="7.85546875" customWidth="1"/>
    <col min="6920" max="6920" width="11.28515625" customWidth="1"/>
    <col min="6921" max="7161" width="8.85546875"/>
    <col min="7162" max="7162" width="11.5703125" customWidth="1"/>
    <col min="7163" max="7163" width="17" customWidth="1"/>
    <col min="7164" max="7164" width="8.85546875"/>
    <col min="7165" max="7165" width="2.85546875" customWidth="1"/>
    <col min="7166" max="7166" width="14.140625" customWidth="1"/>
    <col min="7167" max="7167" width="15.42578125" customWidth="1"/>
    <col min="7168" max="7168" width="13.5703125" customWidth="1"/>
    <col min="7169" max="7169" width="13.85546875" customWidth="1"/>
    <col min="7170" max="7170" width="13.140625" customWidth="1"/>
    <col min="7171" max="7171" width="14.85546875" bestFit="1" customWidth="1"/>
    <col min="7172" max="7172" width="2.7109375" customWidth="1"/>
    <col min="7173" max="7173" width="8.85546875"/>
    <col min="7174" max="7174" width="10.85546875" customWidth="1"/>
    <col min="7175" max="7175" width="7.85546875" customWidth="1"/>
    <col min="7176" max="7176" width="11.28515625" customWidth="1"/>
    <col min="7177" max="7417" width="8.85546875"/>
    <col min="7418" max="7418" width="11.5703125" customWidth="1"/>
    <col min="7419" max="7419" width="17" customWidth="1"/>
    <col min="7420" max="7420" width="8.85546875"/>
    <col min="7421" max="7421" width="2.85546875" customWidth="1"/>
    <col min="7422" max="7422" width="14.140625" customWidth="1"/>
    <col min="7423" max="7423" width="15.42578125" customWidth="1"/>
    <col min="7424" max="7424" width="13.5703125" customWidth="1"/>
    <col min="7425" max="7425" width="13.85546875" customWidth="1"/>
    <col min="7426" max="7426" width="13.140625" customWidth="1"/>
    <col min="7427" max="7427" width="14.85546875" bestFit="1" customWidth="1"/>
    <col min="7428" max="7428" width="2.7109375" customWidth="1"/>
    <col min="7429" max="7429" width="8.85546875"/>
    <col min="7430" max="7430" width="10.85546875" customWidth="1"/>
    <col min="7431" max="7431" width="7.85546875" customWidth="1"/>
    <col min="7432" max="7432" width="11.28515625" customWidth="1"/>
    <col min="7433" max="7673" width="8.85546875"/>
    <col min="7674" max="7674" width="11.5703125" customWidth="1"/>
    <col min="7675" max="7675" width="17" customWidth="1"/>
    <col min="7676" max="7676" width="8.85546875"/>
    <col min="7677" max="7677" width="2.85546875" customWidth="1"/>
    <col min="7678" max="7678" width="14.140625" customWidth="1"/>
    <col min="7679" max="7679" width="15.42578125" customWidth="1"/>
    <col min="7680" max="7680" width="13.5703125" customWidth="1"/>
    <col min="7681" max="7681" width="13.85546875" customWidth="1"/>
    <col min="7682" max="7682" width="13.140625" customWidth="1"/>
    <col min="7683" max="7683" width="14.85546875" bestFit="1" customWidth="1"/>
    <col min="7684" max="7684" width="2.7109375" customWidth="1"/>
    <col min="7685" max="7685" width="8.85546875"/>
    <col min="7686" max="7686" width="10.85546875" customWidth="1"/>
    <col min="7687" max="7687" width="7.85546875" customWidth="1"/>
    <col min="7688" max="7688" width="11.28515625" customWidth="1"/>
    <col min="7689" max="7929" width="8.85546875"/>
    <col min="7930" max="7930" width="11.5703125" customWidth="1"/>
    <col min="7931" max="7931" width="17" customWidth="1"/>
    <col min="7932" max="7932" width="8.85546875"/>
    <col min="7933" max="7933" width="2.85546875" customWidth="1"/>
    <col min="7934" max="7934" width="14.140625" customWidth="1"/>
    <col min="7935" max="7935" width="15.42578125" customWidth="1"/>
    <col min="7936" max="7936" width="13.5703125" customWidth="1"/>
    <col min="7937" max="7937" width="13.85546875" customWidth="1"/>
    <col min="7938" max="7938" width="13.140625" customWidth="1"/>
    <col min="7939" max="7939" width="14.85546875" bestFit="1" customWidth="1"/>
    <col min="7940" max="7940" width="2.7109375" customWidth="1"/>
    <col min="7941" max="7941" width="8.85546875"/>
    <col min="7942" max="7942" width="10.85546875" customWidth="1"/>
    <col min="7943" max="7943" width="7.85546875" customWidth="1"/>
    <col min="7944" max="7944" width="11.28515625" customWidth="1"/>
    <col min="7945" max="8185" width="8.85546875"/>
    <col min="8186" max="8186" width="11.5703125" customWidth="1"/>
    <col min="8187" max="8187" width="17" customWidth="1"/>
    <col min="8188" max="8188" width="8.85546875"/>
    <col min="8189" max="8189" width="2.85546875" customWidth="1"/>
    <col min="8190" max="8190" width="14.140625" customWidth="1"/>
    <col min="8191" max="8191" width="15.42578125" customWidth="1"/>
    <col min="8192" max="8192" width="13.5703125" customWidth="1"/>
    <col min="8193" max="8193" width="13.85546875" customWidth="1"/>
    <col min="8194" max="8194" width="13.140625" customWidth="1"/>
    <col min="8195" max="8195" width="14.85546875" bestFit="1" customWidth="1"/>
    <col min="8196" max="8196" width="2.7109375" customWidth="1"/>
    <col min="8197" max="8197" width="8.85546875"/>
    <col min="8198" max="8198" width="10.85546875" customWidth="1"/>
    <col min="8199" max="8199" width="7.85546875" customWidth="1"/>
    <col min="8200" max="8200" width="11.28515625" customWidth="1"/>
    <col min="8201" max="8441" width="8.85546875"/>
    <col min="8442" max="8442" width="11.5703125" customWidth="1"/>
    <col min="8443" max="8443" width="17" customWidth="1"/>
    <col min="8444" max="8444" width="8.85546875"/>
    <col min="8445" max="8445" width="2.85546875" customWidth="1"/>
    <col min="8446" max="8446" width="14.140625" customWidth="1"/>
    <col min="8447" max="8447" width="15.42578125" customWidth="1"/>
    <col min="8448" max="8448" width="13.5703125" customWidth="1"/>
    <col min="8449" max="8449" width="13.85546875" customWidth="1"/>
    <col min="8450" max="8450" width="13.140625" customWidth="1"/>
    <col min="8451" max="8451" width="14.85546875" bestFit="1" customWidth="1"/>
    <col min="8452" max="8452" width="2.7109375" customWidth="1"/>
    <col min="8453" max="8453" width="8.85546875"/>
    <col min="8454" max="8454" width="10.85546875" customWidth="1"/>
    <col min="8455" max="8455" width="7.85546875" customWidth="1"/>
    <col min="8456" max="8456" width="11.28515625" customWidth="1"/>
    <col min="8457" max="8697" width="8.85546875"/>
    <col min="8698" max="8698" width="11.5703125" customWidth="1"/>
    <col min="8699" max="8699" width="17" customWidth="1"/>
    <col min="8700" max="8700" width="8.85546875"/>
    <col min="8701" max="8701" width="2.85546875" customWidth="1"/>
    <col min="8702" max="8702" width="14.140625" customWidth="1"/>
    <col min="8703" max="8703" width="15.42578125" customWidth="1"/>
    <col min="8704" max="8704" width="13.5703125" customWidth="1"/>
    <col min="8705" max="8705" width="13.85546875" customWidth="1"/>
    <col min="8706" max="8706" width="13.140625" customWidth="1"/>
    <col min="8707" max="8707" width="14.85546875" bestFit="1" customWidth="1"/>
    <col min="8708" max="8708" width="2.7109375" customWidth="1"/>
    <col min="8709" max="8709" width="8.85546875"/>
    <col min="8710" max="8710" width="10.85546875" customWidth="1"/>
    <col min="8711" max="8711" width="7.85546875" customWidth="1"/>
    <col min="8712" max="8712" width="11.28515625" customWidth="1"/>
    <col min="8713" max="8953" width="8.85546875"/>
    <col min="8954" max="8954" width="11.5703125" customWidth="1"/>
    <col min="8955" max="8955" width="17" customWidth="1"/>
    <col min="8956" max="8956" width="8.85546875"/>
    <col min="8957" max="8957" width="2.85546875" customWidth="1"/>
    <col min="8958" max="8958" width="14.140625" customWidth="1"/>
    <col min="8959" max="8959" width="15.42578125" customWidth="1"/>
    <col min="8960" max="8960" width="13.5703125" customWidth="1"/>
    <col min="8961" max="8961" width="13.85546875" customWidth="1"/>
    <col min="8962" max="8962" width="13.140625" customWidth="1"/>
    <col min="8963" max="8963" width="14.85546875" bestFit="1" customWidth="1"/>
    <col min="8964" max="8964" width="2.7109375" customWidth="1"/>
    <col min="8965" max="8965" width="8.85546875"/>
    <col min="8966" max="8966" width="10.85546875" customWidth="1"/>
    <col min="8967" max="8967" width="7.85546875" customWidth="1"/>
    <col min="8968" max="8968" width="11.28515625" customWidth="1"/>
    <col min="8969" max="9209" width="8.85546875"/>
    <col min="9210" max="9210" width="11.5703125" customWidth="1"/>
    <col min="9211" max="9211" width="17" customWidth="1"/>
    <col min="9212" max="9212" width="8.85546875"/>
    <col min="9213" max="9213" width="2.85546875" customWidth="1"/>
    <col min="9214" max="9214" width="14.140625" customWidth="1"/>
    <col min="9215" max="9215" width="15.42578125" customWidth="1"/>
    <col min="9216" max="9216" width="13.5703125" customWidth="1"/>
    <col min="9217" max="9217" width="13.85546875" customWidth="1"/>
    <col min="9218" max="9218" width="13.140625" customWidth="1"/>
    <col min="9219" max="9219" width="14.85546875" bestFit="1" customWidth="1"/>
    <col min="9220" max="9220" width="2.7109375" customWidth="1"/>
    <col min="9221" max="9221" width="8.85546875"/>
    <col min="9222" max="9222" width="10.85546875" customWidth="1"/>
    <col min="9223" max="9223" width="7.85546875" customWidth="1"/>
    <col min="9224" max="9224" width="11.28515625" customWidth="1"/>
    <col min="9225" max="9465" width="8.85546875"/>
    <col min="9466" max="9466" width="11.5703125" customWidth="1"/>
    <col min="9467" max="9467" width="17" customWidth="1"/>
    <col min="9468" max="9468" width="8.85546875"/>
    <col min="9469" max="9469" width="2.85546875" customWidth="1"/>
    <col min="9470" max="9470" width="14.140625" customWidth="1"/>
    <col min="9471" max="9471" width="15.42578125" customWidth="1"/>
    <col min="9472" max="9472" width="13.5703125" customWidth="1"/>
    <col min="9473" max="9473" width="13.85546875" customWidth="1"/>
    <col min="9474" max="9474" width="13.140625" customWidth="1"/>
    <col min="9475" max="9475" width="14.85546875" bestFit="1" customWidth="1"/>
    <col min="9476" max="9476" width="2.7109375" customWidth="1"/>
    <col min="9477" max="9477" width="8.85546875"/>
    <col min="9478" max="9478" width="10.85546875" customWidth="1"/>
    <col min="9479" max="9479" width="7.85546875" customWidth="1"/>
    <col min="9480" max="9480" width="11.28515625" customWidth="1"/>
    <col min="9481" max="9721" width="8.85546875"/>
    <col min="9722" max="9722" width="11.5703125" customWidth="1"/>
    <col min="9723" max="9723" width="17" customWidth="1"/>
    <col min="9724" max="9724" width="8.85546875"/>
    <col min="9725" max="9725" width="2.85546875" customWidth="1"/>
    <col min="9726" max="9726" width="14.140625" customWidth="1"/>
    <col min="9727" max="9727" width="15.42578125" customWidth="1"/>
    <col min="9728" max="9728" width="13.5703125" customWidth="1"/>
    <col min="9729" max="9729" width="13.85546875" customWidth="1"/>
    <col min="9730" max="9730" width="13.140625" customWidth="1"/>
    <col min="9731" max="9731" width="14.85546875" bestFit="1" customWidth="1"/>
    <col min="9732" max="9732" width="2.7109375" customWidth="1"/>
    <col min="9733" max="9733" width="8.85546875"/>
    <col min="9734" max="9734" width="10.85546875" customWidth="1"/>
    <col min="9735" max="9735" width="7.85546875" customWidth="1"/>
    <col min="9736" max="9736" width="11.28515625" customWidth="1"/>
    <col min="9737" max="9977" width="8.85546875"/>
    <col min="9978" max="9978" width="11.5703125" customWidth="1"/>
    <col min="9979" max="9979" width="17" customWidth="1"/>
    <col min="9980" max="9980" width="8.85546875"/>
    <col min="9981" max="9981" width="2.85546875" customWidth="1"/>
    <col min="9982" max="9982" width="14.140625" customWidth="1"/>
    <col min="9983" max="9983" width="15.42578125" customWidth="1"/>
    <col min="9984" max="9984" width="13.5703125" customWidth="1"/>
    <col min="9985" max="9985" width="13.85546875" customWidth="1"/>
    <col min="9986" max="9986" width="13.140625" customWidth="1"/>
    <col min="9987" max="9987" width="14.85546875" bestFit="1" customWidth="1"/>
    <col min="9988" max="9988" width="2.7109375" customWidth="1"/>
    <col min="9989" max="9989" width="8.85546875"/>
    <col min="9990" max="9990" width="10.85546875" customWidth="1"/>
    <col min="9991" max="9991" width="7.85546875" customWidth="1"/>
    <col min="9992" max="9992" width="11.28515625" customWidth="1"/>
    <col min="9993" max="10233" width="8.85546875"/>
    <col min="10234" max="10234" width="11.5703125" customWidth="1"/>
    <col min="10235" max="10235" width="17" customWidth="1"/>
    <col min="10236" max="10236" width="8.85546875"/>
    <col min="10237" max="10237" width="2.85546875" customWidth="1"/>
    <col min="10238" max="10238" width="14.140625" customWidth="1"/>
    <col min="10239" max="10239" width="15.42578125" customWidth="1"/>
    <col min="10240" max="10240" width="13.5703125" customWidth="1"/>
    <col min="10241" max="10241" width="13.85546875" customWidth="1"/>
    <col min="10242" max="10242" width="13.140625" customWidth="1"/>
    <col min="10243" max="10243" width="14.85546875" bestFit="1" customWidth="1"/>
    <col min="10244" max="10244" width="2.7109375" customWidth="1"/>
    <col min="10245" max="10245" width="8.85546875"/>
    <col min="10246" max="10246" width="10.85546875" customWidth="1"/>
    <col min="10247" max="10247" width="7.85546875" customWidth="1"/>
    <col min="10248" max="10248" width="11.28515625" customWidth="1"/>
    <col min="10249" max="10489" width="8.85546875"/>
    <col min="10490" max="10490" width="11.5703125" customWidth="1"/>
    <col min="10491" max="10491" width="17" customWidth="1"/>
    <col min="10492" max="10492" width="8.85546875"/>
    <col min="10493" max="10493" width="2.85546875" customWidth="1"/>
    <col min="10494" max="10494" width="14.140625" customWidth="1"/>
    <col min="10495" max="10495" width="15.42578125" customWidth="1"/>
    <col min="10496" max="10496" width="13.5703125" customWidth="1"/>
    <col min="10497" max="10497" width="13.85546875" customWidth="1"/>
    <col min="10498" max="10498" width="13.140625" customWidth="1"/>
    <col min="10499" max="10499" width="14.85546875" bestFit="1" customWidth="1"/>
    <col min="10500" max="10500" width="2.7109375" customWidth="1"/>
    <col min="10501" max="10501" width="8.85546875"/>
    <col min="10502" max="10502" width="10.85546875" customWidth="1"/>
    <col min="10503" max="10503" width="7.85546875" customWidth="1"/>
    <col min="10504" max="10504" width="11.28515625" customWidth="1"/>
    <col min="10505" max="10745" width="8.85546875"/>
    <col min="10746" max="10746" width="11.5703125" customWidth="1"/>
    <col min="10747" max="10747" width="17" customWidth="1"/>
    <col min="10748" max="10748" width="8.85546875"/>
    <col min="10749" max="10749" width="2.85546875" customWidth="1"/>
    <col min="10750" max="10750" width="14.140625" customWidth="1"/>
    <col min="10751" max="10751" width="15.42578125" customWidth="1"/>
    <col min="10752" max="10752" width="13.5703125" customWidth="1"/>
    <col min="10753" max="10753" width="13.85546875" customWidth="1"/>
    <col min="10754" max="10754" width="13.140625" customWidth="1"/>
    <col min="10755" max="10755" width="14.85546875" bestFit="1" customWidth="1"/>
    <col min="10756" max="10756" width="2.7109375" customWidth="1"/>
    <col min="10757" max="10757" width="8.85546875"/>
    <col min="10758" max="10758" width="10.85546875" customWidth="1"/>
    <col min="10759" max="10759" width="7.85546875" customWidth="1"/>
    <col min="10760" max="10760" width="11.28515625" customWidth="1"/>
    <col min="10761" max="11001" width="8.85546875"/>
    <col min="11002" max="11002" width="11.5703125" customWidth="1"/>
    <col min="11003" max="11003" width="17" customWidth="1"/>
    <col min="11004" max="11004" width="8.85546875"/>
    <col min="11005" max="11005" width="2.85546875" customWidth="1"/>
    <col min="11006" max="11006" width="14.140625" customWidth="1"/>
    <col min="11007" max="11007" width="15.42578125" customWidth="1"/>
    <col min="11008" max="11008" width="13.5703125" customWidth="1"/>
    <col min="11009" max="11009" width="13.85546875" customWidth="1"/>
    <col min="11010" max="11010" width="13.140625" customWidth="1"/>
    <col min="11011" max="11011" width="14.85546875" bestFit="1" customWidth="1"/>
    <col min="11012" max="11012" width="2.7109375" customWidth="1"/>
    <col min="11013" max="11013" width="8.85546875"/>
    <col min="11014" max="11014" width="10.85546875" customWidth="1"/>
    <col min="11015" max="11015" width="7.85546875" customWidth="1"/>
    <col min="11016" max="11016" width="11.28515625" customWidth="1"/>
    <col min="11017" max="11257" width="8.85546875"/>
    <col min="11258" max="11258" width="11.5703125" customWidth="1"/>
    <col min="11259" max="11259" width="17" customWidth="1"/>
    <col min="11260" max="11260" width="8.85546875"/>
    <col min="11261" max="11261" width="2.85546875" customWidth="1"/>
    <col min="11262" max="11262" width="14.140625" customWidth="1"/>
    <col min="11263" max="11263" width="15.42578125" customWidth="1"/>
    <col min="11264" max="11264" width="13.5703125" customWidth="1"/>
    <col min="11265" max="11265" width="13.85546875" customWidth="1"/>
    <col min="11266" max="11266" width="13.140625" customWidth="1"/>
    <col min="11267" max="11267" width="14.85546875" bestFit="1" customWidth="1"/>
    <col min="11268" max="11268" width="2.7109375" customWidth="1"/>
    <col min="11269" max="11269" width="8.85546875"/>
    <col min="11270" max="11270" width="10.85546875" customWidth="1"/>
    <col min="11271" max="11271" width="7.85546875" customWidth="1"/>
    <col min="11272" max="11272" width="11.28515625" customWidth="1"/>
    <col min="11273" max="11513" width="8.85546875"/>
    <col min="11514" max="11514" width="11.5703125" customWidth="1"/>
    <col min="11515" max="11515" width="17" customWidth="1"/>
    <col min="11516" max="11516" width="8.85546875"/>
    <col min="11517" max="11517" width="2.85546875" customWidth="1"/>
    <col min="11518" max="11518" width="14.140625" customWidth="1"/>
    <col min="11519" max="11519" width="15.42578125" customWidth="1"/>
    <col min="11520" max="11520" width="13.5703125" customWidth="1"/>
    <col min="11521" max="11521" width="13.85546875" customWidth="1"/>
    <col min="11522" max="11522" width="13.140625" customWidth="1"/>
    <col min="11523" max="11523" width="14.85546875" bestFit="1" customWidth="1"/>
    <col min="11524" max="11524" width="2.7109375" customWidth="1"/>
    <col min="11525" max="11525" width="8.85546875"/>
    <col min="11526" max="11526" width="10.85546875" customWidth="1"/>
    <col min="11527" max="11527" width="7.85546875" customWidth="1"/>
    <col min="11528" max="11528" width="11.28515625" customWidth="1"/>
    <col min="11529" max="11769" width="8.85546875"/>
    <col min="11770" max="11770" width="11.5703125" customWidth="1"/>
    <col min="11771" max="11771" width="17" customWidth="1"/>
    <col min="11772" max="11772" width="8.85546875"/>
    <col min="11773" max="11773" width="2.85546875" customWidth="1"/>
    <col min="11774" max="11774" width="14.140625" customWidth="1"/>
    <col min="11775" max="11775" width="15.42578125" customWidth="1"/>
    <col min="11776" max="11776" width="13.5703125" customWidth="1"/>
    <col min="11777" max="11777" width="13.85546875" customWidth="1"/>
    <col min="11778" max="11778" width="13.140625" customWidth="1"/>
    <col min="11779" max="11779" width="14.85546875" bestFit="1" customWidth="1"/>
    <col min="11780" max="11780" width="2.7109375" customWidth="1"/>
    <col min="11781" max="11781" width="8.85546875"/>
    <col min="11782" max="11782" width="10.85546875" customWidth="1"/>
    <col min="11783" max="11783" width="7.85546875" customWidth="1"/>
    <col min="11784" max="11784" width="11.28515625" customWidth="1"/>
    <col min="11785" max="12025" width="8.85546875"/>
    <col min="12026" max="12026" width="11.5703125" customWidth="1"/>
    <col min="12027" max="12027" width="17" customWidth="1"/>
    <col min="12028" max="12028" width="8.85546875"/>
    <col min="12029" max="12029" width="2.85546875" customWidth="1"/>
    <col min="12030" max="12030" width="14.140625" customWidth="1"/>
    <col min="12031" max="12031" width="15.42578125" customWidth="1"/>
    <col min="12032" max="12032" width="13.5703125" customWidth="1"/>
    <col min="12033" max="12033" width="13.85546875" customWidth="1"/>
    <col min="12034" max="12034" width="13.140625" customWidth="1"/>
    <col min="12035" max="12035" width="14.85546875" bestFit="1" customWidth="1"/>
    <col min="12036" max="12036" width="2.7109375" customWidth="1"/>
    <col min="12037" max="12037" width="8.85546875"/>
    <col min="12038" max="12038" width="10.85546875" customWidth="1"/>
    <col min="12039" max="12039" width="7.85546875" customWidth="1"/>
    <col min="12040" max="12040" width="11.28515625" customWidth="1"/>
    <col min="12041" max="12281" width="8.85546875"/>
    <col min="12282" max="12282" width="11.5703125" customWidth="1"/>
    <col min="12283" max="12283" width="17" customWidth="1"/>
    <col min="12284" max="12284" width="8.85546875"/>
    <col min="12285" max="12285" width="2.85546875" customWidth="1"/>
    <col min="12286" max="12286" width="14.140625" customWidth="1"/>
    <col min="12287" max="12287" width="15.42578125" customWidth="1"/>
    <col min="12288" max="12288" width="13.5703125" customWidth="1"/>
    <col min="12289" max="12289" width="13.85546875" customWidth="1"/>
    <col min="12290" max="12290" width="13.140625" customWidth="1"/>
    <col min="12291" max="12291" width="14.85546875" bestFit="1" customWidth="1"/>
    <col min="12292" max="12292" width="2.7109375" customWidth="1"/>
    <col min="12293" max="12293" width="8.85546875"/>
    <col min="12294" max="12294" width="10.85546875" customWidth="1"/>
    <col min="12295" max="12295" width="7.85546875" customWidth="1"/>
    <col min="12296" max="12296" width="11.28515625" customWidth="1"/>
    <col min="12297" max="12537" width="8.85546875"/>
    <col min="12538" max="12538" width="11.5703125" customWidth="1"/>
    <col min="12539" max="12539" width="17" customWidth="1"/>
    <col min="12540" max="12540" width="8.85546875"/>
    <col min="12541" max="12541" width="2.85546875" customWidth="1"/>
    <col min="12542" max="12542" width="14.140625" customWidth="1"/>
    <col min="12543" max="12543" width="15.42578125" customWidth="1"/>
    <col min="12544" max="12544" width="13.5703125" customWidth="1"/>
    <col min="12545" max="12545" width="13.85546875" customWidth="1"/>
    <col min="12546" max="12546" width="13.140625" customWidth="1"/>
    <col min="12547" max="12547" width="14.85546875" bestFit="1" customWidth="1"/>
    <col min="12548" max="12548" width="2.7109375" customWidth="1"/>
    <col min="12549" max="12549" width="8.85546875"/>
    <col min="12550" max="12550" width="10.85546875" customWidth="1"/>
    <col min="12551" max="12551" width="7.85546875" customWidth="1"/>
    <col min="12552" max="12552" width="11.28515625" customWidth="1"/>
    <col min="12553" max="12793" width="8.85546875"/>
    <col min="12794" max="12794" width="11.5703125" customWidth="1"/>
    <col min="12795" max="12795" width="17" customWidth="1"/>
    <col min="12796" max="12796" width="8.85546875"/>
    <col min="12797" max="12797" width="2.85546875" customWidth="1"/>
    <col min="12798" max="12798" width="14.140625" customWidth="1"/>
    <col min="12799" max="12799" width="15.42578125" customWidth="1"/>
    <col min="12800" max="12800" width="13.5703125" customWidth="1"/>
    <col min="12801" max="12801" width="13.85546875" customWidth="1"/>
    <col min="12802" max="12802" width="13.140625" customWidth="1"/>
    <col min="12803" max="12803" width="14.85546875" bestFit="1" customWidth="1"/>
    <col min="12804" max="12804" width="2.7109375" customWidth="1"/>
    <col min="12805" max="12805" width="8.85546875"/>
    <col min="12806" max="12806" width="10.85546875" customWidth="1"/>
    <col min="12807" max="12807" width="7.85546875" customWidth="1"/>
    <col min="12808" max="12808" width="11.28515625" customWidth="1"/>
    <col min="12809" max="13049" width="8.85546875"/>
    <col min="13050" max="13050" width="11.5703125" customWidth="1"/>
    <col min="13051" max="13051" width="17" customWidth="1"/>
    <col min="13052" max="13052" width="8.85546875"/>
    <col min="13053" max="13053" width="2.85546875" customWidth="1"/>
    <col min="13054" max="13054" width="14.140625" customWidth="1"/>
    <col min="13055" max="13055" width="15.42578125" customWidth="1"/>
    <col min="13056" max="13056" width="13.5703125" customWidth="1"/>
    <col min="13057" max="13057" width="13.85546875" customWidth="1"/>
    <col min="13058" max="13058" width="13.140625" customWidth="1"/>
    <col min="13059" max="13059" width="14.85546875" bestFit="1" customWidth="1"/>
    <col min="13060" max="13060" width="2.7109375" customWidth="1"/>
    <col min="13061" max="13061" width="8.85546875"/>
    <col min="13062" max="13062" width="10.85546875" customWidth="1"/>
    <col min="13063" max="13063" width="7.85546875" customWidth="1"/>
    <col min="13064" max="13064" width="11.28515625" customWidth="1"/>
    <col min="13065" max="13305" width="8.85546875"/>
    <col min="13306" max="13306" width="11.5703125" customWidth="1"/>
    <col min="13307" max="13307" width="17" customWidth="1"/>
    <col min="13308" max="13308" width="8.85546875"/>
    <col min="13309" max="13309" width="2.85546875" customWidth="1"/>
    <col min="13310" max="13310" width="14.140625" customWidth="1"/>
    <col min="13311" max="13311" width="15.42578125" customWidth="1"/>
    <col min="13312" max="13312" width="13.5703125" customWidth="1"/>
    <col min="13313" max="13313" width="13.85546875" customWidth="1"/>
    <col min="13314" max="13314" width="13.140625" customWidth="1"/>
    <col min="13315" max="13315" width="14.85546875" bestFit="1" customWidth="1"/>
    <col min="13316" max="13316" width="2.7109375" customWidth="1"/>
    <col min="13317" max="13317" width="8.85546875"/>
    <col min="13318" max="13318" width="10.85546875" customWidth="1"/>
    <col min="13319" max="13319" width="7.85546875" customWidth="1"/>
    <col min="13320" max="13320" width="11.28515625" customWidth="1"/>
    <col min="13321" max="13561" width="8.85546875"/>
    <col min="13562" max="13562" width="11.5703125" customWidth="1"/>
    <col min="13563" max="13563" width="17" customWidth="1"/>
    <col min="13564" max="13564" width="8.85546875"/>
    <col min="13565" max="13565" width="2.85546875" customWidth="1"/>
    <col min="13566" max="13566" width="14.140625" customWidth="1"/>
    <col min="13567" max="13567" width="15.42578125" customWidth="1"/>
    <col min="13568" max="13568" width="13.5703125" customWidth="1"/>
    <col min="13569" max="13569" width="13.85546875" customWidth="1"/>
    <col min="13570" max="13570" width="13.140625" customWidth="1"/>
    <col min="13571" max="13571" width="14.85546875" bestFit="1" customWidth="1"/>
    <col min="13572" max="13572" width="2.7109375" customWidth="1"/>
    <col min="13573" max="13573" width="8.85546875"/>
    <col min="13574" max="13574" width="10.85546875" customWidth="1"/>
    <col min="13575" max="13575" width="7.85546875" customWidth="1"/>
    <col min="13576" max="13576" width="11.28515625" customWidth="1"/>
    <col min="13577" max="13817" width="8.85546875"/>
    <col min="13818" max="13818" width="11.5703125" customWidth="1"/>
    <col min="13819" max="13819" width="17" customWidth="1"/>
    <col min="13820" max="13820" width="8.85546875"/>
    <col min="13821" max="13821" width="2.85546875" customWidth="1"/>
    <col min="13822" max="13822" width="14.140625" customWidth="1"/>
    <col min="13823" max="13823" width="15.42578125" customWidth="1"/>
    <col min="13824" max="13824" width="13.5703125" customWidth="1"/>
    <col min="13825" max="13825" width="13.85546875" customWidth="1"/>
    <col min="13826" max="13826" width="13.140625" customWidth="1"/>
    <col min="13827" max="13827" width="14.85546875" bestFit="1" customWidth="1"/>
    <col min="13828" max="13828" width="2.7109375" customWidth="1"/>
    <col min="13829" max="13829" width="8.85546875"/>
    <col min="13830" max="13830" width="10.85546875" customWidth="1"/>
    <col min="13831" max="13831" width="7.85546875" customWidth="1"/>
    <col min="13832" max="13832" width="11.28515625" customWidth="1"/>
    <col min="13833" max="14073" width="8.85546875"/>
    <col min="14074" max="14074" width="11.5703125" customWidth="1"/>
    <col min="14075" max="14075" width="17" customWidth="1"/>
    <col min="14076" max="14076" width="8.85546875"/>
    <col min="14077" max="14077" width="2.85546875" customWidth="1"/>
    <col min="14078" max="14078" width="14.140625" customWidth="1"/>
    <col min="14079" max="14079" width="15.42578125" customWidth="1"/>
    <col min="14080" max="14080" width="13.5703125" customWidth="1"/>
    <col min="14081" max="14081" width="13.85546875" customWidth="1"/>
    <col min="14082" max="14082" width="13.140625" customWidth="1"/>
    <col min="14083" max="14083" width="14.85546875" bestFit="1" customWidth="1"/>
    <col min="14084" max="14084" width="2.7109375" customWidth="1"/>
    <col min="14085" max="14085" width="8.85546875"/>
    <col min="14086" max="14086" width="10.85546875" customWidth="1"/>
    <col min="14087" max="14087" width="7.85546875" customWidth="1"/>
    <col min="14088" max="14088" width="11.28515625" customWidth="1"/>
    <col min="14089" max="14329" width="8.85546875"/>
    <col min="14330" max="14330" width="11.5703125" customWidth="1"/>
    <col min="14331" max="14331" width="17" customWidth="1"/>
    <col min="14332" max="14332" width="8.85546875"/>
    <col min="14333" max="14333" width="2.85546875" customWidth="1"/>
    <col min="14334" max="14334" width="14.140625" customWidth="1"/>
    <col min="14335" max="14335" width="15.42578125" customWidth="1"/>
    <col min="14336" max="14336" width="13.5703125" customWidth="1"/>
    <col min="14337" max="14337" width="13.85546875" customWidth="1"/>
    <col min="14338" max="14338" width="13.140625" customWidth="1"/>
    <col min="14339" max="14339" width="14.85546875" bestFit="1" customWidth="1"/>
    <col min="14340" max="14340" width="2.7109375" customWidth="1"/>
    <col min="14341" max="14341" width="8.85546875"/>
    <col min="14342" max="14342" width="10.85546875" customWidth="1"/>
    <col min="14343" max="14343" width="7.85546875" customWidth="1"/>
    <col min="14344" max="14344" width="11.28515625" customWidth="1"/>
    <col min="14345" max="14585" width="8.85546875"/>
    <col min="14586" max="14586" width="11.5703125" customWidth="1"/>
    <col min="14587" max="14587" width="17" customWidth="1"/>
    <col min="14588" max="14588" width="8.85546875"/>
    <col min="14589" max="14589" width="2.85546875" customWidth="1"/>
    <col min="14590" max="14590" width="14.140625" customWidth="1"/>
    <col min="14591" max="14591" width="15.42578125" customWidth="1"/>
    <col min="14592" max="14592" width="13.5703125" customWidth="1"/>
    <col min="14593" max="14593" width="13.85546875" customWidth="1"/>
    <col min="14594" max="14594" width="13.140625" customWidth="1"/>
    <col min="14595" max="14595" width="14.85546875" bestFit="1" customWidth="1"/>
    <col min="14596" max="14596" width="2.7109375" customWidth="1"/>
    <col min="14597" max="14597" width="8.85546875"/>
    <col min="14598" max="14598" width="10.85546875" customWidth="1"/>
    <col min="14599" max="14599" width="7.85546875" customWidth="1"/>
    <col min="14600" max="14600" width="11.28515625" customWidth="1"/>
    <col min="14601" max="14841" width="8.85546875"/>
    <col min="14842" max="14842" width="11.5703125" customWidth="1"/>
    <col min="14843" max="14843" width="17" customWidth="1"/>
    <col min="14844" max="14844" width="8.85546875"/>
    <col min="14845" max="14845" width="2.85546875" customWidth="1"/>
    <col min="14846" max="14846" width="14.140625" customWidth="1"/>
    <col min="14847" max="14847" width="15.42578125" customWidth="1"/>
    <col min="14848" max="14848" width="13.5703125" customWidth="1"/>
    <col min="14849" max="14849" width="13.85546875" customWidth="1"/>
    <col min="14850" max="14850" width="13.140625" customWidth="1"/>
    <col min="14851" max="14851" width="14.85546875" bestFit="1" customWidth="1"/>
    <col min="14852" max="14852" width="2.7109375" customWidth="1"/>
    <col min="14853" max="14853" width="8.85546875"/>
    <col min="14854" max="14854" width="10.85546875" customWidth="1"/>
    <col min="14855" max="14855" width="7.85546875" customWidth="1"/>
    <col min="14856" max="14856" width="11.28515625" customWidth="1"/>
    <col min="14857" max="15097" width="8.85546875"/>
    <col min="15098" max="15098" width="11.5703125" customWidth="1"/>
    <col min="15099" max="15099" width="17" customWidth="1"/>
    <col min="15100" max="15100" width="8.85546875"/>
    <col min="15101" max="15101" width="2.85546875" customWidth="1"/>
    <col min="15102" max="15102" width="14.140625" customWidth="1"/>
    <col min="15103" max="15103" width="15.42578125" customWidth="1"/>
    <col min="15104" max="15104" width="13.5703125" customWidth="1"/>
    <col min="15105" max="15105" width="13.85546875" customWidth="1"/>
    <col min="15106" max="15106" width="13.140625" customWidth="1"/>
    <col min="15107" max="15107" width="14.85546875" bestFit="1" customWidth="1"/>
    <col min="15108" max="15108" width="2.7109375" customWidth="1"/>
    <col min="15109" max="15109" width="8.85546875"/>
    <col min="15110" max="15110" width="10.85546875" customWidth="1"/>
    <col min="15111" max="15111" width="7.85546875" customWidth="1"/>
    <col min="15112" max="15112" width="11.28515625" customWidth="1"/>
    <col min="15113" max="15353" width="8.85546875"/>
    <col min="15354" max="15354" width="11.5703125" customWidth="1"/>
    <col min="15355" max="15355" width="17" customWidth="1"/>
    <col min="15356" max="15356" width="8.85546875"/>
    <col min="15357" max="15357" width="2.85546875" customWidth="1"/>
    <col min="15358" max="15358" width="14.140625" customWidth="1"/>
    <col min="15359" max="15359" width="15.42578125" customWidth="1"/>
    <col min="15360" max="15360" width="13.5703125" customWidth="1"/>
    <col min="15361" max="15361" width="13.85546875" customWidth="1"/>
    <col min="15362" max="15362" width="13.140625" customWidth="1"/>
    <col min="15363" max="15363" width="14.85546875" bestFit="1" customWidth="1"/>
    <col min="15364" max="15364" width="2.7109375" customWidth="1"/>
    <col min="15365" max="15365" width="8.85546875"/>
    <col min="15366" max="15366" width="10.85546875" customWidth="1"/>
    <col min="15367" max="15367" width="7.85546875" customWidth="1"/>
    <col min="15368" max="15368" width="11.28515625" customWidth="1"/>
    <col min="15369" max="15609" width="8.85546875"/>
    <col min="15610" max="15610" width="11.5703125" customWidth="1"/>
    <col min="15611" max="15611" width="17" customWidth="1"/>
    <col min="15612" max="15612" width="8.85546875"/>
    <col min="15613" max="15613" width="2.85546875" customWidth="1"/>
    <col min="15614" max="15614" width="14.140625" customWidth="1"/>
    <col min="15615" max="15615" width="15.42578125" customWidth="1"/>
    <col min="15616" max="15616" width="13.5703125" customWidth="1"/>
    <col min="15617" max="15617" width="13.85546875" customWidth="1"/>
    <col min="15618" max="15618" width="13.140625" customWidth="1"/>
    <col min="15619" max="15619" width="14.85546875" bestFit="1" customWidth="1"/>
    <col min="15620" max="15620" width="2.7109375" customWidth="1"/>
    <col min="15621" max="15621" width="8.85546875"/>
    <col min="15622" max="15622" width="10.85546875" customWidth="1"/>
    <col min="15623" max="15623" width="7.85546875" customWidth="1"/>
    <col min="15624" max="15624" width="11.28515625" customWidth="1"/>
    <col min="15625" max="15865" width="8.85546875"/>
    <col min="15866" max="15866" width="11.5703125" customWidth="1"/>
    <col min="15867" max="15867" width="17" customWidth="1"/>
    <col min="15868" max="15868" width="8.85546875"/>
    <col min="15869" max="15869" width="2.85546875" customWidth="1"/>
    <col min="15870" max="15870" width="14.140625" customWidth="1"/>
    <col min="15871" max="15871" width="15.42578125" customWidth="1"/>
    <col min="15872" max="15872" width="13.5703125" customWidth="1"/>
    <col min="15873" max="15873" width="13.85546875" customWidth="1"/>
    <col min="15874" max="15874" width="13.140625" customWidth="1"/>
    <col min="15875" max="15875" width="14.85546875" bestFit="1" customWidth="1"/>
    <col min="15876" max="15876" width="2.7109375" customWidth="1"/>
    <col min="15877" max="15877" width="8.85546875"/>
    <col min="15878" max="15878" width="10.85546875" customWidth="1"/>
    <col min="15879" max="15879" width="7.85546875" customWidth="1"/>
    <col min="15880" max="15880" width="11.28515625" customWidth="1"/>
    <col min="15881" max="16121" width="8.85546875"/>
    <col min="16122" max="16122" width="11.5703125" customWidth="1"/>
    <col min="16123" max="16123" width="17" customWidth="1"/>
    <col min="16124" max="16124" width="8.85546875"/>
    <col min="16125" max="16125" width="2.85546875" customWidth="1"/>
    <col min="16126" max="16126" width="14.140625" customWidth="1"/>
    <col min="16127" max="16127" width="15.42578125" customWidth="1"/>
    <col min="16128" max="16128" width="13.5703125" customWidth="1"/>
    <col min="16129" max="16129" width="13.85546875" customWidth="1"/>
    <col min="16130" max="16130" width="13.140625" customWidth="1"/>
    <col min="16131" max="16131" width="14.85546875" bestFit="1" customWidth="1"/>
    <col min="16132" max="16132" width="2.7109375" customWidth="1"/>
    <col min="16133" max="16133" width="8.85546875"/>
    <col min="16134" max="16134" width="10.85546875" customWidth="1"/>
    <col min="16135" max="16135" width="7.85546875" customWidth="1"/>
    <col min="16136" max="16136" width="11.28515625" customWidth="1"/>
    <col min="16137" max="16384" width="8.85546875"/>
  </cols>
  <sheetData>
    <row r="1" spans="1:7" ht="23.25" x14ac:dyDescent="0.35">
      <c r="A1" s="65" t="s">
        <v>462</v>
      </c>
      <c r="B1" s="67"/>
      <c r="C1" s="69"/>
      <c r="D1" s="60"/>
      <c r="E1" s="60"/>
      <c r="F1" s="60"/>
      <c r="G1" s="60"/>
    </row>
    <row r="2" spans="1:7" ht="15" customHeight="1" x14ac:dyDescent="0.3">
      <c r="B2" s="67"/>
      <c r="C2" s="69"/>
      <c r="D2" s="60"/>
      <c r="E2" s="60"/>
      <c r="F2" s="60"/>
      <c r="G2" s="60"/>
    </row>
    <row r="3" spans="1:7" x14ac:dyDescent="0.25">
      <c r="A3" s="454">
        <f>+waarderingsrapport!B17</f>
        <v>0</v>
      </c>
      <c r="B3" s="455"/>
      <c r="C3" s="455"/>
      <c r="D3" s="60"/>
      <c r="E3" s="60"/>
      <c r="F3" s="60"/>
      <c r="G3" s="60"/>
    </row>
    <row r="4" spans="1:7" x14ac:dyDescent="0.25">
      <c r="A4" s="306" t="s">
        <v>308</v>
      </c>
    </row>
    <row r="5" spans="1:7" x14ac:dyDescent="0.25">
      <c r="A5" t="s">
        <v>463</v>
      </c>
    </row>
    <row r="6" spans="1:7" x14ac:dyDescent="0.25">
      <c r="A6" s="448" t="s">
        <v>464</v>
      </c>
      <c r="B6" s="448"/>
      <c r="C6" s="448"/>
      <c r="D6" s="448"/>
      <c r="E6" s="448"/>
      <c r="F6" s="448"/>
      <c r="G6" s="448"/>
    </row>
    <row r="7" spans="1:7" x14ac:dyDescent="0.25">
      <c r="A7" s="448"/>
      <c r="B7" s="448"/>
      <c r="C7" s="448"/>
      <c r="D7" s="448"/>
      <c r="E7" s="448"/>
      <c r="F7" s="448"/>
      <c r="G7" s="448"/>
    </row>
    <row r="8" spans="1:7" x14ac:dyDescent="0.25">
      <c r="A8" s="448"/>
      <c r="B8" s="448"/>
      <c r="C8" s="448"/>
      <c r="D8" s="448"/>
      <c r="E8" s="448"/>
      <c r="F8" s="448"/>
      <c r="G8" s="448"/>
    </row>
    <row r="9" spans="1:7" x14ac:dyDescent="0.25">
      <c r="A9" s="448"/>
      <c r="B9" s="448"/>
      <c r="C9" s="448"/>
      <c r="D9" s="448"/>
      <c r="E9" s="448"/>
      <c r="F9" s="448"/>
      <c r="G9" s="448"/>
    </row>
    <row r="10" spans="1:7" x14ac:dyDescent="0.25">
      <c r="A10" s="9"/>
      <c r="B10" s="9"/>
      <c r="C10" s="9"/>
      <c r="D10" s="9"/>
      <c r="E10" s="9"/>
      <c r="F10" s="9"/>
      <c r="G10" s="9"/>
    </row>
    <row r="11" spans="1:7" x14ac:dyDescent="0.25">
      <c r="A11" s="306" t="s">
        <v>309</v>
      </c>
      <c r="B11" s="9"/>
      <c r="C11" s="9"/>
      <c r="D11" s="9"/>
      <c r="E11" s="9"/>
      <c r="F11" s="9"/>
      <c r="G11" s="9"/>
    </row>
    <row r="12" spans="1:7" x14ac:dyDescent="0.25">
      <c r="A12" t="s">
        <v>457</v>
      </c>
      <c r="D12" s="232">
        <f>+'Eigen vermogenswaarde'!K65</f>
        <v>537093.15874999994</v>
      </c>
    </row>
    <row r="13" spans="1:7" x14ac:dyDescent="0.25">
      <c r="A13" s="184" t="s">
        <v>465</v>
      </c>
      <c r="D13" s="199">
        <f>AVERAGE(rendement!F23:H23)</f>
        <v>62500</v>
      </c>
    </row>
    <row r="14" spans="1:7" x14ac:dyDescent="0.25">
      <c r="A14" s="184" t="s">
        <v>466</v>
      </c>
      <c r="D14" s="186">
        <f>+D12</f>
        <v>537093.15874999994</v>
      </c>
    </row>
    <row r="15" spans="1:7" x14ac:dyDescent="0.25">
      <c r="A15" t="s">
        <v>467</v>
      </c>
      <c r="D15" s="118">
        <f>+variabelen!E84</f>
        <v>2.9600000000000001E-2</v>
      </c>
    </row>
    <row r="17" spans="1:4" x14ac:dyDescent="0.25">
      <c r="A17" s="4" t="s">
        <v>461</v>
      </c>
      <c r="B17" s="4"/>
      <c r="C17" s="4"/>
      <c r="D17" s="233">
        <f>+D12+(+D13-D14*D15)</f>
        <v>583695.20125099993</v>
      </c>
    </row>
    <row r="49" spans="7:7" x14ac:dyDescent="0.25">
      <c r="G49" s="273">
        <v>23</v>
      </c>
    </row>
  </sheetData>
  <mergeCells count="2">
    <mergeCell ref="A3:C3"/>
    <mergeCell ref="A6:G9"/>
  </mergeCell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&amp;R&amp;D</oddHead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F126"/>
  <sheetViews>
    <sheetView view="pageLayout" topLeftCell="A50" zoomScaleNormal="100" workbookViewId="0">
      <selection activeCell="H19" sqref="H19"/>
    </sheetView>
  </sheetViews>
  <sheetFormatPr defaultRowHeight="15" x14ac:dyDescent="0.25"/>
  <cols>
    <col min="1" max="1" width="36" bestFit="1" customWidth="1"/>
    <col min="2" max="2" width="10.7109375" bestFit="1" customWidth="1"/>
    <col min="3" max="3" width="13.28515625" customWidth="1"/>
    <col min="4" max="4" width="15.7109375" bestFit="1" customWidth="1"/>
    <col min="5" max="6" width="9.7109375" bestFit="1" customWidth="1"/>
    <col min="7" max="7" width="8.7109375" bestFit="1" customWidth="1"/>
    <col min="8" max="10" width="9.7109375" bestFit="1" customWidth="1"/>
    <col min="11" max="11" width="8.28515625" bestFit="1" customWidth="1"/>
    <col min="12" max="248" width="8.85546875"/>
    <col min="249" max="249" width="11.5703125" customWidth="1"/>
    <col min="250" max="250" width="17" customWidth="1"/>
    <col min="251" max="251" width="8.85546875"/>
    <col min="252" max="252" width="2.85546875" customWidth="1"/>
    <col min="253" max="253" width="14.140625" customWidth="1"/>
    <col min="254" max="254" width="15.42578125" customWidth="1"/>
    <col min="255" max="255" width="13.5703125" customWidth="1"/>
    <col min="256" max="256" width="13.85546875" customWidth="1"/>
    <col min="257" max="257" width="13.140625" customWidth="1"/>
    <col min="258" max="258" width="14.85546875" bestFit="1" customWidth="1"/>
    <col min="259" max="259" width="2.7109375" customWidth="1"/>
    <col min="260" max="260" width="8.85546875"/>
    <col min="261" max="261" width="10.85546875" customWidth="1"/>
    <col min="262" max="262" width="7.85546875" customWidth="1"/>
    <col min="263" max="263" width="11.28515625" customWidth="1"/>
    <col min="264" max="504" width="8.85546875"/>
    <col min="505" max="505" width="11.5703125" customWidth="1"/>
    <col min="506" max="506" width="17" customWidth="1"/>
    <col min="507" max="507" width="8.85546875"/>
    <col min="508" max="508" width="2.85546875" customWidth="1"/>
    <col min="509" max="509" width="14.140625" customWidth="1"/>
    <col min="510" max="510" width="15.42578125" customWidth="1"/>
    <col min="511" max="511" width="13.5703125" customWidth="1"/>
    <col min="512" max="512" width="13.85546875" customWidth="1"/>
    <col min="513" max="513" width="13.140625" customWidth="1"/>
    <col min="514" max="514" width="14.85546875" bestFit="1" customWidth="1"/>
    <col min="515" max="515" width="2.7109375" customWidth="1"/>
    <col min="516" max="516" width="8.85546875"/>
    <col min="517" max="517" width="10.85546875" customWidth="1"/>
    <col min="518" max="518" width="7.85546875" customWidth="1"/>
    <col min="519" max="519" width="11.28515625" customWidth="1"/>
    <col min="520" max="760" width="8.85546875"/>
    <col min="761" max="761" width="11.5703125" customWidth="1"/>
    <col min="762" max="762" width="17" customWidth="1"/>
    <col min="763" max="763" width="8.85546875"/>
    <col min="764" max="764" width="2.85546875" customWidth="1"/>
    <col min="765" max="765" width="14.140625" customWidth="1"/>
    <col min="766" max="766" width="15.42578125" customWidth="1"/>
    <col min="767" max="767" width="13.5703125" customWidth="1"/>
    <col min="768" max="768" width="13.85546875" customWidth="1"/>
    <col min="769" max="769" width="13.140625" customWidth="1"/>
    <col min="770" max="770" width="14.85546875" bestFit="1" customWidth="1"/>
    <col min="771" max="771" width="2.7109375" customWidth="1"/>
    <col min="772" max="772" width="8.85546875"/>
    <col min="773" max="773" width="10.85546875" customWidth="1"/>
    <col min="774" max="774" width="7.85546875" customWidth="1"/>
    <col min="775" max="775" width="11.28515625" customWidth="1"/>
    <col min="776" max="1016" width="8.85546875"/>
    <col min="1017" max="1017" width="11.5703125" customWidth="1"/>
    <col min="1018" max="1018" width="17" customWidth="1"/>
    <col min="1019" max="1019" width="8.85546875"/>
    <col min="1020" max="1020" width="2.85546875" customWidth="1"/>
    <col min="1021" max="1021" width="14.140625" customWidth="1"/>
    <col min="1022" max="1022" width="15.42578125" customWidth="1"/>
    <col min="1023" max="1023" width="13.5703125" customWidth="1"/>
    <col min="1024" max="1024" width="13.85546875" customWidth="1"/>
    <col min="1025" max="1025" width="13.140625" customWidth="1"/>
    <col min="1026" max="1026" width="14.85546875" bestFit="1" customWidth="1"/>
    <col min="1027" max="1027" width="2.7109375" customWidth="1"/>
    <col min="1028" max="1028" width="8.85546875"/>
    <col min="1029" max="1029" width="10.85546875" customWidth="1"/>
    <col min="1030" max="1030" width="7.85546875" customWidth="1"/>
    <col min="1031" max="1031" width="11.28515625" customWidth="1"/>
    <col min="1032" max="1272" width="8.85546875"/>
    <col min="1273" max="1273" width="11.5703125" customWidth="1"/>
    <col min="1274" max="1274" width="17" customWidth="1"/>
    <col min="1275" max="1275" width="8.85546875"/>
    <col min="1276" max="1276" width="2.85546875" customWidth="1"/>
    <col min="1277" max="1277" width="14.140625" customWidth="1"/>
    <col min="1278" max="1278" width="15.42578125" customWidth="1"/>
    <col min="1279" max="1279" width="13.5703125" customWidth="1"/>
    <col min="1280" max="1280" width="13.85546875" customWidth="1"/>
    <col min="1281" max="1281" width="13.140625" customWidth="1"/>
    <col min="1282" max="1282" width="14.85546875" bestFit="1" customWidth="1"/>
    <col min="1283" max="1283" width="2.7109375" customWidth="1"/>
    <col min="1284" max="1284" width="8.85546875"/>
    <col min="1285" max="1285" width="10.85546875" customWidth="1"/>
    <col min="1286" max="1286" width="7.85546875" customWidth="1"/>
    <col min="1287" max="1287" width="11.28515625" customWidth="1"/>
    <col min="1288" max="1528" width="8.85546875"/>
    <col min="1529" max="1529" width="11.5703125" customWidth="1"/>
    <col min="1530" max="1530" width="17" customWidth="1"/>
    <col min="1531" max="1531" width="8.85546875"/>
    <col min="1532" max="1532" width="2.85546875" customWidth="1"/>
    <col min="1533" max="1533" width="14.140625" customWidth="1"/>
    <col min="1534" max="1534" width="15.42578125" customWidth="1"/>
    <col min="1535" max="1535" width="13.5703125" customWidth="1"/>
    <col min="1536" max="1536" width="13.85546875" customWidth="1"/>
    <col min="1537" max="1537" width="13.140625" customWidth="1"/>
    <col min="1538" max="1538" width="14.85546875" bestFit="1" customWidth="1"/>
    <col min="1539" max="1539" width="2.7109375" customWidth="1"/>
    <col min="1540" max="1540" width="8.85546875"/>
    <col min="1541" max="1541" width="10.85546875" customWidth="1"/>
    <col min="1542" max="1542" width="7.85546875" customWidth="1"/>
    <col min="1543" max="1543" width="11.28515625" customWidth="1"/>
    <col min="1544" max="1784" width="8.85546875"/>
    <col min="1785" max="1785" width="11.5703125" customWidth="1"/>
    <col min="1786" max="1786" width="17" customWidth="1"/>
    <col min="1787" max="1787" width="8.85546875"/>
    <col min="1788" max="1788" width="2.85546875" customWidth="1"/>
    <col min="1789" max="1789" width="14.140625" customWidth="1"/>
    <col min="1790" max="1790" width="15.42578125" customWidth="1"/>
    <col min="1791" max="1791" width="13.5703125" customWidth="1"/>
    <col min="1792" max="1792" width="13.85546875" customWidth="1"/>
    <col min="1793" max="1793" width="13.140625" customWidth="1"/>
    <col min="1794" max="1794" width="14.85546875" bestFit="1" customWidth="1"/>
    <col min="1795" max="1795" width="2.7109375" customWidth="1"/>
    <col min="1796" max="1796" width="8.85546875"/>
    <col min="1797" max="1797" width="10.85546875" customWidth="1"/>
    <col min="1798" max="1798" width="7.85546875" customWidth="1"/>
    <col min="1799" max="1799" width="11.28515625" customWidth="1"/>
    <col min="1800" max="2040" width="8.85546875"/>
    <col min="2041" max="2041" width="11.5703125" customWidth="1"/>
    <col min="2042" max="2042" width="17" customWidth="1"/>
    <col min="2043" max="2043" width="8.85546875"/>
    <col min="2044" max="2044" width="2.85546875" customWidth="1"/>
    <col min="2045" max="2045" width="14.140625" customWidth="1"/>
    <col min="2046" max="2046" width="15.42578125" customWidth="1"/>
    <col min="2047" max="2047" width="13.5703125" customWidth="1"/>
    <col min="2048" max="2048" width="13.85546875" customWidth="1"/>
    <col min="2049" max="2049" width="13.140625" customWidth="1"/>
    <col min="2050" max="2050" width="14.85546875" bestFit="1" customWidth="1"/>
    <col min="2051" max="2051" width="2.7109375" customWidth="1"/>
    <col min="2052" max="2052" width="8.85546875"/>
    <col min="2053" max="2053" width="10.85546875" customWidth="1"/>
    <col min="2054" max="2054" width="7.85546875" customWidth="1"/>
    <col min="2055" max="2055" width="11.28515625" customWidth="1"/>
    <col min="2056" max="2296" width="8.85546875"/>
    <col min="2297" max="2297" width="11.5703125" customWidth="1"/>
    <col min="2298" max="2298" width="17" customWidth="1"/>
    <col min="2299" max="2299" width="8.85546875"/>
    <col min="2300" max="2300" width="2.85546875" customWidth="1"/>
    <col min="2301" max="2301" width="14.140625" customWidth="1"/>
    <col min="2302" max="2302" width="15.42578125" customWidth="1"/>
    <col min="2303" max="2303" width="13.5703125" customWidth="1"/>
    <col min="2304" max="2304" width="13.85546875" customWidth="1"/>
    <col min="2305" max="2305" width="13.140625" customWidth="1"/>
    <col min="2306" max="2306" width="14.85546875" bestFit="1" customWidth="1"/>
    <col min="2307" max="2307" width="2.7109375" customWidth="1"/>
    <col min="2308" max="2308" width="8.85546875"/>
    <col min="2309" max="2309" width="10.85546875" customWidth="1"/>
    <col min="2310" max="2310" width="7.85546875" customWidth="1"/>
    <col min="2311" max="2311" width="11.28515625" customWidth="1"/>
    <col min="2312" max="2552" width="8.85546875"/>
    <col min="2553" max="2553" width="11.5703125" customWidth="1"/>
    <col min="2554" max="2554" width="17" customWidth="1"/>
    <col min="2555" max="2555" width="8.85546875"/>
    <col min="2556" max="2556" width="2.85546875" customWidth="1"/>
    <col min="2557" max="2557" width="14.140625" customWidth="1"/>
    <col min="2558" max="2558" width="15.42578125" customWidth="1"/>
    <col min="2559" max="2559" width="13.5703125" customWidth="1"/>
    <col min="2560" max="2560" width="13.85546875" customWidth="1"/>
    <col min="2561" max="2561" width="13.140625" customWidth="1"/>
    <col min="2562" max="2562" width="14.85546875" bestFit="1" customWidth="1"/>
    <col min="2563" max="2563" width="2.7109375" customWidth="1"/>
    <col min="2564" max="2564" width="8.85546875"/>
    <col min="2565" max="2565" width="10.85546875" customWidth="1"/>
    <col min="2566" max="2566" width="7.85546875" customWidth="1"/>
    <col min="2567" max="2567" width="11.28515625" customWidth="1"/>
    <col min="2568" max="2808" width="8.85546875"/>
    <col min="2809" max="2809" width="11.5703125" customWidth="1"/>
    <col min="2810" max="2810" width="17" customWidth="1"/>
    <col min="2811" max="2811" width="8.85546875"/>
    <col min="2812" max="2812" width="2.85546875" customWidth="1"/>
    <col min="2813" max="2813" width="14.140625" customWidth="1"/>
    <col min="2814" max="2814" width="15.42578125" customWidth="1"/>
    <col min="2815" max="2815" width="13.5703125" customWidth="1"/>
    <col min="2816" max="2816" width="13.85546875" customWidth="1"/>
    <col min="2817" max="2817" width="13.140625" customWidth="1"/>
    <col min="2818" max="2818" width="14.85546875" bestFit="1" customWidth="1"/>
    <col min="2819" max="2819" width="2.7109375" customWidth="1"/>
    <col min="2820" max="2820" width="8.85546875"/>
    <col min="2821" max="2821" width="10.85546875" customWidth="1"/>
    <col min="2822" max="2822" width="7.85546875" customWidth="1"/>
    <col min="2823" max="2823" width="11.28515625" customWidth="1"/>
    <col min="2824" max="3064" width="8.85546875"/>
    <col min="3065" max="3065" width="11.5703125" customWidth="1"/>
    <col min="3066" max="3066" width="17" customWidth="1"/>
    <col min="3067" max="3067" width="8.85546875"/>
    <col min="3068" max="3068" width="2.85546875" customWidth="1"/>
    <col min="3069" max="3069" width="14.140625" customWidth="1"/>
    <col min="3070" max="3070" width="15.42578125" customWidth="1"/>
    <col min="3071" max="3071" width="13.5703125" customWidth="1"/>
    <col min="3072" max="3072" width="13.85546875" customWidth="1"/>
    <col min="3073" max="3073" width="13.140625" customWidth="1"/>
    <col min="3074" max="3074" width="14.85546875" bestFit="1" customWidth="1"/>
    <col min="3075" max="3075" width="2.7109375" customWidth="1"/>
    <col min="3076" max="3076" width="8.85546875"/>
    <col min="3077" max="3077" width="10.85546875" customWidth="1"/>
    <col min="3078" max="3078" width="7.85546875" customWidth="1"/>
    <col min="3079" max="3079" width="11.28515625" customWidth="1"/>
    <col min="3080" max="3320" width="8.85546875"/>
    <col min="3321" max="3321" width="11.5703125" customWidth="1"/>
    <col min="3322" max="3322" width="17" customWidth="1"/>
    <col min="3323" max="3323" width="8.85546875"/>
    <col min="3324" max="3324" width="2.85546875" customWidth="1"/>
    <col min="3325" max="3325" width="14.140625" customWidth="1"/>
    <col min="3326" max="3326" width="15.42578125" customWidth="1"/>
    <col min="3327" max="3327" width="13.5703125" customWidth="1"/>
    <col min="3328" max="3328" width="13.85546875" customWidth="1"/>
    <col min="3329" max="3329" width="13.140625" customWidth="1"/>
    <col min="3330" max="3330" width="14.85546875" bestFit="1" customWidth="1"/>
    <col min="3331" max="3331" width="2.7109375" customWidth="1"/>
    <col min="3332" max="3332" width="8.85546875"/>
    <col min="3333" max="3333" width="10.85546875" customWidth="1"/>
    <col min="3334" max="3334" width="7.85546875" customWidth="1"/>
    <col min="3335" max="3335" width="11.28515625" customWidth="1"/>
    <col min="3336" max="3576" width="8.85546875"/>
    <col min="3577" max="3577" width="11.5703125" customWidth="1"/>
    <col min="3578" max="3578" width="17" customWidth="1"/>
    <col min="3579" max="3579" width="8.85546875"/>
    <col min="3580" max="3580" width="2.85546875" customWidth="1"/>
    <col min="3581" max="3581" width="14.140625" customWidth="1"/>
    <col min="3582" max="3582" width="15.42578125" customWidth="1"/>
    <col min="3583" max="3583" width="13.5703125" customWidth="1"/>
    <col min="3584" max="3584" width="13.85546875" customWidth="1"/>
    <col min="3585" max="3585" width="13.140625" customWidth="1"/>
    <col min="3586" max="3586" width="14.85546875" bestFit="1" customWidth="1"/>
    <col min="3587" max="3587" width="2.7109375" customWidth="1"/>
    <col min="3588" max="3588" width="8.85546875"/>
    <col min="3589" max="3589" width="10.85546875" customWidth="1"/>
    <col min="3590" max="3590" width="7.85546875" customWidth="1"/>
    <col min="3591" max="3591" width="11.28515625" customWidth="1"/>
    <col min="3592" max="3832" width="8.85546875"/>
    <col min="3833" max="3833" width="11.5703125" customWidth="1"/>
    <col min="3834" max="3834" width="17" customWidth="1"/>
    <col min="3835" max="3835" width="8.85546875"/>
    <col min="3836" max="3836" width="2.85546875" customWidth="1"/>
    <col min="3837" max="3837" width="14.140625" customWidth="1"/>
    <col min="3838" max="3838" width="15.42578125" customWidth="1"/>
    <col min="3839" max="3839" width="13.5703125" customWidth="1"/>
    <col min="3840" max="3840" width="13.85546875" customWidth="1"/>
    <col min="3841" max="3841" width="13.140625" customWidth="1"/>
    <col min="3842" max="3842" width="14.85546875" bestFit="1" customWidth="1"/>
    <col min="3843" max="3843" width="2.7109375" customWidth="1"/>
    <col min="3844" max="3844" width="8.85546875"/>
    <col min="3845" max="3845" width="10.85546875" customWidth="1"/>
    <col min="3846" max="3846" width="7.85546875" customWidth="1"/>
    <col min="3847" max="3847" width="11.28515625" customWidth="1"/>
    <col min="3848" max="4088" width="8.85546875"/>
    <col min="4089" max="4089" width="11.5703125" customWidth="1"/>
    <col min="4090" max="4090" width="17" customWidth="1"/>
    <col min="4091" max="4091" width="8.85546875"/>
    <col min="4092" max="4092" width="2.85546875" customWidth="1"/>
    <col min="4093" max="4093" width="14.140625" customWidth="1"/>
    <col min="4094" max="4094" width="15.42578125" customWidth="1"/>
    <col min="4095" max="4095" width="13.5703125" customWidth="1"/>
    <col min="4096" max="4096" width="13.85546875" customWidth="1"/>
    <col min="4097" max="4097" width="13.140625" customWidth="1"/>
    <col min="4098" max="4098" width="14.85546875" bestFit="1" customWidth="1"/>
    <col min="4099" max="4099" width="2.7109375" customWidth="1"/>
    <col min="4100" max="4100" width="8.85546875"/>
    <col min="4101" max="4101" width="10.85546875" customWidth="1"/>
    <col min="4102" max="4102" width="7.85546875" customWidth="1"/>
    <col min="4103" max="4103" width="11.28515625" customWidth="1"/>
    <col min="4104" max="4344" width="8.85546875"/>
    <col min="4345" max="4345" width="11.5703125" customWidth="1"/>
    <col min="4346" max="4346" width="17" customWidth="1"/>
    <col min="4347" max="4347" width="8.85546875"/>
    <col min="4348" max="4348" width="2.85546875" customWidth="1"/>
    <col min="4349" max="4349" width="14.140625" customWidth="1"/>
    <col min="4350" max="4350" width="15.42578125" customWidth="1"/>
    <col min="4351" max="4351" width="13.5703125" customWidth="1"/>
    <col min="4352" max="4352" width="13.85546875" customWidth="1"/>
    <col min="4353" max="4353" width="13.140625" customWidth="1"/>
    <col min="4354" max="4354" width="14.85546875" bestFit="1" customWidth="1"/>
    <col min="4355" max="4355" width="2.7109375" customWidth="1"/>
    <col min="4356" max="4356" width="8.85546875"/>
    <col min="4357" max="4357" width="10.85546875" customWidth="1"/>
    <col min="4358" max="4358" width="7.85546875" customWidth="1"/>
    <col min="4359" max="4359" width="11.28515625" customWidth="1"/>
    <col min="4360" max="4600" width="8.85546875"/>
    <col min="4601" max="4601" width="11.5703125" customWidth="1"/>
    <col min="4602" max="4602" width="17" customWidth="1"/>
    <col min="4603" max="4603" width="8.85546875"/>
    <col min="4604" max="4604" width="2.85546875" customWidth="1"/>
    <col min="4605" max="4605" width="14.140625" customWidth="1"/>
    <col min="4606" max="4606" width="15.42578125" customWidth="1"/>
    <col min="4607" max="4607" width="13.5703125" customWidth="1"/>
    <col min="4608" max="4608" width="13.85546875" customWidth="1"/>
    <col min="4609" max="4609" width="13.140625" customWidth="1"/>
    <col min="4610" max="4610" width="14.85546875" bestFit="1" customWidth="1"/>
    <col min="4611" max="4611" width="2.7109375" customWidth="1"/>
    <col min="4612" max="4612" width="8.85546875"/>
    <col min="4613" max="4613" width="10.85546875" customWidth="1"/>
    <col min="4614" max="4614" width="7.85546875" customWidth="1"/>
    <col min="4615" max="4615" width="11.28515625" customWidth="1"/>
    <col min="4616" max="4856" width="8.85546875"/>
    <col min="4857" max="4857" width="11.5703125" customWidth="1"/>
    <col min="4858" max="4858" width="17" customWidth="1"/>
    <col min="4859" max="4859" width="8.85546875"/>
    <col min="4860" max="4860" width="2.85546875" customWidth="1"/>
    <col min="4861" max="4861" width="14.140625" customWidth="1"/>
    <col min="4862" max="4862" width="15.42578125" customWidth="1"/>
    <col min="4863" max="4863" width="13.5703125" customWidth="1"/>
    <col min="4864" max="4864" width="13.85546875" customWidth="1"/>
    <col min="4865" max="4865" width="13.140625" customWidth="1"/>
    <col min="4866" max="4866" width="14.85546875" bestFit="1" customWidth="1"/>
    <col min="4867" max="4867" width="2.7109375" customWidth="1"/>
    <col min="4868" max="4868" width="8.85546875"/>
    <col min="4869" max="4869" width="10.85546875" customWidth="1"/>
    <col min="4870" max="4870" width="7.85546875" customWidth="1"/>
    <col min="4871" max="4871" width="11.28515625" customWidth="1"/>
    <col min="4872" max="5112" width="8.85546875"/>
    <col min="5113" max="5113" width="11.5703125" customWidth="1"/>
    <col min="5114" max="5114" width="17" customWidth="1"/>
    <col min="5115" max="5115" width="8.85546875"/>
    <col min="5116" max="5116" width="2.85546875" customWidth="1"/>
    <col min="5117" max="5117" width="14.140625" customWidth="1"/>
    <col min="5118" max="5118" width="15.42578125" customWidth="1"/>
    <col min="5119" max="5119" width="13.5703125" customWidth="1"/>
    <col min="5120" max="5120" width="13.85546875" customWidth="1"/>
    <col min="5121" max="5121" width="13.140625" customWidth="1"/>
    <col min="5122" max="5122" width="14.85546875" bestFit="1" customWidth="1"/>
    <col min="5123" max="5123" width="2.7109375" customWidth="1"/>
    <col min="5124" max="5124" width="8.85546875"/>
    <col min="5125" max="5125" width="10.85546875" customWidth="1"/>
    <col min="5126" max="5126" width="7.85546875" customWidth="1"/>
    <col min="5127" max="5127" width="11.28515625" customWidth="1"/>
    <col min="5128" max="5368" width="8.85546875"/>
    <col min="5369" max="5369" width="11.5703125" customWidth="1"/>
    <col min="5370" max="5370" width="17" customWidth="1"/>
    <col min="5371" max="5371" width="8.85546875"/>
    <col min="5372" max="5372" width="2.85546875" customWidth="1"/>
    <col min="5373" max="5373" width="14.140625" customWidth="1"/>
    <col min="5374" max="5374" width="15.42578125" customWidth="1"/>
    <col min="5375" max="5375" width="13.5703125" customWidth="1"/>
    <col min="5376" max="5376" width="13.85546875" customWidth="1"/>
    <col min="5377" max="5377" width="13.140625" customWidth="1"/>
    <col min="5378" max="5378" width="14.85546875" bestFit="1" customWidth="1"/>
    <col min="5379" max="5379" width="2.7109375" customWidth="1"/>
    <col min="5380" max="5380" width="8.85546875"/>
    <col min="5381" max="5381" width="10.85546875" customWidth="1"/>
    <col min="5382" max="5382" width="7.85546875" customWidth="1"/>
    <col min="5383" max="5383" width="11.28515625" customWidth="1"/>
    <col min="5384" max="5624" width="8.85546875"/>
    <col min="5625" max="5625" width="11.5703125" customWidth="1"/>
    <col min="5626" max="5626" width="17" customWidth="1"/>
    <col min="5627" max="5627" width="8.85546875"/>
    <col min="5628" max="5628" width="2.85546875" customWidth="1"/>
    <col min="5629" max="5629" width="14.140625" customWidth="1"/>
    <col min="5630" max="5630" width="15.42578125" customWidth="1"/>
    <col min="5631" max="5631" width="13.5703125" customWidth="1"/>
    <col min="5632" max="5632" width="13.85546875" customWidth="1"/>
    <col min="5633" max="5633" width="13.140625" customWidth="1"/>
    <col min="5634" max="5634" width="14.85546875" bestFit="1" customWidth="1"/>
    <col min="5635" max="5635" width="2.7109375" customWidth="1"/>
    <col min="5636" max="5636" width="8.85546875"/>
    <col min="5637" max="5637" width="10.85546875" customWidth="1"/>
    <col min="5638" max="5638" width="7.85546875" customWidth="1"/>
    <col min="5639" max="5639" width="11.28515625" customWidth="1"/>
    <col min="5640" max="5880" width="8.85546875"/>
    <col min="5881" max="5881" width="11.5703125" customWidth="1"/>
    <col min="5882" max="5882" width="17" customWidth="1"/>
    <col min="5883" max="5883" width="8.85546875"/>
    <col min="5884" max="5884" width="2.85546875" customWidth="1"/>
    <col min="5885" max="5885" width="14.140625" customWidth="1"/>
    <col min="5886" max="5886" width="15.42578125" customWidth="1"/>
    <col min="5887" max="5887" width="13.5703125" customWidth="1"/>
    <col min="5888" max="5888" width="13.85546875" customWidth="1"/>
    <col min="5889" max="5889" width="13.140625" customWidth="1"/>
    <col min="5890" max="5890" width="14.85546875" bestFit="1" customWidth="1"/>
    <col min="5891" max="5891" width="2.7109375" customWidth="1"/>
    <col min="5892" max="5892" width="8.85546875"/>
    <col min="5893" max="5893" width="10.85546875" customWidth="1"/>
    <col min="5894" max="5894" width="7.85546875" customWidth="1"/>
    <col min="5895" max="5895" width="11.28515625" customWidth="1"/>
    <col min="5896" max="6136" width="8.85546875"/>
    <col min="6137" max="6137" width="11.5703125" customWidth="1"/>
    <col min="6138" max="6138" width="17" customWidth="1"/>
    <col min="6139" max="6139" width="8.85546875"/>
    <col min="6140" max="6140" width="2.85546875" customWidth="1"/>
    <col min="6141" max="6141" width="14.140625" customWidth="1"/>
    <col min="6142" max="6142" width="15.42578125" customWidth="1"/>
    <col min="6143" max="6143" width="13.5703125" customWidth="1"/>
    <col min="6144" max="6144" width="13.85546875" customWidth="1"/>
    <col min="6145" max="6145" width="13.140625" customWidth="1"/>
    <col min="6146" max="6146" width="14.85546875" bestFit="1" customWidth="1"/>
    <col min="6147" max="6147" width="2.7109375" customWidth="1"/>
    <col min="6148" max="6148" width="8.85546875"/>
    <col min="6149" max="6149" width="10.85546875" customWidth="1"/>
    <col min="6150" max="6150" width="7.85546875" customWidth="1"/>
    <col min="6151" max="6151" width="11.28515625" customWidth="1"/>
    <col min="6152" max="6392" width="8.85546875"/>
    <col min="6393" max="6393" width="11.5703125" customWidth="1"/>
    <col min="6394" max="6394" width="17" customWidth="1"/>
    <col min="6395" max="6395" width="8.85546875"/>
    <col min="6396" max="6396" width="2.85546875" customWidth="1"/>
    <col min="6397" max="6397" width="14.140625" customWidth="1"/>
    <col min="6398" max="6398" width="15.42578125" customWidth="1"/>
    <col min="6399" max="6399" width="13.5703125" customWidth="1"/>
    <col min="6400" max="6400" width="13.85546875" customWidth="1"/>
    <col min="6401" max="6401" width="13.140625" customWidth="1"/>
    <col min="6402" max="6402" width="14.85546875" bestFit="1" customWidth="1"/>
    <col min="6403" max="6403" width="2.7109375" customWidth="1"/>
    <col min="6404" max="6404" width="8.85546875"/>
    <col min="6405" max="6405" width="10.85546875" customWidth="1"/>
    <col min="6406" max="6406" width="7.85546875" customWidth="1"/>
    <col min="6407" max="6407" width="11.28515625" customWidth="1"/>
    <col min="6408" max="6648" width="8.85546875"/>
    <col min="6649" max="6649" width="11.5703125" customWidth="1"/>
    <col min="6650" max="6650" width="17" customWidth="1"/>
    <col min="6651" max="6651" width="8.85546875"/>
    <col min="6652" max="6652" width="2.85546875" customWidth="1"/>
    <col min="6653" max="6653" width="14.140625" customWidth="1"/>
    <col min="6654" max="6654" width="15.42578125" customWidth="1"/>
    <col min="6655" max="6655" width="13.5703125" customWidth="1"/>
    <col min="6656" max="6656" width="13.85546875" customWidth="1"/>
    <col min="6657" max="6657" width="13.140625" customWidth="1"/>
    <col min="6658" max="6658" width="14.85546875" bestFit="1" customWidth="1"/>
    <col min="6659" max="6659" width="2.7109375" customWidth="1"/>
    <col min="6660" max="6660" width="8.85546875"/>
    <col min="6661" max="6661" width="10.85546875" customWidth="1"/>
    <col min="6662" max="6662" width="7.85546875" customWidth="1"/>
    <col min="6663" max="6663" width="11.28515625" customWidth="1"/>
    <col min="6664" max="6904" width="8.85546875"/>
    <col min="6905" max="6905" width="11.5703125" customWidth="1"/>
    <col min="6906" max="6906" width="17" customWidth="1"/>
    <col min="6907" max="6907" width="8.85546875"/>
    <col min="6908" max="6908" width="2.85546875" customWidth="1"/>
    <col min="6909" max="6909" width="14.140625" customWidth="1"/>
    <col min="6910" max="6910" width="15.42578125" customWidth="1"/>
    <col min="6911" max="6911" width="13.5703125" customWidth="1"/>
    <col min="6912" max="6912" width="13.85546875" customWidth="1"/>
    <col min="6913" max="6913" width="13.140625" customWidth="1"/>
    <col min="6914" max="6914" width="14.85546875" bestFit="1" customWidth="1"/>
    <col min="6915" max="6915" width="2.7109375" customWidth="1"/>
    <col min="6916" max="6916" width="8.85546875"/>
    <col min="6917" max="6917" width="10.85546875" customWidth="1"/>
    <col min="6918" max="6918" width="7.85546875" customWidth="1"/>
    <col min="6919" max="6919" width="11.28515625" customWidth="1"/>
    <col min="6920" max="7160" width="8.85546875"/>
    <col min="7161" max="7161" width="11.5703125" customWidth="1"/>
    <col min="7162" max="7162" width="17" customWidth="1"/>
    <col min="7163" max="7163" width="8.85546875"/>
    <col min="7164" max="7164" width="2.85546875" customWidth="1"/>
    <col min="7165" max="7165" width="14.140625" customWidth="1"/>
    <col min="7166" max="7166" width="15.42578125" customWidth="1"/>
    <col min="7167" max="7167" width="13.5703125" customWidth="1"/>
    <col min="7168" max="7168" width="13.85546875" customWidth="1"/>
    <col min="7169" max="7169" width="13.140625" customWidth="1"/>
    <col min="7170" max="7170" width="14.85546875" bestFit="1" customWidth="1"/>
    <col min="7171" max="7171" width="2.7109375" customWidth="1"/>
    <col min="7172" max="7172" width="8.85546875"/>
    <col min="7173" max="7173" width="10.85546875" customWidth="1"/>
    <col min="7174" max="7174" width="7.85546875" customWidth="1"/>
    <col min="7175" max="7175" width="11.28515625" customWidth="1"/>
    <col min="7176" max="7416" width="8.85546875"/>
    <col min="7417" max="7417" width="11.5703125" customWidth="1"/>
    <col min="7418" max="7418" width="17" customWidth="1"/>
    <col min="7419" max="7419" width="8.85546875"/>
    <col min="7420" max="7420" width="2.85546875" customWidth="1"/>
    <col min="7421" max="7421" width="14.140625" customWidth="1"/>
    <col min="7422" max="7422" width="15.42578125" customWidth="1"/>
    <col min="7423" max="7423" width="13.5703125" customWidth="1"/>
    <col min="7424" max="7424" width="13.85546875" customWidth="1"/>
    <col min="7425" max="7425" width="13.140625" customWidth="1"/>
    <col min="7426" max="7426" width="14.85546875" bestFit="1" customWidth="1"/>
    <col min="7427" max="7427" width="2.7109375" customWidth="1"/>
    <col min="7428" max="7428" width="8.85546875"/>
    <col min="7429" max="7429" width="10.85546875" customWidth="1"/>
    <col min="7430" max="7430" width="7.85546875" customWidth="1"/>
    <col min="7431" max="7431" width="11.28515625" customWidth="1"/>
    <col min="7432" max="7672" width="8.85546875"/>
    <col min="7673" max="7673" width="11.5703125" customWidth="1"/>
    <col min="7674" max="7674" width="17" customWidth="1"/>
    <col min="7675" max="7675" width="8.85546875"/>
    <col min="7676" max="7676" width="2.85546875" customWidth="1"/>
    <col min="7677" max="7677" width="14.140625" customWidth="1"/>
    <col min="7678" max="7678" width="15.42578125" customWidth="1"/>
    <col min="7679" max="7679" width="13.5703125" customWidth="1"/>
    <col min="7680" max="7680" width="13.85546875" customWidth="1"/>
    <col min="7681" max="7681" width="13.140625" customWidth="1"/>
    <col min="7682" max="7682" width="14.85546875" bestFit="1" customWidth="1"/>
    <col min="7683" max="7683" width="2.7109375" customWidth="1"/>
    <col min="7684" max="7684" width="8.85546875"/>
    <col min="7685" max="7685" width="10.85546875" customWidth="1"/>
    <col min="7686" max="7686" width="7.85546875" customWidth="1"/>
    <col min="7687" max="7687" width="11.28515625" customWidth="1"/>
    <col min="7688" max="7928" width="8.85546875"/>
    <col min="7929" max="7929" width="11.5703125" customWidth="1"/>
    <col min="7930" max="7930" width="17" customWidth="1"/>
    <col min="7931" max="7931" width="8.85546875"/>
    <col min="7932" max="7932" width="2.85546875" customWidth="1"/>
    <col min="7933" max="7933" width="14.140625" customWidth="1"/>
    <col min="7934" max="7934" width="15.42578125" customWidth="1"/>
    <col min="7935" max="7935" width="13.5703125" customWidth="1"/>
    <col min="7936" max="7936" width="13.85546875" customWidth="1"/>
    <col min="7937" max="7937" width="13.140625" customWidth="1"/>
    <col min="7938" max="7938" width="14.85546875" bestFit="1" customWidth="1"/>
    <col min="7939" max="7939" width="2.7109375" customWidth="1"/>
    <col min="7940" max="7940" width="8.85546875"/>
    <col min="7941" max="7941" width="10.85546875" customWidth="1"/>
    <col min="7942" max="7942" width="7.85546875" customWidth="1"/>
    <col min="7943" max="7943" width="11.28515625" customWidth="1"/>
    <col min="7944" max="8184" width="8.85546875"/>
    <col min="8185" max="8185" width="11.5703125" customWidth="1"/>
    <col min="8186" max="8186" width="17" customWidth="1"/>
    <col min="8187" max="8187" width="8.85546875"/>
    <col min="8188" max="8188" width="2.85546875" customWidth="1"/>
    <col min="8189" max="8189" width="14.140625" customWidth="1"/>
    <col min="8190" max="8190" width="15.42578125" customWidth="1"/>
    <col min="8191" max="8191" width="13.5703125" customWidth="1"/>
    <col min="8192" max="8192" width="13.85546875" customWidth="1"/>
    <col min="8193" max="8193" width="13.140625" customWidth="1"/>
    <col min="8194" max="8194" width="14.85546875" bestFit="1" customWidth="1"/>
    <col min="8195" max="8195" width="2.7109375" customWidth="1"/>
    <col min="8196" max="8196" width="8.85546875"/>
    <col min="8197" max="8197" width="10.85546875" customWidth="1"/>
    <col min="8198" max="8198" width="7.85546875" customWidth="1"/>
    <col min="8199" max="8199" width="11.28515625" customWidth="1"/>
    <col min="8200" max="8440" width="8.85546875"/>
    <col min="8441" max="8441" width="11.5703125" customWidth="1"/>
    <col min="8442" max="8442" width="17" customWidth="1"/>
    <col min="8443" max="8443" width="8.85546875"/>
    <col min="8444" max="8444" width="2.85546875" customWidth="1"/>
    <col min="8445" max="8445" width="14.140625" customWidth="1"/>
    <col min="8446" max="8446" width="15.42578125" customWidth="1"/>
    <col min="8447" max="8447" width="13.5703125" customWidth="1"/>
    <col min="8448" max="8448" width="13.85546875" customWidth="1"/>
    <col min="8449" max="8449" width="13.140625" customWidth="1"/>
    <col min="8450" max="8450" width="14.85546875" bestFit="1" customWidth="1"/>
    <col min="8451" max="8451" width="2.7109375" customWidth="1"/>
    <col min="8452" max="8452" width="8.85546875"/>
    <col min="8453" max="8453" width="10.85546875" customWidth="1"/>
    <col min="8454" max="8454" width="7.85546875" customWidth="1"/>
    <col min="8455" max="8455" width="11.28515625" customWidth="1"/>
    <col min="8456" max="8696" width="8.85546875"/>
    <col min="8697" max="8697" width="11.5703125" customWidth="1"/>
    <col min="8698" max="8698" width="17" customWidth="1"/>
    <col min="8699" max="8699" width="8.85546875"/>
    <col min="8700" max="8700" width="2.85546875" customWidth="1"/>
    <col min="8701" max="8701" width="14.140625" customWidth="1"/>
    <col min="8702" max="8702" width="15.42578125" customWidth="1"/>
    <col min="8703" max="8703" width="13.5703125" customWidth="1"/>
    <col min="8704" max="8704" width="13.85546875" customWidth="1"/>
    <col min="8705" max="8705" width="13.140625" customWidth="1"/>
    <col min="8706" max="8706" width="14.85546875" bestFit="1" customWidth="1"/>
    <col min="8707" max="8707" width="2.7109375" customWidth="1"/>
    <col min="8708" max="8708" width="8.85546875"/>
    <col min="8709" max="8709" width="10.85546875" customWidth="1"/>
    <col min="8710" max="8710" width="7.85546875" customWidth="1"/>
    <col min="8711" max="8711" width="11.28515625" customWidth="1"/>
    <col min="8712" max="8952" width="8.85546875"/>
    <col min="8953" max="8953" width="11.5703125" customWidth="1"/>
    <col min="8954" max="8954" width="17" customWidth="1"/>
    <col min="8955" max="8955" width="8.85546875"/>
    <col min="8956" max="8956" width="2.85546875" customWidth="1"/>
    <col min="8957" max="8957" width="14.140625" customWidth="1"/>
    <col min="8958" max="8958" width="15.42578125" customWidth="1"/>
    <col min="8959" max="8959" width="13.5703125" customWidth="1"/>
    <col min="8960" max="8960" width="13.85546875" customWidth="1"/>
    <col min="8961" max="8961" width="13.140625" customWidth="1"/>
    <col min="8962" max="8962" width="14.85546875" bestFit="1" customWidth="1"/>
    <col min="8963" max="8963" width="2.7109375" customWidth="1"/>
    <col min="8964" max="8964" width="8.85546875"/>
    <col min="8965" max="8965" width="10.85546875" customWidth="1"/>
    <col min="8966" max="8966" width="7.85546875" customWidth="1"/>
    <col min="8967" max="8967" width="11.28515625" customWidth="1"/>
    <col min="8968" max="9208" width="8.85546875"/>
    <col min="9209" max="9209" width="11.5703125" customWidth="1"/>
    <col min="9210" max="9210" width="17" customWidth="1"/>
    <col min="9211" max="9211" width="8.85546875"/>
    <col min="9212" max="9212" width="2.85546875" customWidth="1"/>
    <col min="9213" max="9213" width="14.140625" customWidth="1"/>
    <col min="9214" max="9214" width="15.42578125" customWidth="1"/>
    <col min="9215" max="9215" width="13.5703125" customWidth="1"/>
    <col min="9216" max="9216" width="13.85546875" customWidth="1"/>
    <col min="9217" max="9217" width="13.140625" customWidth="1"/>
    <col min="9218" max="9218" width="14.85546875" bestFit="1" customWidth="1"/>
    <col min="9219" max="9219" width="2.7109375" customWidth="1"/>
    <col min="9220" max="9220" width="8.85546875"/>
    <col min="9221" max="9221" width="10.85546875" customWidth="1"/>
    <col min="9222" max="9222" width="7.85546875" customWidth="1"/>
    <col min="9223" max="9223" width="11.28515625" customWidth="1"/>
    <col min="9224" max="9464" width="8.85546875"/>
    <col min="9465" max="9465" width="11.5703125" customWidth="1"/>
    <col min="9466" max="9466" width="17" customWidth="1"/>
    <col min="9467" max="9467" width="8.85546875"/>
    <col min="9468" max="9468" width="2.85546875" customWidth="1"/>
    <col min="9469" max="9469" width="14.140625" customWidth="1"/>
    <col min="9470" max="9470" width="15.42578125" customWidth="1"/>
    <col min="9471" max="9471" width="13.5703125" customWidth="1"/>
    <col min="9472" max="9472" width="13.85546875" customWidth="1"/>
    <col min="9473" max="9473" width="13.140625" customWidth="1"/>
    <col min="9474" max="9474" width="14.85546875" bestFit="1" customWidth="1"/>
    <col min="9475" max="9475" width="2.7109375" customWidth="1"/>
    <col min="9476" max="9476" width="8.85546875"/>
    <col min="9477" max="9477" width="10.85546875" customWidth="1"/>
    <col min="9478" max="9478" width="7.85546875" customWidth="1"/>
    <col min="9479" max="9479" width="11.28515625" customWidth="1"/>
    <col min="9480" max="9720" width="8.85546875"/>
    <col min="9721" max="9721" width="11.5703125" customWidth="1"/>
    <col min="9722" max="9722" width="17" customWidth="1"/>
    <col min="9723" max="9723" width="8.85546875"/>
    <col min="9724" max="9724" width="2.85546875" customWidth="1"/>
    <col min="9725" max="9725" width="14.140625" customWidth="1"/>
    <col min="9726" max="9726" width="15.42578125" customWidth="1"/>
    <col min="9727" max="9727" width="13.5703125" customWidth="1"/>
    <col min="9728" max="9728" width="13.85546875" customWidth="1"/>
    <col min="9729" max="9729" width="13.140625" customWidth="1"/>
    <col min="9730" max="9730" width="14.85546875" bestFit="1" customWidth="1"/>
    <col min="9731" max="9731" width="2.7109375" customWidth="1"/>
    <col min="9732" max="9732" width="8.85546875"/>
    <col min="9733" max="9733" width="10.85546875" customWidth="1"/>
    <col min="9734" max="9734" width="7.85546875" customWidth="1"/>
    <col min="9735" max="9735" width="11.28515625" customWidth="1"/>
    <col min="9736" max="9976" width="8.85546875"/>
    <col min="9977" max="9977" width="11.5703125" customWidth="1"/>
    <col min="9978" max="9978" width="17" customWidth="1"/>
    <col min="9979" max="9979" width="8.85546875"/>
    <col min="9980" max="9980" width="2.85546875" customWidth="1"/>
    <col min="9981" max="9981" width="14.140625" customWidth="1"/>
    <col min="9982" max="9982" width="15.42578125" customWidth="1"/>
    <col min="9983" max="9983" width="13.5703125" customWidth="1"/>
    <col min="9984" max="9984" width="13.85546875" customWidth="1"/>
    <col min="9985" max="9985" width="13.140625" customWidth="1"/>
    <col min="9986" max="9986" width="14.85546875" bestFit="1" customWidth="1"/>
    <col min="9987" max="9987" width="2.7109375" customWidth="1"/>
    <col min="9988" max="9988" width="8.85546875"/>
    <col min="9989" max="9989" width="10.85546875" customWidth="1"/>
    <col min="9990" max="9990" width="7.85546875" customWidth="1"/>
    <col min="9991" max="9991" width="11.28515625" customWidth="1"/>
    <col min="9992" max="10232" width="8.85546875"/>
    <col min="10233" max="10233" width="11.5703125" customWidth="1"/>
    <col min="10234" max="10234" width="17" customWidth="1"/>
    <col min="10235" max="10235" width="8.85546875"/>
    <col min="10236" max="10236" width="2.85546875" customWidth="1"/>
    <col min="10237" max="10237" width="14.140625" customWidth="1"/>
    <col min="10238" max="10238" width="15.42578125" customWidth="1"/>
    <col min="10239" max="10239" width="13.5703125" customWidth="1"/>
    <col min="10240" max="10240" width="13.85546875" customWidth="1"/>
    <col min="10241" max="10241" width="13.140625" customWidth="1"/>
    <col min="10242" max="10242" width="14.85546875" bestFit="1" customWidth="1"/>
    <col min="10243" max="10243" width="2.7109375" customWidth="1"/>
    <col min="10244" max="10244" width="8.85546875"/>
    <col min="10245" max="10245" width="10.85546875" customWidth="1"/>
    <col min="10246" max="10246" width="7.85546875" customWidth="1"/>
    <col min="10247" max="10247" width="11.28515625" customWidth="1"/>
    <col min="10248" max="10488" width="8.85546875"/>
    <col min="10489" max="10489" width="11.5703125" customWidth="1"/>
    <col min="10490" max="10490" width="17" customWidth="1"/>
    <col min="10491" max="10491" width="8.85546875"/>
    <col min="10492" max="10492" width="2.85546875" customWidth="1"/>
    <col min="10493" max="10493" width="14.140625" customWidth="1"/>
    <col min="10494" max="10494" width="15.42578125" customWidth="1"/>
    <col min="10495" max="10495" width="13.5703125" customWidth="1"/>
    <col min="10496" max="10496" width="13.85546875" customWidth="1"/>
    <col min="10497" max="10497" width="13.140625" customWidth="1"/>
    <col min="10498" max="10498" width="14.85546875" bestFit="1" customWidth="1"/>
    <col min="10499" max="10499" width="2.7109375" customWidth="1"/>
    <col min="10500" max="10500" width="8.85546875"/>
    <col min="10501" max="10501" width="10.85546875" customWidth="1"/>
    <col min="10502" max="10502" width="7.85546875" customWidth="1"/>
    <col min="10503" max="10503" width="11.28515625" customWidth="1"/>
    <col min="10504" max="10744" width="8.85546875"/>
    <col min="10745" max="10745" width="11.5703125" customWidth="1"/>
    <col min="10746" max="10746" width="17" customWidth="1"/>
    <col min="10747" max="10747" width="8.85546875"/>
    <col min="10748" max="10748" width="2.85546875" customWidth="1"/>
    <col min="10749" max="10749" width="14.140625" customWidth="1"/>
    <col min="10750" max="10750" width="15.42578125" customWidth="1"/>
    <col min="10751" max="10751" width="13.5703125" customWidth="1"/>
    <col min="10752" max="10752" width="13.85546875" customWidth="1"/>
    <col min="10753" max="10753" width="13.140625" customWidth="1"/>
    <col min="10754" max="10754" width="14.85546875" bestFit="1" customWidth="1"/>
    <col min="10755" max="10755" width="2.7109375" customWidth="1"/>
    <col min="10756" max="10756" width="8.85546875"/>
    <col min="10757" max="10757" width="10.85546875" customWidth="1"/>
    <col min="10758" max="10758" width="7.85546875" customWidth="1"/>
    <col min="10759" max="10759" width="11.28515625" customWidth="1"/>
    <col min="10760" max="11000" width="8.85546875"/>
    <col min="11001" max="11001" width="11.5703125" customWidth="1"/>
    <col min="11002" max="11002" width="17" customWidth="1"/>
    <col min="11003" max="11003" width="8.85546875"/>
    <col min="11004" max="11004" width="2.85546875" customWidth="1"/>
    <col min="11005" max="11005" width="14.140625" customWidth="1"/>
    <col min="11006" max="11006" width="15.42578125" customWidth="1"/>
    <col min="11007" max="11007" width="13.5703125" customWidth="1"/>
    <col min="11008" max="11008" width="13.85546875" customWidth="1"/>
    <col min="11009" max="11009" width="13.140625" customWidth="1"/>
    <col min="11010" max="11010" width="14.85546875" bestFit="1" customWidth="1"/>
    <col min="11011" max="11011" width="2.7109375" customWidth="1"/>
    <col min="11012" max="11012" width="8.85546875"/>
    <col min="11013" max="11013" width="10.85546875" customWidth="1"/>
    <col min="11014" max="11014" width="7.85546875" customWidth="1"/>
    <col min="11015" max="11015" width="11.28515625" customWidth="1"/>
    <col min="11016" max="11256" width="8.85546875"/>
    <col min="11257" max="11257" width="11.5703125" customWidth="1"/>
    <col min="11258" max="11258" width="17" customWidth="1"/>
    <col min="11259" max="11259" width="8.85546875"/>
    <col min="11260" max="11260" width="2.85546875" customWidth="1"/>
    <col min="11261" max="11261" width="14.140625" customWidth="1"/>
    <col min="11262" max="11262" width="15.42578125" customWidth="1"/>
    <col min="11263" max="11263" width="13.5703125" customWidth="1"/>
    <col min="11264" max="11264" width="13.85546875" customWidth="1"/>
    <col min="11265" max="11265" width="13.140625" customWidth="1"/>
    <col min="11266" max="11266" width="14.85546875" bestFit="1" customWidth="1"/>
    <col min="11267" max="11267" width="2.7109375" customWidth="1"/>
    <col min="11268" max="11268" width="8.85546875"/>
    <col min="11269" max="11269" width="10.85546875" customWidth="1"/>
    <col min="11270" max="11270" width="7.85546875" customWidth="1"/>
    <col min="11271" max="11271" width="11.28515625" customWidth="1"/>
    <col min="11272" max="11512" width="8.85546875"/>
    <col min="11513" max="11513" width="11.5703125" customWidth="1"/>
    <col min="11514" max="11514" width="17" customWidth="1"/>
    <col min="11515" max="11515" width="8.85546875"/>
    <col min="11516" max="11516" width="2.85546875" customWidth="1"/>
    <col min="11517" max="11517" width="14.140625" customWidth="1"/>
    <col min="11518" max="11518" width="15.42578125" customWidth="1"/>
    <col min="11519" max="11519" width="13.5703125" customWidth="1"/>
    <col min="11520" max="11520" width="13.85546875" customWidth="1"/>
    <col min="11521" max="11521" width="13.140625" customWidth="1"/>
    <col min="11522" max="11522" width="14.85546875" bestFit="1" customWidth="1"/>
    <col min="11523" max="11523" width="2.7109375" customWidth="1"/>
    <col min="11524" max="11524" width="8.85546875"/>
    <col min="11525" max="11525" width="10.85546875" customWidth="1"/>
    <col min="11526" max="11526" width="7.85546875" customWidth="1"/>
    <col min="11527" max="11527" width="11.28515625" customWidth="1"/>
    <col min="11528" max="11768" width="8.85546875"/>
    <col min="11769" max="11769" width="11.5703125" customWidth="1"/>
    <col min="11770" max="11770" width="17" customWidth="1"/>
    <col min="11771" max="11771" width="8.85546875"/>
    <col min="11772" max="11772" width="2.85546875" customWidth="1"/>
    <col min="11773" max="11773" width="14.140625" customWidth="1"/>
    <col min="11774" max="11774" width="15.42578125" customWidth="1"/>
    <col min="11775" max="11775" width="13.5703125" customWidth="1"/>
    <col min="11776" max="11776" width="13.85546875" customWidth="1"/>
    <col min="11777" max="11777" width="13.140625" customWidth="1"/>
    <col min="11778" max="11778" width="14.85546875" bestFit="1" customWidth="1"/>
    <col min="11779" max="11779" width="2.7109375" customWidth="1"/>
    <col min="11780" max="11780" width="8.85546875"/>
    <col min="11781" max="11781" width="10.85546875" customWidth="1"/>
    <col min="11782" max="11782" width="7.85546875" customWidth="1"/>
    <col min="11783" max="11783" width="11.28515625" customWidth="1"/>
    <col min="11784" max="12024" width="8.85546875"/>
    <col min="12025" max="12025" width="11.5703125" customWidth="1"/>
    <col min="12026" max="12026" width="17" customWidth="1"/>
    <col min="12027" max="12027" width="8.85546875"/>
    <col min="12028" max="12028" width="2.85546875" customWidth="1"/>
    <col min="12029" max="12029" width="14.140625" customWidth="1"/>
    <col min="12030" max="12030" width="15.42578125" customWidth="1"/>
    <col min="12031" max="12031" width="13.5703125" customWidth="1"/>
    <col min="12032" max="12032" width="13.85546875" customWidth="1"/>
    <col min="12033" max="12033" width="13.140625" customWidth="1"/>
    <col min="12034" max="12034" width="14.85546875" bestFit="1" customWidth="1"/>
    <col min="12035" max="12035" width="2.7109375" customWidth="1"/>
    <col min="12036" max="12036" width="8.85546875"/>
    <col min="12037" max="12037" width="10.85546875" customWidth="1"/>
    <col min="12038" max="12038" width="7.85546875" customWidth="1"/>
    <col min="12039" max="12039" width="11.28515625" customWidth="1"/>
    <col min="12040" max="12280" width="8.85546875"/>
    <col min="12281" max="12281" width="11.5703125" customWidth="1"/>
    <col min="12282" max="12282" width="17" customWidth="1"/>
    <col min="12283" max="12283" width="8.85546875"/>
    <col min="12284" max="12284" width="2.85546875" customWidth="1"/>
    <col min="12285" max="12285" width="14.140625" customWidth="1"/>
    <col min="12286" max="12286" width="15.42578125" customWidth="1"/>
    <col min="12287" max="12287" width="13.5703125" customWidth="1"/>
    <col min="12288" max="12288" width="13.85546875" customWidth="1"/>
    <col min="12289" max="12289" width="13.140625" customWidth="1"/>
    <col min="12290" max="12290" width="14.85546875" bestFit="1" customWidth="1"/>
    <col min="12291" max="12291" width="2.7109375" customWidth="1"/>
    <col min="12292" max="12292" width="8.85546875"/>
    <col min="12293" max="12293" width="10.85546875" customWidth="1"/>
    <col min="12294" max="12294" width="7.85546875" customWidth="1"/>
    <col min="12295" max="12295" width="11.28515625" customWidth="1"/>
    <col min="12296" max="12536" width="8.85546875"/>
    <col min="12537" max="12537" width="11.5703125" customWidth="1"/>
    <col min="12538" max="12538" width="17" customWidth="1"/>
    <col min="12539" max="12539" width="8.85546875"/>
    <col min="12540" max="12540" width="2.85546875" customWidth="1"/>
    <col min="12541" max="12541" width="14.140625" customWidth="1"/>
    <col min="12542" max="12542" width="15.42578125" customWidth="1"/>
    <col min="12543" max="12543" width="13.5703125" customWidth="1"/>
    <col min="12544" max="12544" width="13.85546875" customWidth="1"/>
    <col min="12545" max="12545" width="13.140625" customWidth="1"/>
    <col min="12546" max="12546" width="14.85546875" bestFit="1" customWidth="1"/>
    <col min="12547" max="12547" width="2.7109375" customWidth="1"/>
    <col min="12548" max="12548" width="8.85546875"/>
    <col min="12549" max="12549" width="10.85546875" customWidth="1"/>
    <col min="12550" max="12550" width="7.85546875" customWidth="1"/>
    <col min="12551" max="12551" width="11.28515625" customWidth="1"/>
    <col min="12552" max="12792" width="8.85546875"/>
    <col min="12793" max="12793" width="11.5703125" customWidth="1"/>
    <col min="12794" max="12794" width="17" customWidth="1"/>
    <col min="12795" max="12795" width="8.85546875"/>
    <col min="12796" max="12796" width="2.85546875" customWidth="1"/>
    <col min="12797" max="12797" width="14.140625" customWidth="1"/>
    <col min="12798" max="12798" width="15.42578125" customWidth="1"/>
    <col min="12799" max="12799" width="13.5703125" customWidth="1"/>
    <col min="12800" max="12800" width="13.85546875" customWidth="1"/>
    <col min="12801" max="12801" width="13.140625" customWidth="1"/>
    <col min="12802" max="12802" width="14.85546875" bestFit="1" customWidth="1"/>
    <col min="12803" max="12803" width="2.7109375" customWidth="1"/>
    <col min="12804" max="12804" width="8.85546875"/>
    <col min="12805" max="12805" width="10.85546875" customWidth="1"/>
    <col min="12806" max="12806" width="7.85546875" customWidth="1"/>
    <col min="12807" max="12807" width="11.28515625" customWidth="1"/>
    <col min="12808" max="13048" width="8.85546875"/>
    <col min="13049" max="13049" width="11.5703125" customWidth="1"/>
    <col min="13050" max="13050" width="17" customWidth="1"/>
    <col min="13051" max="13051" width="8.85546875"/>
    <col min="13052" max="13052" width="2.85546875" customWidth="1"/>
    <col min="13053" max="13053" width="14.140625" customWidth="1"/>
    <col min="13054" max="13054" width="15.42578125" customWidth="1"/>
    <col min="13055" max="13055" width="13.5703125" customWidth="1"/>
    <col min="13056" max="13056" width="13.85546875" customWidth="1"/>
    <col min="13057" max="13057" width="13.140625" customWidth="1"/>
    <col min="13058" max="13058" width="14.85546875" bestFit="1" customWidth="1"/>
    <col min="13059" max="13059" width="2.7109375" customWidth="1"/>
    <col min="13060" max="13060" width="8.85546875"/>
    <col min="13061" max="13061" width="10.85546875" customWidth="1"/>
    <col min="13062" max="13062" width="7.85546875" customWidth="1"/>
    <col min="13063" max="13063" width="11.28515625" customWidth="1"/>
    <col min="13064" max="13304" width="8.85546875"/>
    <col min="13305" max="13305" width="11.5703125" customWidth="1"/>
    <col min="13306" max="13306" width="17" customWidth="1"/>
    <col min="13307" max="13307" width="8.85546875"/>
    <col min="13308" max="13308" width="2.85546875" customWidth="1"/>
    <col min="13309" max="13309" width="14.140625" customWidth="1"/>
    <col min="13310" max="13310" width="15.42578125" customWidth="1"/>
    <col min="13311" max="13311" width="13.5703125" customWidth="1"/>
    <col min="13312" max="13312" width="13.85546875" customWidth="1"/>
    <col min="13313" max="13313" width="13.140625" customWidth="1"/>
    <col min="13314" max="13314" width="14.85546875" bestFit="1" customWidth="1"/>
    <col min="13315" max="13315" width="2.7109375" customWidth="1"/>
    <col min="13316" max="13316" width="8.85546875"/>
    <col min="13317" max="13317" width="10.85546875" customWidth="1"/>
    <col min="13318" max="13318" width="7.85546875" customWidth="1"/>
    <col min="13319" max="13319" width="11.28515625" customWidth="1"/>
    <col min="13320" max="13560" width="8.85546875"/>
    <col min="13561" max="13561" width="11.5703125" customWidth="1"/>
    <col min="13562" max="13562" width="17" customWidth="1"/>
    <col min="13563" max="13563" width="8.85546875"/>
    <col min="13564" max="13564" width="2.85546875" customWidth="1"/>
    <col min="13565" max="13565" width="14.140625" customWidth="1"/>
    <col min="13566" max="13566" width="15.42578125" customWidth="1"/>
    <col min="13567" max="13567" width="13.5703125" customWidth="1"/>
    <col min="13568" max="13568" width="13.85546875" customWidth="1"/>
    <col min="13569" max="13569" width="13.140625" customWidth="1"/>
    <col min="13570" max="13570" width="14.85546875" bestFit="1" customWidth="1"/>
    <col min="13571" max="13571" width="2.7109375" customWidth="1"/>
    <col min="13572" max="13572" width="8.85546875"/>
    <col min="13573" max="13573" width="10.85546875" customWidth="1"/>
    <col min="13574" max="13574" width="7.85546875" customWidth="1"/>
    <col min="13575" max="13575" width="11.28515625" customWidth="1"/>
    <col min="13576" max="13816" width="8.85546875"/>
    <col min="13817" max="13817" width="11.5703125" customWidth="1"/>
    <col min="13818" max="13818" width="17" customWidth="1"/>
    <col min="13819" max="13819" width="8.85546875"/>
    <col min="13820" max="13820" width="2.85546875" customWidth="1"/>
    <col min="13821" max="13821" width="14.140625" customWidth="1"/>
    <col min="13822" max="13822" width="15.42578125" customWidth="1"/>
    <col min="13823" max="13823" width="13.5703125" customWidth="1"/>
    <col min="13824" max="13824" width="13.85546875" customWidth="1"/>
    <col min="13825" max="13825" width="13.140625" customWidth="1"/>
    <col min="13826" max="13826" width="14.85546875" bestFit="1" customWidth="1"/>
    <col min="13827" max="13827" width="2.7109375" customWidth="1"/>
    <col min="13828" max="13828" width="8.85546875"/>
    <col min="13829" max="13829" width="10.85546875" customWidth="1"/>
    <col min="13830" max="13830" width="7.85546875" customWidth="1"/>
    <col min="13831" max="13831" width="11.28515625" customWidth="1"/>
    <col min="13832" max="14072" width="8.85546875"/>
    <col min="14073" max="14073" width="11.5703125" customWidth="1"/>
    <col min="14074" max="14074" width="17" customWidth="1"/>
    <col min="14075" max="14075" width="8.85546875"/>
    <col min="14076" max="14076" width="2.85546875" customWidth="1"/>
    <col min="14077" max="14077" width="14.140625" customWidth="1"/>
    <col min="14078" max="14078" width="15.42578125" customWidth="1"/>
    <col min="14079" max="14079" width="13.5703125" customWidth="1"/>
    <col min="14080" max="14080" width="13.85546875" customWidth="1"/>
    <col min="14081" max="14081" width="13.140625" customWidth="1"/>
    <col min="14082" max="14082" width="14.85546875" bestFit="1" customWidth="1"/>
    <col min="14083" max="14083" width="2.7109375" customWidth="1"/>
    <col min="14084" max="14084" width="8.85546875"/>
    <col min="14085" max="14085" width="10.85546875" customWidth="1"/>
    <col min="14086" max="14086" width="7.85546875" customWidth="1"/>
    <col min="14087" max="14087" width="11.28515625" customWidth="1"/>
    <col min="14088" max="14328" width="8.85546875"/>
    <col min="14329" max="14329" width="11.5703125" customWidth="1"/>
    <col min="14330" max="14330" width="17" customWidth="1"/>
    <col min="14331" max="14331" width="8.85546875"/>
    <col min="14332" max="14332" width="2.85546875" customWidth="1"/>
    <col min="14333" max="14333" width="14.140625" customWidth="1"/>
    <col min="14334" max="14334" width="15.42578125" customWidth="1"/>
    <col min="14335" max="14335" width="13.5703125" customWidth="1"/>
    <col min="14336" max="14336" width="13.85546875" customWidth="1"/>
    <col min="14337" max="14337" width="13.140625" customWidth="1"/>
    <col min="14338" max="14338" width="14.85546875" bestFit="1" customWidth="1"/>
    <col min="14339" max="14339" width="2.7109375" customWidth="1"/>
    <col min="14340" max="14340" width="8.85546875"/>
    <col min="14341" max="14341" width="10.85546875" customWidth="1"/>
    <col min="14342" max="14342" width="7.85546875" customWidth="1"/>
    <col min="14343" max="14343" width="11.28515625" customWidth="1"/>
    <col min="14344" max="14584" width="8.85546875"/>
    <col min="14585" max="14585" width="11.5703125" customWidth="1"/>
    <col min="14586" max="14586" width="17" customWidth="1"/>
    <col min="14587" max="14587" width="8.85546875"/>
    <col min="14588" max="14588" width="2.85546875" customWidth="1"/>
    <col min="14589" max="14589" width="14.140625" customWidth="1"/>
    <col min="14590" max="14590" width="15.42578125" customWidth="1"/>
    <col min="14591" max="14591" width="13.5703125" customWidth="1"/>
    <col min="14592" max="14592" width="13.85546875" customWidth="1"/>
    <col min="14593" max="14593" width="13.140625" customWidth="1"/>
    <col min="14594" max="14594" width="14.85546875" bestFit="1" customWidth="1"/>
    <col min="14595" max="14595" width="2.7109375" customWidth="1"/>
    <col min="14596" max="14596" width="8.85546875"/>
    <col min="14597" max="14597" width="10.85546875" customWidth="1"/>
    <col min="14598" max="14598" width="7.85546875" customWidth="1"/>
    <col min="14599" max="14599" width="11.28515625" customWidth="1"/>
    <col min="14600" max="14840" width="8.85546875"/>
    <col min="14841" max="14841" width="11.5703125" customWidth="1"/>
    <col min="14842" max="14842" width="17" customWidth="1"/>
    <col min="14843" max="14843" width="8.85546875"/>
    <col min="14844" max="14844" width="2.85546875" customWidth="1"/>
    <col min="14845" max="14845" width="14.140625" customWidth="1"/>
    <col min="14846" max="14846" width="15.42578125" customWidth="1"/>
    <col min="14847" max="14847" width="13.5703125" customWidth="1"/>
    <col min="14848" max="14848" width="13.85546875" customWidth="1"/>
    <col min="14849" max="14849" width="13.140625" customWidth="1"/>
    <col min="14850" max="14850" width="14.85546875" bestFit="1" customWidth="1"/>
    <col min="14851" max="14851" width="2.7109375" customWidth="1"/>
    <col min="14852" max="14852" width="8.85546875"/>
    <col min="14853" max="14853" width="10.85546875" customWidth="1"/>
    <col min="14854" max="14854" width="7.85546875" customWidth="1"/>
    <col min="14855" max="14855" width="11.28515625" customWidth="1"/>
    <col min="14856" max="15096" width="8.85546875"/>
    <col min="15097" max="15097" width="11.5703125" customWidth="1"/>
    <col min="15098" max="15098" width="17" customWidth="1"/>
    <col min="15099" max="15099" width="8.85546875"/>
    <col min="15100" max="15100" width="2.85546875" customWidth="1"/>
    <col min="15101" max="15101" width="14.140625" customWidth="1"/>
    <col min="15102" max="15102" width="15.42578125" customWidth="1"/>
    <col min="15103" max="15103" width="13.5703125" customWidth="1"/>
    <col min="15104" max="15104" width="13.85546875" customWidth="1"/>
    <col min="15105" max="15105" width="13.140625" customWidth="1"/>
    <col min="15106" max="15106" width="14.85546875" bestFit="1" customWidth="1"/>
    <col min="15107" max="15107" width="2.7109375" customWidth="1"/>
    <col min="15108" max="15108" width="8.85546875"/>
    <col min="15109" max="15109" width="10.85546875" customWidth="1"/>
    <col min="15110" max="15110" width="7.85546875" customWidth="1"/>
    <col min="15111" max="15111" width="11.28515625" customWidth="1"/>
    <col min="15112" max="15352" width="8.85546875"/>
    <col min="15353" max="15353" width="11.5703125" customWidth="1"/>
    <col min="15354" max="15354" width="17" customWidth="1"/>
    <col min="15355" max="15355" width="8.85546875"/>
    <col min="15356" max="15356" width="2.85546875" customWidth="1"/>
    <col min="15357" max="15357" width="14.140625" customWidth="1"/>
    <col min="15358" max="15358" width="15.42578125" customWidth="1"/>
    <col min="15359" max="15359" width="13.5703125" customWidth="1"/>
    <col min="15360" max="15360" width="13.85546875" customWidth="1"/>
    <col min="15361" max="15361" width="13.140625" customWidth="1"/>
    <col min="15362" max="15362" width="14.85546875" bestFit="1" customWidth="1"/>
    <col min="15363" max="15363" width="2.7109375" customWidth="1"/>
    <col min="15364" max="15364" width="8.85546875"/>
    <col min="15365" max="15365" width="10.85546875" customWidth="1"/>
    <col min="15366" max="15366" width="7.85546875" customWidth="1"/>
    <col min="15367" max="15367" width="11.28515625" customWidth="1"/>
    <col min="15368" max="15608" width="8.85546875"/>
    <col min="15609" max="15609" width="11.5703125" customWidth="1"/>
    <col min="15610" max="15610" width="17" customWidth="1"/>
    <col min="15611" max="15611" width="8.85546875"/>
    <col min="15612" max="15612" width="2.85546875" customWidth="1"/>
    <col min="15613" max="15613" width="14.140625" customWidth="1"/>
    <col min="15614" max="15614" width="15.42578125" customWidth="1"/>
    <col min="15615" max="15615" width="13.5703125" customWidth="1"/>
    <col min="15616" max="15616" width="13.85546875" customWidth="1"/>
    <col min="15617" max="15617" width="13.140625" customWidth="1"/>
    <col min="15618" max="15618" width="14.85546875" bestFit="1" customWidth="1"/>
    <col min="15619" max="15619" width="2.7109375" customWidth="1"/>
    <col min="15620" max="15620" width="8.85546875"/>
    <col min="15621" max="15621" width="10.85546875" customWidth="1"/>
    <col min="15622" max="15622" width="7.85546875" customWidth="1"/>
    <col min="15623" max="15623" width="11.28515625" customWidth="1"/>
    <col min="15624" max="15864" width="8.85546875"/>
    <col min="15865" max="15865" width="11.5703125" customWidth="1"/>
    <col min="15866" max="15866" width="17" customWidth="1"/>
    <col min="15867" max="15867" width="8.85546875"/>
    <col min="15868" max="15868" width="2.85546875" customWidth="1"/>
    <col min="15869" max="15869" width="14.140625" customWidth="1"/>
    <col min="15870" max="15870" width="15.42578125" customWidth="1"/>
    <col min="15871" max="15871" width="13.5703125" customWidth="1"/>
    <col min="15872" max="15872" width="13.85546875" customWidth="1"/>
    <col min="15873" max="15873" width="13.140625" customWidth="1"/>
    <col min="15874" max="15874" width="14.85546875" bestFit="1" customWidth="1"/>
    <col min="15875" max="15875" width="2.7109375" customWidth="1"/>
    <col min="15876" max="15876" width="8.85546875"/>
    <col min="15877" max="15877" width="10.85546875" customWidth="1"/>
    <col min="15878" max="15878" width="7.85546875" customWidth="1"/>
    <col min="15879" max="15879" width="11.28515625" customWidth="1"/>
    <col min="15880" max="16120" width="8.85546875"/>
    <col min="16121" max="16121" width="11.5703125" customWidth="1"/>
    <col min="16122" max="16122" width="17" customWidth="1"/>
    <col min="16123" max="16123" width="8.85546875"/>
    <col min="16124" max="16124" width="2.85546875" customWidth="1"/>
    <col min="16125" max="16125" width="14.140625" customWidth="1"/>
    <col min="16126" max="16126" width="15.42578125" customWidth="1"/>
    <col min="16127" max="16127" width="13.5703125" customWidth="1"/>
    <col min="16128" max="16128" width="13.85546875" customWidth="1"/>
    <col min="16129" max="16129" width="13.140625" customWidth="1"/>
    <col min="16130" max="16130" width="14.85546875" bestFit="1" customWidth="1"/>
    <col min="16131" max="16131" width="2.7109375" customWidth="1"/>
    <col min="16132" max="16132" width="8.85546875"/>
    <col min="16133" max="16133" width="10.85546875" customWidth="1"/>
    <col min="16134" max="16134" width="7.85546875" customWidth="1"/>
    <col min="16135" max="16135" width="11.28515625" customWidth="1"/>
    <col min="16136" max="16384" width="8.85546875"/>
  </cols>
  <sheetData>
    <row r="1" spans="1:6" ht="23.25" x14ac:dyDescent="0.35">
      <c r="A1" s="65" t="s">
        <v>468</v>
      </c>
      <c r="B1" s="67"/>
      <c r="C1" s="67"/>
      <c r="D1" s="69"/>
      <c r="E1" s="60"/>
      <c r="F1" s="60"/>
    </row>
    <row r="2" spans="1:6" ht="15" customHeight="1" x14ac:dyDescent="0.3">
      <c r="B2" s="67"/>
      <c r="C2" s="67"/>
      <c r="D2" s="69"/>
      <c r="E2" s="60"/>
      <c r="F2" s="60"/>
    </row>
    <row r="3" spans="1:6" x14ac:dyDescent="0.25">
      <c r="A3" s="4" t="s">
        <v>469</v>
      </c>
      <c r="B3" s="4" t="s">
        <v>470</v>
      </c>
      <c r="C3" s="4" t="s">
        <v>471</v>
      </c>
      <c r="D3" s="4" t="s">
        <v>472</v>
      </c>
    </row>
    <row r="4" spans="1:6" x14ac:dyDescent="0.25">
      <c r="A4" t="s">
        <v>473</v>
      </c>
      <c r="B4" s="186">
        <f>+D26</f>
        <v>1612040.641540474</v>
      </c>
      <c r="C4">
        <v>1</v>
      </c>
      <c r="D4" s="186">
        <f>+B4*C4</f>
        <v>1612040.641540474</v>
      </c>
    </row>
    <row r="5" spans="1:6" x14ac:dyDescent="0.25">
      <c r="A5" t="str">
        <f>+A29</f>
        <v>2. Retailmethode</v>
      </c>
      <c r="B5" s="186">
        <f>+D38</f>
        <v>1544903.9966967241</v>
      </c>
      <c r="C5">
        <v>1</v>
      </c>
      <c r="D5" s="186">
        <f t="shared" ref="D5:D11" si="0">+B5*C5</f>
        <v>1544903.9966967241</v>
      </c>
    </row>
    <row r="6" spans="1:6" x14ac:dyDescent="0.25">
      <c r="A6" t="str">
        <f>+A41</f>
        <v>3. Berliner methode</v>
      </c>
      <c r="B6" s="186">
        <f>+D48</f>
        <v>2488953.3939483222</v>
      </c>
      <c r="C6">
        <v>1</v>
      </c>
      <c r="D6" s="186">
        <f t="shared" si="0"/>
        <v>2488953.3939483222</v>
      </c>
    </row>
    <row r="7" spans="1:6" x14ac:dyDescent="0.25">
      <c r="A7" t="str">
        <f>+A50</f>
        <v>4. Bush Methode</v>
      </c>
      <c r="B7" s="186">
        <f>+D56</f>
        <v>1970356.4691372986</v>
      </c>
      <c r="C7">
        <v>1</v>
      </c>
      <c r="D7" s="186">
        <f t="shared" si="0"/>
        <v>1970356.4691372986</v>
      </c>
    </row>
    <row r="8" spans="1:6" x14ac:dyDescent="0.25">
      <c r="A8" t="str">
        <f>+A59</f>
        <v>5. Barnay &amp; Calba methode</v>
      </c>
      <c r="B8" s="186">
        <f>+D68</f>
        <v>2471998.6277728532</v>
      </c>
      <c r="C8">
        <v>1</v>
      </c>
      <c r="D8" s="186">
        <f t="shared" si="0"/>
        <v>2471998.6277728532</v>
      </c>
    </row>
    <row r="9" spans="1:6" hidden="1" x14ac:dyDescent="0.25">
      <c r="A9" t="str">
        <f>+A70</f>
        <v>6. Peumansmethode</v>
      </c>
      <c r="B9" s="186">
        <f>+D79</f>
        <v>1198762.5220539654</v>
      </c>
      <c r="C9">
        <v>0</v>
      </c>
      <c r="D9" s="186">
        <f t="shared" si="0"/>
        <v>0</v>
      </c>
    </row>
    <row r="10" spans="1:6" hidden="1" x14ac:dyDescent="0.25">
      <c r="A10" t="str">
        <f>+A81</f>
        <v>7. U.E.C. Methode</v>
      </c>
      <c r="B10" s="186">
        <f>+D94</f>
        <v>36702.479594726814</v>
      </c>
      <c r="C10">
        <v>0</v>
      </c>
      <c r="D10" s="186">
        <f t="shared" si="0"/>
        <v>0</v>
      </c>
    </row>
    <row r="11" spans="1:6" hidden="1" x14ac:dyDescent="0.25">
      <c r="A11" t="str">
        <f>+A98</f>
        <v>6. Gemiddelde overwinstmethode</v>
      </c>
      <c r="B11" s="186">
        <v>0</v>
      </c>
      <c r="C11">
        <v>0</v>
      </c>
      <c r="D11" s="186">
        <f t="shared" si="0"/>
        <v>0</v>
      </c>
    </row>
    <row r="12" spans="1:6" x14ac:dyDescent="0.25">
      <c r="D12" s="186"/>
    </row>
    <row r="13" spans="1:6" x14ac:dyDescent="0.25">
      <c r="A13" t="s">
        <v>320</v>
      </c>
      <c r="B13" s="199">
        <f>SUM(B4:B12)</f>
        <v>11323718.130744364</v>
      </c>
      <c r="C13">
        <f>SUM(C4:C12)</f>
        <v>5</v>
      </c>
      <c r="D13" s="186">
        <f>SUM(D4:D11)</f>
        <v>10088253.129095672</v>
      </c>
    </row>
    <row r="14" spans="1:6" x14ac:dyDescent="0.25">
      <c r="D14" s="186"/>
    </row>
    <row r="15" spans="1:6" x14ac:dyDescent="0.25">
      <c r="A15" s="4" t="s">
        <v>474</v>
      </c>
      <c r="D15" s="233">
        <f>+D13/C13</f>
        <v>2017650.6258191343</v>
      </c>
    </row>
    <row r="18" spans="1:4" x14ac:dyDescent="0.25">
      <c r="A18" s="234" t="s">
        <v>475</v>
      </c>
    </row>
    <row r="20" spans="1:4" x14ac:dyDescent="0.25">
      <c r="A20" s="234" t="s">
        <v>473</v>
      </c>
    </row>
    <row r="21" spans="1:4" x14ac:dyDescent="0.25">
      <c r="A21" s="447" t="s">
        <v>476</v>
      </c>
      <c r="B21" s="447"/>
      <c r="C21" s="447"/>
      <c r="D21" s="447"/>
    </row>
    <row r="22" spans="1:4" x14ac:dyDescent="0.25">
      <c r="A22" s="447"/>
      <c r="B22" s="447"/>
      <c r="C22" s="447"/>
      <c r="D22" s="447"/>
    </row>
    <row r="23" spans="1:4" x14ac:dyDescent="0.25">
      <c r="A23" s="234"/>
    </row>
    <row r="24" spans="1:4" x14ac:dyDescent="0.25">
      <c r="A24" t="s">
        <v>256</v>
      </c>
      <c r="D24" s="232">
        <f>+'Eigen vermogenswaarde'!K65</f>
        <v>537093.15874999994</v>
      </c>
    </row>
    <row r="25" spans="1:4" x14ac:dyDescent="0.25">
      <c r="A25" t="s">
        <v>546</v>
      </c>
      <c r="D25" s="232">
        <f>+rendement!G91</f>
        <v>2686988.1243309481</v>
      </c>
    </row>
    <row r="26" spans="1:4" x14ac:dyDescent="0.25">
      <c r="A26" s="235" t="s">
        <v>477</v>
      </c>
      <c r="B26" s="235"/>
      <c r="C26" s="235"/>
      <c r="D26" s="307">
        <f>AVERAGE(D24:D25)</f>
        <v>1612040.641540474</v>
      </c>
    </row>
    <row r="29" spans="1:4" x14ac:dyDescent="0.25">
      <c r="A29" s="234" t="s">
        <v>478</v>
      </c>
    </row>
    <row r="30" spans="1:4" x14ac:dyDescent="0.25">
      <c r="A30" s="447" t="s">
        <v>479</v>
      </c>
      <c r="B30" s="447"/>
      <c r="C30" s="447"/>
      <c r="D30" s="447"/>
    </row>
    <row r="31" spans="1:4" x14ac:dyDescent="0.25">
      <c r="A31" s="447"/>
      <c r="B31" s="447"/>
      <c r="C31" s="447"/>
      <c r="D31" s="447"/>
    </row>
    <row r="32" spans="1:4" x14ac:dyDescent="0.25">
      <c r="A32" s="447"/>
      <c r="B32" s="447"/>
      <c r="C32" s="447"/>
      <c r="D32" s="447"/>
    </row>
    <row r="33" spans="1:4" x14ac:dyDescent="0.25">
      <c r="A33" s="447"/>
      <c r="B33" s="447"/>
      <c r="C33" s="447"/>
      <c r="D33" s="447"/>
    </row>
    <row r="34" spans="1:4" x14ac:dyDescent="0.25">
      <c r="A34" t="s">
        <v>256</v>
      </c>
      <c r="D34" s="232">
        <f>+D24</f>
        <v>537093.15874999994</v>
      </c>
    </row>
    <row r="35" spans="1:4" x14ac:dyDescent="0.25">
      <c r="D35" s="232"/>
    </row>
    <row r="36" spans="1:4" x14ac:dyDescent="0.25">
      <c r="A36" t="s">
        <v>480</v>
      </c>
      <c r="D36" s="232">
        <f>+D34*0.75</f>
        <v>402819.86906249996</v>
      </c>
    </row>
    <row r="37" spans="1:4" x14ac:dyDescent="0.25">
      <c r="A37" t="s">
        <v>546</v>
      </c>
      <c r="D37" s="232">
        <f>+D25</f>
        <v>2686988.1243309481</v>
      </c>
    </row>
    <row r="38" spans="1:4" x14ac:dyDescent="0.25">
      <c r="A38" s="235" t="s">
        <v>477</v>
      </c>
      <c r="B38" s="235"/>
      <c r="C38" s="235"/>
      <c r="D38" s="307">
        <f>AVERAGE(D36:D37)</f>
        <v>1544903.9966967241</v>
      </c>
    </row>
    <row r="41" spans="1:4" x14ac:dyDescent="0.25">
      <c r="A41" s="234" t="s">
        <v>481</v>
      </c>
    </row>
    <row r="42" spans="1:4" x14ac:dyDescent="0.25">
      <c r="A42" t="s">
        <v>482</v>
      </c>
    </row>
    <row r="43" spans="1:4" x14ac:dyDescent="0.25">
      <c r="A43" s="234"/>
    </row>
    <row r="44" spans="1:4" x14ac:dyDescent="0.25">
      <c r="A44" t="s">
        <v>256</v>
      </c>
      <c r="D44" s="232">
        <f>+D34</f>
        <v>537093.15874999994</v>
      </c>
    </row>
    <row r="45" spans="1:4" x14ac:dyDescent="0.25">
      <c r="A45" t="s">
        <v>483</v>
      </c>
      <c r="D45" s="232">
        <f>AVERAGE(rendement!F42:H42)</f>
        <v>62500</v>
      </c>
    </row>
    <row r="46" spans="1:4" x14ac:dyDescent="0.25">
      <c r="A46" t="s">
        <v>545</v>
      </c>
      <c r="D46" s="232">
        <f>'Projectie vastgoed'!G10</f>
        <v>1652224.9963915041</v>
      </c>
    </row>
    <row r="47" spans="1:4" x14ac:dyDescent="0.25">
      <c r="A47" t="s">
        <v>484</v>
      </c>
      <c r="D47" s="165">
        <v>5.5</v>
      </c>
    </row>
    <row r="48" spans="1:4" x14ac:dyDescent="0.25">
      <c r="A48" s="235" t="s">
        <v>477</v>
      </c>
      <c r="B48" s="235"/>
      <c r="C48" s="235"/>
      <c r="D48" s="307">
        <f>(+D44+(D45*100/D47))/2+D46</f>
        <v>2488953.3939483222</v>
      </c>
    </row>
    <row r="50" spans="1:4" x14ac:dyDescent="0.25">
      <c r="A50" s="234" t="s">
        <v>485</v>
      </c>
    </row>
    <row r="51" spans="1:4" x14ac:dyDescent="0.25">
      <c r="A51" s="448" t="s">
        <v>486</v>
      </c>
      <c r="B51" s="448"/>
      <c r="C51" s="448"/>
      <c r="D51" s="448"/>
    </row>
    <row r="52" spans="1:4" x14ac:dyDescent="0.25">
      <c r="A52" s="448"/>
      <c r="B52" s="448"/>
      <c r="C52" s="448"/>
      <c r="D52" s="448"/>
    </row>
    <row r="53" spans="1:4" x14ac:dyDescent="0.25">
      <c r="A53" s="234"/>
    </row>
    <row r="54" spans="1:4" x14ac:dyDescent="0.25">
      <c r="A54" t="s">
        <v>256</v>
      </c>
      <c r="D54" s="232">
        <f>+D24</f>
        <v>537093.15874999994</v>
      </c>
    </row>
    <row r="55" spans="1:4" x14ac:dyDescent="0.25">
      <c r="A55" t="s">
        <v>546</v>
      </c>
      <c r="D55" s="232">
        <f>+D25</f>
        <v>2686988.1243309481</v>
      </c>
    </row>
    <row r="56" spans="1:4" x14ac:dyDescent="0.25">
      <c r="A56" s="235" t="s">
        <v>477</v>
      </c>
      <c r="B56" s="235"/>
      <c r="C56" s="235"/>
      <c r="D56" s="307">
        <f>+(D54+(2*D55))/3</f>
        <v>1970356.4691372986</v>
      </c>
    </row>
    <row r="58" spans="1:4" hidden="1" x14ac:dyDescent="0.25"/>
    <row r="59" spans="1:4" x14ac:dyDescent="0.25">
      <c r="A59" s="234" t="s">
        <v>487</v>
      </c>
    </row>
    <row r="60" spans="1:4" x14ac:dyDescent="0.25">
      <c r="A60" s="447" t="s">
        <v>593</v>
      </c>
      <c r="B60" s="447"/>
      <c r="C60" s="447"/>
      <c r="D60" s="447"/>
    </row>
    <row r="61" spans="1:4" x14ac:dyDescent="0.25">
      <c r="A61" s="447"/>
      <c r="B61" s="447"/>
      <c r="C61" s="447"/>
      <c r="D61" s="447"/>
    </row>
    <row r="62" spans="1:4" x14ac:dyDescent="0.25">
      <c r="A62" s="447"/>
      <c r="B62" s="447"/>
      <c r="C62" s="447"/>
      <c r="D62" s="447"/>
    </row>
    <row r="63" spans="1:4" x14ac:dyDescent="0.25">
      <c r="A63" s="59"/>
      <c r="B63" s="59"/>
      <c r="C63" s="59"/>
      <c r="D63" s="59"/>
    </row>
    <row r="64" spans="1:4" x14ac:dyDescent="0.25">
      <c r="A64" t="s">
        <v>488</v>
      </c>
      <c r="D64" s="237">
        <v>0.1</v>
      </c>
    </row>
    <row r="65" spans="1:4" x14ac:dyDescent="0.25">
      <c r="A65" t="s">
        <v>256</v>
      </c>
      <c r="D65" s="37">
        <f>+D54</f>
        <v>537093.15874999994</v>
      </c>
    </row>
    <row r="66" spans="1:4" x14ac:dyDescent="0.25">
      <c r="A66" t="s">
        <v>489</v>
      </c>
      <c r="D66" s="237">
        <f>1-D64</f>
        <v>0.9</v>
      </c>
    </row>
    <row r="67" spans="1:4" x14ac:dyDescent="0.25">
      <c r="A67" t="s">
        <v>546</v>
      </c>
      <c r="D67" s="37">
        <f>+D55</f>
        <v>2686988.1243309481</v>
      </c>
    </row>
    <row r="68" spans="1:4" x14ac:dyDescent="0.25">
      <c r="A68" s="235" t="s">
        <v>477</v>
      </c>
      <c r="B68" s="235"/>
      <c r="C68" s="235"/>
      <c r="D68" s="236">
        <f>+D64*D65+D66*D67</f>
        <v>2471998.6277728532</v>
      </c>
    </row>
    <row r="70" spans="1:4" hidden="1" x14ac:dyDescent="0.25">
      <c r="A70" s="234" t="s">
        <v>490</v>
      </c>
    </row>
    <row r="71" spans="1:4" hidden="1" x14ac:dyDescent="0.25">
      <c r="A71" t="s">
        <v>491</v>
      </c>
    </row>
    <row r="72" spans="1:4" hidden="1" x14ac:dyDescent="0.25">
      <c r="A72" s="234"/>
    </row>
    <row r="73" spans="1:4" hidden="1" x14ac:dyDescent="0.25">
      <c r="A73" t="s">
        <v>492</v>
      </c>
      <c r="D73" s="114">
        <f>+variabelen!D185</f>
        <v>0.25</v>
      </c>
    </row>
    <row r="74" spans="1:4" hidden="1" x14ac:dyDescent="0.25">
      <c r="A74" t="s">
        <v>256</v>
      </c>
      <c r="D74" s="199">
        <f>+D54</f>
        <v>537093.15874999994</v>
      </c>
    </row>
    <row r="75" spans="1:4" hidden="1" x14ac:dyDescent="0.25">
      <c r="A75" t="s">
        <v>493</v>
      </c>
      <c r="D75" s="199">
        <f>+D74/(1-D73)</f>
        <v>716124.21166666655</v>
      </c>
    </row>
    <row r="76" spans="1:4" hidden="1" x14ac:dyDescent="0.25">
      <c r="A76" t="s">
        <v>331</v>
      </c>
      <c r="D76" s="199">
        <f>+D55</f>
        <v>2686988.1243309481</v>
      </c>
    </row>
    <row r="77" spans="1:4" hidden="1" x14ac:dyDescent="0.25">
      <c r="A77" t="s">
        <v>494</v>
      </c>
      <c r="D77" s="199">
        <f>+D76/(1-D73)</f>
        <v>3582650.8324412643</v>
      </c>
    </row>
    <row r="78" spans="1:4" hidden="1" x14ac:dyDescent="0.25">
      <c r="A78" t="s">
        <v>495</v>
      </c>
      <c r="D78" s="199">
        <f>+Prognose!I67</f>
        <v>950625</v>
      </c>
    </row>
    <row r="79" spans="1:4" hidden="1" x14ac:dyDescent="0.25">
      <c r="A79" s="235" t="s">
        <v>477</v>
      </c>
      <c r="B79" s="235"/>
      <c r="C79" s="235"/>
      <c r="D79" s="307">
        <f>+((+D75+D77)/2)-D78</f>
        <v>1198762.5220539654</v>
      </c>
    </row>
    <row r="80" spans="1:4" hidden="1" x14ac:dyDescent="0.25"/>
    <row r="81" spans="1:4" hidden="1" x14ac:dyDescent="0.25">
      <c r="A81" s="234" t="s">
        <v>496</v>
      </c>
    </row>
    <row r="82" spans="1:4" hidden="1" x14ac:dyDescent="0.25">
      <c r="A82" s="448" t="s">
        <v>497</v>
      </c>
      <c r="B82" s="448"/>
      <c r="C82" s="448"/>
      <c r="D82" s="448"/>
    </row>
    <row r="83" spans="1:4" hidden="1" x14ac:dyDescent="0.25">
      <c r="A83" s="448"/>
      <c r="B83" s="448"/>
      <c r="C83" s="448"/>
      <c r="D83" s="448"/>
    </row>
    <row r="84" spans="1:4" ht="35.65" hidden="1" customHeight="1" x14ac:dyDescent="0.25">
      <c r="A84" s="448"/>
      <c r="B84" s="448"/>
      <c r="C84" s="448"/>
      <c r="D84" s="448"/>
    </row>
    <row r="85" spans="1:4" hidden="1" x14ac:dyDescent="0.25">
      <c r="A85" s="234"/>
    </row>
    <row r="86" spans="1:4" hidden="1" x14ac:dyDescent="0.25">
      <c r="A86" t="s">
        <v>493</v>
      </c>
      <c r="D86" s="199">
        <f>+D75</f>
        <v>716124.21166666655</v>
      </c>
    </row>
    <row r="87" spans="1:4" hidden="1" x14ac:dyDescent="0.25">
      <c r="A87" t="s">
        <v>498</v>
      </c>
      <c r="D87" s="199">
        <f>+AVERAGE(Prognose!G133:L133)</f>
        <v>69493.917800334821</v>
      </c>
    </row>
    <row r="88" spans="1:4" hidden="1" x14ac:dyDescent="0.25">
      <c r="A88" t="s">
        <v>499</v>
      </c>
      <c r="D88" s="199">
        <f>AVERAGE(Prognose!G111:I111)</f>
        <v>8721.9782500000019</v>
      </c>
    </row>
    <row r="89" spans="1:4" hidden="1" x14ac:dyDescent="0.25">
      <c r="A89" t="s">
        <v>492</v>
      </c>
      <c r="D89" s="114">
        <f>+D73</f>
        <v>0.25</v>
      </c>
    </row>
    <row r="90" spans="1:4" hidden="1" x14ac:dyDescent="0.25">
      <c r="A90" t="s">
        <v>500</v>
      </c>
      <c r="D90" s="186">
        <f>+((D87+D88)/(1-D89))*((1-(1+D92)^-3)/D92)</f>
        <v>271203.26792806026</v>
      </c>
    </row>
    <row r="91" spans="1:4" hidden="1" x14ac:dyDescent="0.25">
      <c r="A91" t="s">
        <v>501</v>
      </c>
      <c r="D91">
        <v>3</v>
      </c>
    </row>
    <row r="92" spans="1:4" hidden="1" x14ac:dyDescent="0.25">
      <c r="A92" t="s">
        <v>421</v>
      </c>
      <c r="D92" s="118">
        <f>+variabelen!E92</f>
        <v>7.5000000000000011E-2</v>
      </c>
    </row>
    <row r="93" spans="1:4" hidden="1" x14ac:dyDescent="0.25">
      <c r="A93" t="s">
        <v>495</v>
      </c>
      <c r="D93" s="199">
        <f>+D78</f>
        <v>950625</v>
      </c>
    </row>
    <row r="94" spans="1:4" hidden="1" x14ac:dyDescent="0.25">
      <c r="A94" s="235" t="s">
        <v>477</v>
      </c>
      <c r="B94" s="235"/>
      <c r="C94" s="235"/>
      <c r="D94" s="231">
        <f>+D86+D90-D93</f>
        <v>36702.479594726814</v>
      </c>
    </row>
    <row r="95" spans="1:4" hidden="1" x14ac:dyDescent="0.25"/>
    <row r="96" spans="1:4" hidden="1" x14ac:dyDescent="0.25"/>
    <row r="98" spans="1:4" hidden="1" x14ac:dyDescent="0.25">
      <c r="A98" s="234" t="s">
        <v>502</v>
      </c>
    </row>
    <row r="99" spans="1:4" hidden="1" x14ac:dyDescent="0.25">
      <c r="A99" s="447" t="s">
        <v>503</v>
      </c>
      <c r="B99" s="447"/>
      <c r="C99" s="447"/>
      <c r="D99" s="447"/>
    </row>
    <row r="100" spans="1:4" hidden="1" x14ac:dyDescent="0.25">
      <c r="A100" s="447"/>
      <c r="B100" s="447"/>
      <c r="C100" s="447"/>
      <c r="D100" s="447"/>
    </row>
    <row r="101" spans="1:4" hidden="1" x14ac:dyDescent="0.25">
      <c r="A101" s="447"/>
      <c r="B101" s="447"/>
      <c r="C101" s="447"/>
      <c r="D101" s="447"/>
    </row>
    <row r="102" spans="1:4" hidden="1" x14ac:dyDescent="0.25">
      <c r="A102" t="s">
        <v>256</v>
      </c>
      <c r="D102" s="199">
        <f>+D74</f>
        <v>537093.15874999994</v>
      </c>
    </row>
    <row r="103" spans="1:4" hidden="1" x14ac:dyDescent="0.25">
      <c r="A103" t="s">
        <v>500</v>
      </c>
      <c r="D103" s="186">
        <f>+D90</f>
        <v>271203.26792806026</v>
      </c>
    </row>
    <row r="104" spans="1:4" hidden="1" x14ac:dyDescent="0.25">
      <c r="A104" s="235" t="s">
        <v>477</v>
      </c>
      <c r="B104" s="235"/>
      <c r="C104" s="235"/>
      <c r="D104" s="307">
        <f>+D102+D103/2</f>
        <v>672694.79271403002</v>
      </c>
    </row>
    <row r="126" spans="4:4" x14ac:dyDescent="0.25">
      <c r="D126" s="273"/>
    </row>
  </sheetData>
  <mergeCells count="6">
    <mergeCell ref="A99:D101"/>
    <mergeCell ref="A30:D33"/>
    <mergeCell ref="A51:D52"/>
    <mergeCell ref="A60:D62"/>
    <mergeCell ref="A21:D22"/>
    <mergeCell ref="A82:D84"/>
  </mergeCell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&amp;LSisu BV&amp;CWaardering
&amp;R&amp;D</oddHeader>
  </headerFooter>
  <rowBreaks count="1" manualBreakCount="1">
    <brk id="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E1"/>
  <sheetViews>
    <sheetView workbookViewId="0"/>
  </sheetViews>
  <sheetFormatPr defaultColWidth="8.85546875" defaultRowHeight="15" x14ac:dyDescent="0.25"/>
  <cols>
    <col min="5" max="5" width="8.85546875" style="83"/>
  </cols>
  <sheetData/>
  <pageMargins left="0.70866141732283472" right="0.70866141732283472" top="0.74803149606299213" bottom="0.74803149606299213" header="0.31496062992125984" footer="0.31496062992125984"/>
  <pageSetup paperSize="9" firstPageNumber="2" fitToHeight="0" orientation="portrait" draft="1" r:id="rId1"/>
  <headerFooter>
    <oddHeader>&amp;L&amp;G&amp;R&amp;D</oddHeader>
    <oddFooter>&amp;R&amp;P</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pageSetUpPr fitToPage="1"/>
  </sheetPr>
  <dimension ref="A1:O72"/>
  <sheetViews>
    <sheetView showGridLines="0" view="pageLayout" topLeftCell="A28" zoomScaleNormal="100" workbookViewId="0">
      <selection activeCell="H19" sqref="H19"/>
    </sheetView>
  </sheetViews>
  <sheetFormatPr defaultColWidth="8.85546875" defaultRowHeight="15" x14ac:dyDescent="0.25"/>
  <cols>
    <col min="2" max="2" width="10.5703125" bestFit="1" customWidth="1"/>
    <col min="3" max="3" width="9" bestFit="1" customWidth="1"/>
    <col min="5" max="5" width="10.85546875" bestFit="1" customWidth="1"/>
    <col min="6" max="6" width="8.85546875" style="83"/>
    <col min="7" max="7" width="13.140625" customWidth="1"/>
    <col min="8" max="8" width="9.28515625" customWidth="1"/>
    <col min="9" max="9" width="15.140625" customWidth="1"/>
    <col min="10" max="10" width="24.85546875" bestFit="1" customWidth="1"/>
  </cols>
  <sheetData>
    <row r="1" spans="2:9" ht="23.25" x14ac:dyDescent="0.35">
      <c r="B1" s="65" t="s">
        <v>504</v>
      </c>
      <c r="C1" s="67"/>
      <c r="D1" s="69"/>
    </row>
    <row r="2" spans="2:9" ht="18.75" x14ac:dyDescent="0.3">
      <c r="C2" s="67"/>
      <c r="D2" s="69"/>
    </row>
    <row r="3" spans="2:9" x14ac:dyDescent="0.25">
      <c r="B3" s="482" t="s">
        <v>505</v>
      </c>
      <c r="C3" s="483"/>
      <c r="D3" s="483"/>
      <c r="E3" s="483"/>
      <c r="F3" s="483"/>
      <c r="G3" s="460" t="s">
        <v>506</v>
      </c>
      <c r="H3" s="460" t="s">
        <v>507</v>
      </c>
      <c r="I3" s="461" t="s">
        <v>508</v>
      </c>
    </row>
    <row r="4" spans="2:9" x14ac:dyDescent="0.25">
      <c r="B4" s="484"/>
      <c r="C4" s="448"/>
      <c r="D4" s="448"/>
      <c r="E4" s="448"/>
      <c r="F4" s="448"/>
      <c r="G4" s="481"/>
      <c r="H4" s="481"/>
      <c r="I4" s="475"/>
    </row>
    <row r="5" spans="2:9" x14ac:dyDescent="0.25">
      <c r="B5" s="410"/>
      <c r="C5" s="9"/>
      <c r="D5" s="9"/>
      <c r="E5" s="9"/>
      <c r="F5" s="9"/>
      <c r="G5" s="394"/>
      <c r="H5" s="394"/>
      <c r="I5" s="386"/>
    </row>
    <row r="6" spans="2:9" x14ac:dyDescent="0.25">
      <c r="B6" s="3" t="s">
        <v>267</v>
      </c>
      <c r="I6" s="23"/>
    </row>
    <row r="7" spans="2:9" x14ac:dyDescent="0.25">
      <c r="B7" s="3"/>
      <c r="I7" s="23"/>
    </row>
    <row r="8" spans="2:9" x14ac:dyDescent="0.25">
      <c r="B8" s="10"/>
      <c r="C8" t="s">
        <v>509</v>
      </c>
      <c r="G8" s="200">
        <f>+'Eigen vermogenswaarde'!G65</f>
        <v>488871.44999999984</v>
      </c>
      <c r="H8" s="83">
        <v>0.25</v>
      </c>
      <c r="I8" s="201">
        <f>+G8*H8</f>
        <v>122217.86249999996</v>
      </c>
    </row>
    <row r="9" spans="2:9" x14ac:dyDescent="0.25">
      <c r="B9" s="10"/>
      <c r="C9" t="s">
        <v>510</v>
      </c>
      <c r="G9" s="200">
        <f>+'Eigen vermogenswaarde'!G79</f>
        <v>537093.15874999994</v>
      </c>
      <c r="H9" s="83">
        <v>0.5</v>
      </c>
      <c r="I9" s="201">
        <f>+G9*H9</f>
        <v>268546.57937499997</v>
      </c>
    </row>
    <row r="10" spans="2:9" x14ac:dyDescent="0.25">
      <c r="B10" s="10"/>
      <c r="G10" s="200"/>
      <c r="H10" s="83"/>
      <c r="I10" s="201"/>
    </row>
    <row r="11" spans="2:9" x14ac:dyDescent="0.25">
      <c r="B11" s="3" t="s">
        <v>511</v>
      </c>
      <c r="G11" s="200"/>
      <c r="H11" s="83"/>
      <c r="I11" s="201"/>
    </row>
    <row r="12" spans="2:9" x14ac:dyDescent="0.25">
      <c r="B12" s="3"/>
      <c r="G12" s="200"/>
      <c r="H12" s="83"/>
      <c r="I12" s="201"/>
    </row>
    <row r="13" spans="2:9" x14ac:dyDescent="0.25">
      <c r="B13" s="10"/>
      <c r="C13" t="s">
        <v>331</v>
      </c>
      <c r="G13" s="200"/>
      <c r="H13" s="83"/>
      <c r="I13" s="201"/>
    </row>
    <row r="14" spans="2:9" x14ac:dyDescent="0.25">
      <c r="B14" s="10"/>
      <c r="D14" t="s">
        <v>512</v>
      </c>
      <c r="G14" s="200">
        <f>+rendement!G91</f>
        <v>2686988.1243309481</v>
      </c>
      <c r="H14" s="83">
        <v>2</v>
      </c>
      <c r="I14" s="201">
        <f>+G14*H14</f>
        <v>5373976.2486618962</v>
      </c>
    </row>
    <row r="15" spans="2:9" x14ac:dyDescent="0.25">
      <c r="B15" s="10"/>
      <c r="D15" t="s">
        <v>513</v>
      </c>
      <c r="G15" s="200">
        <f>+rendement!F91</f>
        <v>3056095.6910143457</v>
      </c>
      <c r="H15" s="83">
        <v>2</v>
      </c>
      <c r="I15" s="201">
        <f>+G15*H15</f>
        <v>6112191.3820286915</v>
      </c>
    </row>
    <row r="16" spans="2:9" x14ac:dyDescent="0.25">
      <c r="B16" s="10"/>
      <c r="G16" s="200"/>
      <c r="H16" s="83"/>
      <c r="I16" s="201"/>
    </row>
    <row r="17" spans="2:10" x14ac:dyDescent="0.25">
      <c r="B17" s="10"/>
      <c r="C17" t="s">
        <v>514</v>
      </c>
      <c r="G17" s="374">
        <f>+EBITDA!E53</f>
        <v>2004023.169816504</v>
      </c>
      <c r="H17" s="83">
        <v>1</v>
      </c>
      <c r="I17" s="395">
        <f>+G17*H17</f>
        <v>2004023.169816504</v>
      </c>
      <c r="J17" s="83"/>
    </row>
    <row r="18" spans="2:10" x14ac:dyDescent="0.25">
      <c r="B18" s="10"/>
      <c r="G18" s="374"/>
      <c r="H18" s="83"/>
      <c r="I18" s="395"/>
      <c r="J18" s="83"/>
    </row>
    <row r="19" spans="2:10" x14ac:dyDescent="0.25">
      <c r="B19" s="10"/>
      <c r="C19" t="s">
        <v>515</v>
      </c>
      <c r="G19" s="375">
        <v>0</v>
      </c>
      <c r="H19" s="83">
        <v>0</v>
      </c>
      <c r="I19" s="395">
        <f>+G19*H19</f>
        <v>0</v>
      </c>
      <c r="J19" s="83"/>
    </row>
    <row r="20" spans="2:10" x14ac:dyDescent="0.25">
      <c r="B20" s="10"/>
      <c r="G20" s="374"/>
      <c r="H20" s="83"/>
      <c r="I20" s="395"/>
      <c r="J20" s="83"/>
    </row>
    <row r="21" spans="2:10" x14ac:dyDescent="0.25">
      <c r="B21" s="10"/>
      <c r="C21" t="s">
        <v>516</v>
      </c>
      <c r="G21" s="374">
        <v>0</v>
      </c>
      <c r="H21" s="83">
        <v>0</v>
      </c>
      <c r="I21" s="395">
        <f>+G21*H21</f>
        <v>0</v>
      </c>
      <c r="J21" s="83"/>
    </row>
    <row r="22" spans="2:10" x14ac:dyDescent="0.25">
      <c r="B22" s="10"/>
      <c r="G22" s="200"/>
      <c r="H22" s="83"/>
      <c r="I22" s="201"/>
    </row>
    <row r="23" spans="2:10" x14ac:dyDescent="0.25">
      <c r="B23" s="3" t="s">
        <v>517</v>
      </c>
      <c r="G23" s="200"/>
      <c r="H23" s="83"/>
      <c r="I23" s="201"/>
    </row>
    <row r="24" spans="2:10" x14ac:dyDescent="0.25">
      <c r="B24" s="10"/>
      <c r="G24" s="200"/>
      <c r="H24" s="83"/>
      <c r="I24" s="201"/>
    </row>
    <row r="25" spans="2:10" x14ac:dyDescent="0.25">
      <c r="B25" s="10"/>
      <c r="C25" t="s">
        <v>29</v>
      </c>
      <c r="G25" s="200">
        <f>+Standaardmethode!D18</f>
        <v>2520355.7377266013</v>
      </c>
      <c r="H25" s="83">
        <v>1</v>
      </c>
      <c r="I25" s="201">
        <f>+G25*H25</f>
        <v>2520355.7377266013</v>
      </c>
    </row>
    <row r="26" spans="2:10" x14ac:dyDescent="0.25">
      <c r="B26" s="10"/>
      <c r="C26" t="s">
        <v>30</v>
      </c>
      <c r="G26" s="200">
        <f>+Overwinstmethode!D17</f>
        <v>583695.20125099993</v>
      </c>
      <c r="H26" s="83">
        <v>0</v>
      </c>
      <c r="I26" s="201">
        <f>+G26*H26</f>
        <v>0</v>
      </c>
    </row>
    <row r="27" spans="2:10" x14ac:dyDescent="0.25">
      <c r="B27" s="10"/>
      <c r="G27" s="200"/>
      <c r="H27" s="83"/>
      <c r="I27" s="201"/>
    </row>
    <row r="28" spans="2:10" x14ac:dyDescent="0.25">
      <c r="B28" s="3" t="s">
        <v>468</v>
      </c>
      <c r="G28" s="200"/>
      <c r="H28" s="83"/>
      <c r="I28" s="201"/>
    </row>
    <row r="29" spans="2:10" x14ac:dyDescent="0.25">
      <c r="B29" s="10"/>
      <c r="G29" s="200"/>
      <c r="H29" s="83"/>
      <c r="I29" s="201"/>
    </row>
    <row r="30" spans="2:10" x14ac:dyDescent="0.25">
      <c r="B30" s="10"/>
      <c r="C30" t="s">
        <v>518</v>
      </c>
      <c r="G30" s="200">
        <f>+'Alternatieve methodes'!D15</f>
        <v>2017650.6258191343</v>
      </c>
      <c r="H30" s="83">
        <v>2</v>
      </c>
      <c r="I30" s="201">
        <f>+G30*H30</f>
        <v>4035301.2516382686</v>
      </c>
    </row>
    <row r="31" spans="2:10" x14ac:dyDescent="0.25">
      <c r="B31" s="10"/>
      <c r="G31" s="200"/>
      <c r="H31" s="83"/>
      <c r="I31" s="201"/>
    </row>
    <row r="32" spans="2:10" x14ac:dyDescent="0.25">
      <c r="B32" s="10"/>
      <c r="F32" s="83" t="s">
        <v>320</v>
      </c>
      <c r="G32" s="269">
        <f>SUM(G7:G30)</f>
        <v>13894773.158708531</v>
      </c>
      <c r="H32" s="204">
        <f>SUM(H7:H30)</f>
        <v>8.75</v>
      </c>
      <c r="I32" s="188">
        <f>SUM(I7:I30)</f>
        <v>20436612.23174696</v>
      </c>
      <c r="J32" s="83"/>
    </row>
    <row r="33" spans="2:15" x14ac:dyDescent="0.25">
      <c r="B33" s="10"/>
      <c r="I33" s="23"/>
    </row>
    <row r="34" spans="2:15" hidden="1" x14ac:dyDescent="0.25">
      <c r="B34" s="10"/>
      <c r="I34" s="23"/>
    </row>
    <row r="35" spans="2:15" hidden="1" x14ac:dyDescent="0.25">
      <c r="B35" s="10"/>
      <c r="I35" s="23"/>
    </row>
    <row r="36" spans="2:15" hidden="1" x14ac:dyDescent="0.25">
      <c r="B36" s="10"/>
      <c r="I36" s="23"/>
    </row>
    <row r="37" spans="2:15" ht="14.25" hidden="1" customHeight="1" x14ac:dyDescent="0.25">
      <c r="B37" s="10"/>
      <c r="I37" s="23"/>
    </row>
    <row r="38" spans="2:15" hidden="1" x14ac:dyDescent="0.25">
      <c r="B38" s="10"/>
      <c r="I38" s="23"/>
    </row>
    <row r="39" spans="2:15" ht="15.75" x14ac:dyDescent="0.25">
      <c r="B39" s="17"/>
      <c r="C39" s="396"/>
      <c r="D39" s="18"/>
      <c r="E39" s="396"/>
      <c r="F39" s="397"/>
      <c r="G39" s="398" t="s">
        <v>519</v>
      </c>
      <c r="H39" s="18"/>
      <c r="I39" s="399">
        <f>+I32/H32</f>
        <v>2335612.826485367</v>
      </c>
      <c r="N39" s="232"/>
    </row>
    <row r="40" spans="2:15" ht="15.75" hidden="1" x14ac:dyDescent="0.25">
      <c r="C40" s="69"/>
      <c r="E40" s="69"/>
      <c r="G40" s="238"/>
      <c r="I40" s="308"/>
      <c r="K40" s="4"/>
    </row>
    <row r="41" spans="2:15" ht="15.75" hidden="1" x14ac:dyDescent="0.25">
      <c r="B41" s="376"/>
      <c r="C41" s="377"/>
      <c r="D41" s="377"/>
      <c r="E41" s="377"/>
      <c r="F41" s="378"/>
      <c r="G41" s="379" t="s">
        <v>520</v>
      </c>
      <c r="H41" s="380"/>
      <c r="I41" s="377"/>
      <c r="J41" s="381" t="e">
        <f>(I17+I19+I21)/J32</f>
        <v>#DIV/0!</v>
      </c>
      <c r="N41" s="165"/>
      <c r="O41" s="54"/>
    </row>
    <row r="42" spans="2:15" x14ac:dyDescent="0.25">
      <c r="N42" s="165"/>
      <c r="O42" s="54"/>
    </row>
    <row r="43" spans="2:15" hidden="1" x14ac:dyDescent="0.25">
      <c r="B43" s="404" t="s">
        <v>521</v>
      </c>
      <c r="C43" s="13"/>
      <c r="D43" s="13"/>
      <c r="E43" s="13"/>
      <c r="F43" s="204"/>
      <c r="G43" s="13"/>
      <c r="H43" s="13"/>
      <c r="I43" s="16"/>
    </row>
    <row r="44" spans="2:15" hidden="1" x14ac:dyDescent="0.25">
      <c r="B44" s="10"/>
      <c r="I44" s="23"/>
    </row>
    <row r="45" spans="2:15" hidden="1" x14ac:dyDescent="0.25">
      <c r="B45" s="3" t="s">
        <v>522</v>
      </c>
      <c r="I45" s="23"/>
    </row>
    <row r="46" spans="2:15" hidden="1" x14ac:dyDescent="0.25">
      <c r="B46" s="405" t="s">
        <v>523</v>
      </c>
      <c r="C46">
        <f>+'Balans &amp; Res.rek'!G89</f>
        <v>0</v>
      </c>
      <c r="I46" s="23"/>
    </row>
    <row r="47" spans="2:15" hidden="1" x14ac:dyDescent="0.25">
      <c r="B47" s="405" t="s">
        <v>524</v>
      </c>
      <c r="C47">
        <f>+'Balans &amp; Res.rek'!H89</f>
        <v>167785</v>
      </c>
      <c r="D47" s="402"/>
      <c r="I47" s="23"/>
    </row>
    <row r="48" spans="2:15" hidden="1" x14ac:dyDescent="0.25">
      <c r="B48" s="405" t="s">
        <v>525</v>
      </c>
      <c r="C48">
        <f>+'Balans &amp; Res.rek'!I89</f>
        <v>106143.17</v>
      </c>
      <c r="D48" s="402"/>
      <c r="I48" s="23"/>
    </row>
    <row r="49" spans="1:10" hidden="1" x14ac:dyDescent="0.25">
      <c r="B49" s="405" t="s">
        <v>526</v>
      </c>
      <c r="C49">
        <f>+Prognose!J89</f>
        <v>181959.72</v>
      </c>
      <c r="D49" s="403"/>
      <c r="I49" s="23"/>
    </row>
    <row r="50" spans="1:10" hidden="1" x14ac:dyDescent="0.25">
      <c r="B50" s="405" t="s">
        <v>527</v>
      </c>
      <c r="C50">
        <f>+Prognose!K89</f>
        <v>191057.70600000001</v>
      </c>
      <c r="D50" s="403"/>
      <c r="I50" s="23"/>
    </row>
    <row r="51" spans="1:10" hidden="1" x14ac:dyDescent="0.25">
      <c r="B51" s="405" t="s">
        <v>528</v>
      </c>
      <c r="C51">
        <f>+Prognose!L89</f>
        <v>200610.5913</v>
      </c>
      <c r="D51" s="403"/>
      <c r="I51" s="23"/>
    </row>
    <row r="52" spans="1:10" hidden="1" x14ac:dyDescent="0.25">
      <c r="B52" s="10"/>
      <c r="I52" s="23"/>
    </row>
    <row r="53" spans="1:10" hidden="1" x14ac:dyDescent="0.25">
      <c r="B53" s="405" t="s">
        <v>529</v>
      </c>
      <c r="I53" s="57">
        <f>AVERAGE(C46:C51)*1.2</f>
        <v>169511.23746</v>
      </c>
    </row>
    <row r="54" spans="1:10" hidden="1" x14ac:dyDescent="0.25">
      <c r="B54" s="405" t="s">
        <v>530</v>
      </c>
      <c r="I54" s="57">
        <v>3.5</v>
      </c>
    </row>
    <row r="55" spans="1:10" hidden="1" x14ac:dyDescent="0.25">
      <c r="B55" s="10"/>
      <c r="I55" s="57"/>
    </row>
    <row r="56" spans="1:10" ht="15.75" hidden="1" x14ac:dyDescent="0.25">
      <c r="B56" s="17"/>
      <c r="C56" s="406" t="s">
        <v>531</v>
      </c>
      <c r="D56" s="407"/>
      <c r="E56" s="407"/>
      <c r="F56" s="408"/>
      <c r="G56" s="396"/>
      <c r="H56" s="396"/>
      <c r="I56" s="409">
        <f>+I53*I54</f>
        <v>593289.33111000003</v>
      </c>
    </row>
    <row r="58" spans="1:10" x14ac:dyDescent="0.25">
      <c r="A58" s="234" t="s">
        <v>559</v>
      </c>
      <c r="J58" s="273"/>
    </row>
    <row r="60" spans="1:10" x14ac:dyDescent="0.25">
      <c r="A60" s="447" t="s">
        <v>560</v>
      </c>
      <c r="B60" s="447"/>
      <c r="C60" s="447"/>
      <c r="D60" s="447"/>
      <c r="E60" s="447"/>
      <c r="F60" s="447"/>
      <c r="G60" s="447"/>
      <c r="H60" s="447"/>
      <c r="I60" s="447"/>
    </row>
    <row r="61" spans="1:10" x14ac:dyDescent="0.25">
      <c r="A61" s="447"/>
      <c r="B61" s="447"/>
      <c r="C61" s="447"/>
      <c r="D61" s="447"/>
      <c r="E61" s="447"/>
      <c r="F61" s="447"/>
      <c r="G61" s="447"/>
      <c r="H61" s="447"/>
      <c r="I61" s="447"/>
    </row>
    <row r="62" spans="1:10" x14ac:dyDescent="0.25">
      <c r="A62" s="447"/>
      <c r="B62" s="447"/>
      <c r="C62" s="447"/>
      <c r="D62" s="447"/>
      <c r="E62" s="447"/>
      <c r="F62" s="447"/>
      <c r="G62" s="447"/>
      <c r="H62" s="447"/>
      <c r="I62" s="447"/>
    </row>
    <row r="63" spans="1:10" x14ac:dyDescent="0.25">
      <c r="A63" s="447"/>
      <c r="B63" s="447"/>
      <c r="C63" s="447"/>
      <c r="D63" s="447"/>
      <c r="E63" s="447"/>
      <c r="F63" s="447"/>
      <c r="G63" s="447"/>
      <c r="H63" s="447"/>
      <c r="I63" s="447"/>
    </row>
    <row r="64" spans="1:10" x14ac:dyDescent="0.25">
      <c r="A64" s="447" t="s">
        <v>589</v>
      </c>
      <c r="B64" s="447"/>
      <c r="C64" s="447"/>
      <c r="D64" s="447"/>
      <c r="E64" s="447"/>
      <c r="F64" s="447"/>
      <c r="G64" s="447"/>
      <c r="H64" s="447"/>
      <c r="I64" s="447"/>
    </row>
    <row r="65" spans="1:9" x14ac:dyDescent="0.25">
      <c r="A65" s="447"/>
      <c r="B65" s="447"/>
      <c r="C65" s="447"/>
      <c r="D65" s="447"/>
      <c r="E65" s="447"/>
      <c r="F65" s="447"/>
      <c r="G65" s="447"/>
      <c r="H65" s="447"/>
      <c r="I65" s="447"/>
    </row>
    <row r="66" spans="1:9" x14ac:dyDescent="0.25">
      <c r="A66" s="447"/>
      <c r="B66" s="447"/>
      <c r="C66" s="447"/>
      <c r="D66" s="447"/>
      <c r="E66" s="447"/>
      <c r="F66" s="447"/>
      <c r="G66" s="447"/>
      <c r="H66" s="447"/>
      <c r="I66" s="447"/>
    </row>
    <row r="67" spans="1:9" x14ac:dyDescent="0.25">
      <c r="A67" s="447"/>
      <c r="B67" s="447"/>
      <c r="C67" s="447"/>
      <c r="D67" s="447"/>
      <c r="E67" s="447"/>
      <c r="F67" s="447"/>
      <c r="G67" s="447"/>
      <c r="H67" s="447"/>
      <c r="I67" s="447"/>
    </row>
    <row r="68" spans="1:9" x14ac:dyDescent="0.25">
      <c r="A68" s="447"/>
      <c r="B68" s="447"/>
      <c r="C68" s="447"/>
      <c r="D68" s="447"/>
      <c r="E68" s="447"/>
      <c r="F68" s="447"/>
      <c r="G68" s="447"/>
      <c r="H68" s="447"/>
      <c r="I68" s="447"/>
    </row>
    <row r="69" spans="1:9" x14ac:dyDescent="0.25">
      <c r="A69" s="447"/>
      <c r="B69" s="447"/>
      <c r="C69" s="447"/>
      <c r="D69" s="447"/>
      <c r="E69" s="447"/>
      <c r="F69" s="447"/>
      <c r="G69" s="447"/>
      <c r="H69" s="447"/>
      <c r="I69" s="447"/>
    </row>
    <row r="70" spans="1:9" x14ac:dyDescent="0.25">
      <c r="A70" s="447"/>
      <c r="B70" s="447"/>
      <c r="C70" s="447"/>
      <c r="D70" s="447"/>
      <c r="E70" s="447"/>
      <c r="F70" s="447"/>
      <c r="G70" s="447"/>
      <c r="H70" s="447"/>
      <c r="I70" s="447"/>
    </row>
    <row r="71" spans="1:9" x14ac:dyDescent="0.25">
      <c r="A71" s="447"/>
      <c r="B71" s="447"/>
      <c r="C71" s="447"/>
      <c r="D71" s="447"/>
      <c r="E71" s="447"/>
      <c r="F71" s="447"/>
      <c r="G71" s="447"/>
      <c r="H71" s="447"/>
      <c r="I71" s="447"/>
    </row>
    <row r="72" spans="1:9" x14ac:dyDescent="0.25">
      <c r="A72" s="447"/>
      <c r="B72" s="447"/>
      <c r="C72" s="447"/>
      <c r="D72" s="447"/>
      <c r="E72" s="447"/>
      <c r="F72" s="447"/>
      <c r="G72" s="447"/>
      <c r="H72" s="447"/>
      <c r="I72" s="447"/>
    </row>
  </sheetData>
  <mergeCells count="6">
    <mergeCell ref="A60:I63"/>
    <mergeCell ref="A64:I72"/>
    <mergeCell ref="H3:H4"/>
    <mergeCell ref="I3:I4"/>
    <mergeCell ref="G3:G4"/>
    <mergeCell ref="B3:F4"/>
  </mergeCells>
  <pageMargins left="0.70866141732283472" right="0.70866141732283472" top="0.74803149606299213" bottom="0.74803149606299213" header="0.31496062992125984" footer="0.31496062992125984"/>
  <pageSetup paperSize="9" scale="94" firstPageNumber="23" fitToHeight="0" orientation="portrait" useFirstPageNumber="1" r:id="rId1"/>
  <headerFooter>
    <oddHeader>&amp;LSisu BV&amp;CWaardering
&amp;R&amp;D</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7A03F-5E71-40BC-B725-41D6F613C633}">
  <sheetPr>
    <tabColor rgb="FF92D050"/>
    <pageSetUpPr fitToPage="1"/>
  </sheetPr>
  <dimension ref="A1:J64"/>
  <sheetViews>
    <sheetView view="pageLayout" zoomScaleNormal="100" workbookViewId="0">
      <selection activeCell="H19" sqref="H19"/>
    </sheetView>
  </sheetViews>
  <sheetFormatPr defaultRowHeight="15" x14ac:dyDescent="0.25"/>
  <cols>
    <col min="1" max="10" width="12.5703125" bestFit="1" customWidth="1"/>
  </cols>
  <sheetData>
    <row r="1" spans="1:10" x14ac:dyDescent="0.25">
      <c r="A1" s="234" t="s">
        <v>541</v>
      </c>
    </row>
    <row r="3" spans="1:10" x14ac:dyDescent="0.25">
      <c r="A3" t="s">
        <v>542</v>
      </c>
      <c r="E3" s="165">
        <f>'Eigen vermogenswaarde'!H20</f>
        <v>1389959.45</v>
      </c>
    </row>
    <row r="5" spans="1:10" x14ac:dyDescent="0.25">
      <c r="A5" t="s">
        <v>543</v>
      </c>
    </row>
    <row r="6" spans="1:10" x14ac:dyDescent="0.25">
      <c r="A6" t="s">
        <v>547</v>
      </c>
      <c r="E6" s="118">
        <v>2.5000000000000001E-2</v>
      </c>
      <c r="F6">
        <v>1.0249999999999999</v>
      </c>
    </row>
    <row r="8" spans="1:10" x14ac:dyDescent="0.25">
      <c r="A8">
        <v>1</v>
      </c>
      <c r="B8">
        <v>2</v>
      </c>
      <c r="C8">
        <v>3</v>
      </c>
      <c r="D8">
        <v>4</v>
      </c>
      <c r="E8">
        <v>5</v>
      </c>
      <c r="F8">
        <v>6</v>
      </c>
      <c r="G8">
        <v>7</v>
      </c>
      <c r="H8">
        <v>8</v>
      </c>
      <c r="I8">
        <v>9</v>
      </c>
      <c r="J8">
        <v>10</v>
      </c>
    </row>
    <row r="9" spans="1:10" x14ac:dyDescent="0.25">
      <c r="A9" s="4">
        <v>2025</v>
      </c>
      <c r="B9" s="4">
        <v>2026</v>
      </c>
      <c r="C9" s="4">
        <v>2027</v>
      </c>
      <c r="D9" s="4">
        <v>2028</v>
      </c>
      <c r="E9" s="4">
        <v>2029</v>
      </c>
      <c r="F9" s="4">
        <v>2030</v>
      </c>
      <c r="G9" s="4">
        <v>2031</v>
      </c>
      <c r="H9" s="4">
        <v>2032</v>
      </c>
      <c r="I9" s="4">
        <v>2033</v>
      </c>
      <c r="J9" s="4">
        <v>2034</v>
      </c>
    </row>
    <row r="10" spans="1:10" x14ac:dyDescent="0.25">
      <c r="A10" s="54">
        <f>E3*1.025</f>
        <v>1424708.4362499998</v>
      </c>
      <c r="B10" s="54">
        <f>E3*1.025^2</f>
        <v>1460326.1471562497</v>
      </c>
      <c r="C10" s="54">
        <f>E3*1.025^3</f>
        <v>1496834.3008351561</v>
      </c>
      <c r="D10" s="54">
        <f>$E$3*$F$6^D$8</f>
        <v>1534255.1583560347</v>
      </c>
      <c r="E10" s="54">
        <f t="shared" ref="E10:J10" si="0">$E$3*$F$6^E$8</f>
        <v>1572611.5373149356</v>
      </c>
      <c r="F10" s="54">
        <f t="shared" si="0"/>
        <v>1611926.8257478087</v>
      </c>
      <c r="G10" s="54">
        <f t="shared" si="0"/>
        <v>1652224.9963915041</v>
      </c>
      <c r="H10" s="54">
        <f t="shared" si="0"/>
        <v>1693530.6213012915</v>
      </c>
      <c r="I10" s="54">
        <f t="shared" si="0"/>
        <v>1735868.8868338235</v>
      </c>
      <c r="J10" s="54">
        <f t="shared" si="0"/>
        <v>1779265.6090046691</v>
      </c>
    </row>
    <row r="11" spans="1:10" x14ac:dyDescent="0.25">
      <c r="B11" s="54"/>
    </row>
    <row r="12" spans="1:10" x14ac:dyDescent="0.25">
      <c r="A12" s="447" t="s">
        <v>556</v>
      </c>
      <c r="B12" s="447"/>
      <c r="C12" s="447"/>
      <c r="D12" s="447"/>
      <c r="E12" s="447"/>
      <c r="F12" s="447"/>
      <c r="G12" s="447"/>
      <c r="H12" s="447"/>
      <c r="I12" s="447"/>
      <c r="J12" s="447"/>
    </row>
    <row r="13" spans="1:10" x14ac:dyDescent="0.25">
      <c r="A13" s="447"/>
      <c r="B13" s="447"/>
      <c r="C13" s="447"/>
      <c r="D13" s="447"/>
      <c r="E13" s="447"/>
      <c r="F13" s="447"/>
      <c r="G13" s="447"/>
      <c r="H13" s="447"/>
      <c r="I13" s="447"/>
      <c r="J13" s="447"/>
    </row>
    <row r="14" spans="1:10" x14ac:dyDescent="0.25">
      <c r="A14" s="447"/>
      <c r="B14" s="447"/>
      <c r="C14" s="447"/>
      <c r="D14" s="447"/>
      <c r="E14" s="447"/>
      <c r="F14" s="447"/>
      <c r="G14" s="447"/>
      <c r="H14" s="447"/>
      <c r="I14" s="447"/>
      <c r="J14" s="447"/>
    </row>
    <row r="15" spans="1:10" x14ac:dyDescent="0.25">
      <c r="A15" s="447"/>
      <c r="B15" s="447"/>
      <c r="C15" s="447"/>
      <c r="D15" s="447"/>
      <c r="E15" s="447"/>
      <c r="F15" s="447"/>
      <c r="G15" s="447"/>
      <c r="H15" s="447"/>
      <c r="I15" s="447"/>
      <c r="J15" s="447"/>
    </row>
    <row r="16" spans="1:10" x14ac:dyDescent="0.25">
      <c r="A16" s="447"/>
      <c r="B16" s="447"/>
      <c r="C16" s="447"/>
      <c r="D16" s="447"/>
      <c r="E16" s="447"/>
      <c r="F16" s="447"/>
      <c r="G16" s="447"/>
      <c r="H16" s="447"/>
      <c r="I16" s="447"/>
      <c r="J16" s="447"/>
    </row>
    <row r="17" spans="1:10" x14ac:dyDescent="0.25">
      <c r="A17" s="447"/>
      <c r="B17" s="447"/>
      <c r="C17" s="447"/>
      <c r="D17" s="447"/>
      <c r="E17" s="447"/>
      <c r="F17" s="447"/>
      <c r="G17" s="447"/>
      <c r="H17" s="447"/>
      <c r="I17" s="447"/>
      <c r="J17" s="447"/>
    </row>
    <row r="18" spans="1:10" x14ac:dyDescent="0.25">
      <c r="A18" s="447"/>
      <c r="B18" s="447"/>
      <c r="C18" s="447"/>
      <c r="D18" s="447"/>
      <c r="E18" s="447"/>
      <c r="F18" s="447"/>
      <c r="G18" s="447"/>
      <c r="H18" s="447"/>
      <c r="I18" s="447"/>
      <c r="J18" s="447"/>
    </row>
    <row r="19" spans="1:10" x14ac:dyDescent="0.25">
      <c r="A19" s="447"/>
      <c r="B19" s="447"/>
      <c r="C19" s="447"/>
      <c r="D19" s="447"/>
      <c r="E19" s="447"/>
      <c r="F19" s="447"/>
      <c r="G19" s="447"/>
      <c r="H19" s="447"/>
      <c r="I19" s="447"/>
      <c r="J19" s="447"/>
    </row>
    <row r="20" spans="1:10" x14ac:dyDescent="0.25">
      <c r="A20" s="447"/>
      <c r="B20" s="447"/>
      <c r="C20" s="447"/>
      <c r="D20" s="447"/>
      <c r="E20" s="447"/>
      <c r="F20" s="447"/>
      <c r="G20" s="447"/>
      <c r="H20" s="447"/>
      <c r="I20" s="447"/>
      <c r="J20" s="447"/>
    </row>
    <row r="21" spans="1:10" x14ac:dyDescent="0.25">
      <c r="A21" s="447"/>
      <c r="B21" s="447"/>
      <c r="C21" s="447"/>
      <c r="D21" s="447"/>
      <c r="E21" s="447"/>
      <c r="F21" s="447"/>
      <c r="G21" s="447"/>
      <c r="H21" s="447"/>
      <c r="I21" s="447"/>
      <c r="J21" s="447"/>
    </row>
    <row r="22" spans="1:10" x14ac:dyDescent="0.25">
      <c r="A22" s="447"/>
      <c r="B22" s="447"/>
      <c r="C22" s="447"/>
      <c r="D22" s="447"/>
      <c r="E22" s="447"/>
      <c r="F22" s="447"/>
      <c r="G22" s="447"/>
      <c r="H22" s="447"/>
      <c r="I22" s="447"/>
      <c r="J22" s="447"/>
    </row>
    <row r="23" spans="1:10" x14ac:dyDescent="0.25">
      <c r="A23" s="447"/>
      <c r="B23" s="447"/>
      <c r="C23" s="447"/>
      <c r="D23" s="447"/>
      <c r="E23" s="447"/>
      <c r="F23" s="447"/>
      <c r="G23" s="447"/>
      <c r="H23" s="447"/>
      <c r="I23" s="447"/>
      <c r="J23" s="447"/>
    </row>
    <row r="24" spans="1:10" x14ac:dyDescent="0.25">
      <c r="A24" s="447"/>
      <c r="B24" s="447"/>
      <c r="C24" s="447"/>
      <c r="D24" s="447"/>
      <c r="E24" s="447"/>
      <c r="F24" s="447"/>
      <c r="G24" s="447"/>
      <c r="H24" s="447"/>
      <c r="I24" s="447"/>
      <c r="J24" s="447"/>
    </row>
    <row r="25" spans="1:10" x14ac:dyDescent="0.25">
      <c r="A25" s="447"/>
      <c r="B25" s="447"/>
      <c r="C25" s="447"/>
      <c r="D25" s="447"/>
      <c r="E25" s="447"/>
      <c r="F25" s="447"/>
      <c r="G25" s="447"/>
      <c r="H25" s="447"/>
      <c r="I25" s="447"/>
      <c r="J25" s="447"/>
    </row>
    <row r="26" spans="1:10" x14ac:dyDescent="0.25">
      <c r="A26" s="447"/>
      <c r="B26" s="447"/>
      <c r="C26" s="447"/>
      <c r="D26" s="447"/>
      <c r="E26" s="447"/>
      <c r="F26" s="447"/>
      <c r="G26" s="447"/>
      <c r="H26" s="447"/>
      <c r="I26" s="447"/>
      <c r="J26" s="447"/>
    </row>
    <row r="27" spans="1:10" x14ac:dyDescent="0.25">
      <c r="A27" s="447"/>
      <c r="B27" s="447"/>
      <c r="C27" s="447"/>
      <c r="D27" s="447"/>
      <c r="E27" s="447"/>
      <c r="F27" s="447"/>
      <c r="G27" s="447"/>
      <c r="H27" s="447"/>
      <c r="I27" s="447"/>
      <c r="J27" s="447"/>
    </row>
    <row r="28" spans="1:10" x14ac:dyDescent="0.25">
      <c r="A28" s="447"/>
      <c r="B28" s="447"/>
      <c r="C28" s="447"/>
      <c r="D28" s="447"/>
      <c r="E28" s="447"/>
      <c r="F28" s="447"/>
      <c r="G28" s="447"/>
      <c r="H28" s="447"/>
      <c r="I28" s="447"/>
      <c r="J28" s="447"/>
    </row>
    <row r="29" spans="1:10" x14ac:dyDescent="0.25">
      <c r="A29" s="447"/>
      <c r="B29" s="447"/>
      <c r="C29" s="447"/>
      <c r="D29" s="447"/>
      <c r="E29" s="447"/>
      <c r="F29" s="447"/>
      <c r="G29" s="447"/>
      <c r="H29" s="447"/>
      <c r="I29" s="447"/>
      <c r="J29" s="447"/>
    </row>
    <row r="30" spans="1:10" x14ac:dyDescent="0.25">
      <c r="A30" s="447"/>
      <c r="B30" s="447"/>
      <c r="C30" s="447"/>
      <c r="D30" s="447"/>
      <c r="E30" s="447"/>
      <c r="F30" s="447"/>
      <c r="G30" s="447"/>
      <c r="H30" s="447"/>
      <c r="I30" s="447"/>
      <c r="J30" s="447"/>
    </row>
    <row r="31" spans="1:10" x14ac:dyDescent="0.25">
      <c r="A31" s="447"/>
      <c r="B31" s="447"/>
      <c r="C31" s="447"/>
      <c r="D31" s="447"/>
      <c r="E31" s="447"/>
      <c r="F31" s="447"/>
      <c r="G31" s="447"/>
      <c r="H31" s="447"/>
      <c r="I31" s="447"/>
      <c r="J31" s="447"/>
    </row>
    <row r="32" spans="1:10" x14ac:dyDescent="0.25">
      <c r="A32" s="447"/>
      <c r="B32" s="447"/>
      <c r="C32" s="447"/>
      <c r="D32" s="447"/>
      <c r="E32" s="447"/>
      <c r="F32" s="447"/>
      <c r="G32" s="447"/>
      <c r="H32" s="447"/>
      <c r="I32" s="447"/>
      <c r="J32" s="447"/>
    </row>
    <row r="33" spans="1:10" x14ac:dyDescent="0.25">
      <c r="A33" s="447"/>
      <c r="B33" s="447"/>
      <c r="C33" s="447"/>
      <c r="D33" s="447"/>
      <c r="E33" s="447"/>
      <c r="F33" s="447"/>
      <c r="G33" s="447"/>
      <c r="H33" s="447"/>
      <c r="I33" s="447"/>
      <c r="J33" s="447"/>
    </row>
    <row r="34" spans="1:10" x14ac:dyDescent="0.25">
      <c r="A34" s="447"/>
      <c r="B34" s="447"/>
      <c r="C34" s="447"/>
      <c r="D34" s="447"/>
      <c r="E34" s="447"/>
      <c r="F34" s="447"/>
      <c r="G34" s="447"/>
      <c r="H34" s="447"/>
      <c r="I34" s="447"/>
      <c r="J34" s="447"/>
    </row>
    <row r="35" spans="1:10" x14ac:dyDescent="0.25">
      <c r="A35" s="447"/>
      <c r="B35" s="447"/>
      <c r="C35" s="447"/>
      <c r="D35" s="447"/>
      <c r="E35" s="447"/>
      <c r="F35" s="447"/>
      <c r="G35" s="447"/>
      <c r="H35" s="447"/>
      <c r="I35" s="447"/>
      <c r="J35" s="447"/>
    </row>
    <row r="36" spans="1:10" x14ac:dyDescent="0.25">
      <c r="A36" s="447"/>
      <c r="B36" s="447"/>
      <c r="C36" s="447"/>
      <c r="D36" s="447"/>
      <c r="E36" s="447"/>
      <c r="F36" s="447"/>
      <c r="G36" s="447"/>
      <c r="H36" s="447"/>
      <c r="I36" s="447"/>
      <c r="J36" s="447"/>
    </row>
    <row r="37" spans="1:10" x14ac:dyDescent="0.25">
      <c r="A37" s="447"/>
      <c r="B37" s="447"/>
      <c r="C37" s="447"/>
      <c r="D37" s="447"/>
      <c r="E37" s="447"/>
      <c r="F37" s="447"/>
      <c r="G37" s="447"/>
      <c r="H37" s="447"/>
      <c r="I37" s="447"/>
      <c r="J37" s="447"/>
    </row>
    <row r="38" spans="1:10" x14ac:dyDescent="0.25">
      <c r="A38" s="447"/>
      <c r="B38" s="447"/>
      <c r="C38" s="447"/>
      <c r="D38" s="447"/>
      <c r="E38" s="447"/>
      <c r="F38" s="447"/>
      <c r="G38" s="447"/>
      <c r="H38" s="447"/>
      <c r="I38" s="447"/>
      <c r="J38" s="447"/>
    </row>
    <row r="39" spans="1:10" x14ac:dyDescent="0.25">
      <c r="A39" s="447"/>
      <c r="B39" s="447"/>
      <c r="C39" s="447"/>
      <c r="D39" s="447"/>
      <c r="E39" s="447"/>
      <c r="F39" s="447"/>
      <c r="G39" s="447"/>
      <c r="H39" s="447"/>
      <c r="I39" s="447"/>
      <c r="J39" s="447"/>
    </row>
    <row r="40" spans="1:10" x14ac:dyDescent="0.25">
      <c r="A40" s="447"/>
      <c r="B40" s="447"/>
      <c r="C40" s="447"/>
      <c r="D40" s="447"/>
      <c r="E40" s="447"/>
      <c r="F40" s="447"/>
      <c r="G40" s="447"/>
      <c r="H40" s="447"/>
      <c r="I40" s="447"/>
      <c r="J40" s="447"/>
    </row>
    <row r="41" spans="1:10" x14ac:dyDescent="0.25">
      <c r="A41" s="447"/>
      <c r="B41" s="447"/>
      <c r="C41" s="447"/>
      <c r="D41" s="447"/>
      <c r="E41" s="447"/>
      <c r="F41" s="447"/>
      <c r="G41" s="447"/>
      <c r="H41" s="447"/>
      <c r="I41" s="447"/>
      <c r="J41" s="447"/>
    </row>
    <row r="42" spans="1:10" x14ac:dyDescent="0.25">
      <c r="A42" s="447"/>
      <c r="B42" s="447"/>
      <c r="C42" s="447"/>
      <c r="D42" s="447"/>
      <c r="E42" s="447"/>
      <c r="F42" s="447"/>
      <c r="G42" s="447"/>
      <c r="H42" s="447"/>
      <c r="I42" s="447"/>
      <c r="J42" s="447"/>
    </row>
    <row r="43" spans="1:10" x14ac:dyDescent="0.25">
      <c r="A43" s="447"/>
      <c r="B43" s="447"/>
      <c r="C43" s="447"/>
      <c r="D43" s="447"/>
      <c r="E43" s="447"/>
      <c r="F43" s="447"/>
      <c r="G43" s="447"/>
      <c r="H43" s="447"/>
      <c r="I43" s="447"/>
      <c r="J43" s="447"/>
    </row>
    <row r="44" spans="1:10" x14ac:dyDescent="0.25">
      <c r="A44" s="447"/>
      <c r="B44" s="447"/>
      <c r="C44" s="447"/>
      <c r="D44" s="447"/>
      <c r="E44" s="447"/>
      <c r="F44" s="447"/>
      <c r="G44" s="447"/>
      <c r="H44" s="447"/>
      <c r="I44" s="447"/>
      <c r="J44" s="447"/>
    </row>
    <row r="45" spans="1:10" x14ac:dyDescent="0.25">
      <c r="A45" s="447"/>
      <c r="B45" s="447"/>
      <c r="C45" s="447"/>
      <c r="D45" s="447"/>
      <c r="E45" s="447"/>
      <c r="F45" s="447"/>
      <c r="G45" s="447"/>
      <c r="H45" s="447"/>
      <c r="I45" s="447"/>
      <c r="J45" s="447"/>
    </row>
    <row r="46" spans="1:10" x14ac:dyDescent="0.25">
      <c r="A46" s="447"/>
      <c r="B46" s="447"/>
      <c r="C46" s="447"/>
      <c r="D46" s="447"/>
      <c r="E46" s="447"/>
      <c r="F46" s="447"/>
      <c r="G46" s="447"/>
      <c r="H46" s="447"/>
      <c r="I46" s="447"/>
      <c r="J46" s="447"/>
    </row>
    <row r="47" spans="1:10" x14ac:dyDescent="0.25">
      <c r="A47" s="447"/>
      <c r="B47" s="447"/>
      <c r="C47" s="447"/>
      <c r="D47" s="447"/>
      <c r="E47" s="447"/>
      <c r="F47" s="447"/>
      <c r="G47" s="447"/>
      <c r="H47" s="447"/>
      <c r="I47" s="447"/>
      <c r="J47" s="447"/>
    </row>
    <row r="48" spans="1:10" x14ac:dyDescent="0.25">
      <c r="A48" s="447"/>
      <c r="B48" s="447"/>
      <c r="C48" s="447"/>
      <c r="D48" s="447"/>
      <c r="E48" s="447"/>
      <c r="F48" s="447"/>
      <c r="G48" s="447"/>
      <c r="H48" s="447"/>
      <c r="I48" s="447"/>
      <c r="J48" s="447"/>
    </row>
    <row r="49" spans="1:10" x14ac:dyDescent="0.25">
      <c r="A49" s="447"/>
      <c r="B49" s="447"/>
      <c r="C49" s="447"/>
      <c r="D49" s="447"/>
      <c r="E49" s="447"/>
      <c r="F49" s="447"/>
      <c r="G49" s="447"/>
      <c r="H49" s="447"/>
      <c r="I49" s="447"/>
      <c r="J49" s="447"/>
    </row>
    <row r="50" spans="1:10" x14ac:dyDescent="0.25">
      <c r="A50" s="447"/>
      <c r="B50" s="447"/>
      <c r="C50" s="447"/>
      <c r="D50" s="447"/>
      <c r="E50" s="447"/>
      <c r="F50" s="447"/>
      <c r="G50" s="447"/>
      <c r="H50" s="447"/>
      <c r="I50" s="447"/>
      <c r="J50" s="447"/>
    </row>
    <row r="51" spans="1:10" x14ac:dyDescent="0.25">
      <c r="A51" s="447"/>
      <c r="B51" s="447"/>
      <c r="C51" s="447"/>
      <c r="D51" s="447"/>
      <c r="E51" s="447"/>
      <c r="F51" s="447"/>
      <c r="G51" s="447"/>
      <c r="H51" s="447"/>
      <c r="I51" s="447"/>
      <c r="J51" s="447"/>
    </row>
    <row r="52" spans="1:10" x14ac:dyDescent="0.25">
      <c r="A52" s="447"/>
      <c r="B52" s="447"/>
      <c r="C52" s="447"/>
      <c r="D52" s="447"/>
      <c r="E52" s="447"/>
      <c r="F52" s="447"/>
      <c r="G52" s="447"/>
      <c r="H52" s="447"/>
      <c r="I52" s="447"/>
      <c r="J52" s="447"/>
    </row>
    <row r="53" spans="1:10" x14ac:dyDescent="0.25">
      <c r="A53" s="447"/>
      <c r="B53" s="447"/>
      <c r="C53" s="447"/>
      <c r="D53" s="447"/>
      <c r="E53" s="447"/>
      <c r="F53" s="447"/>
      <c r="G53" s="447"/>
      <c r="H53" s="447"/>
      <c r="I53" s="447"/>
      <c r="J53" s="447"/>
    </row>
    <row r="54" spans="1:10" x14ac:dyDescent="0.25">
      <c r="A54" s="447"/>
      <c r="B54" s="447"/>
      <c r="C54" s="447"/>
      <c r="D54" s="447"/>
      <c r="E54" s="447"/>
      <c r="F54" s="447"/>
      <c r="G54" s="447"/>
      <c r="H54" s="447"/>
      <c r="I54" s="447"/>
      <c r="J54" s="447"/>
    </row>
    <row r="55" spans="1:10" x14ac:dyDescent="0.25">
      <c r="A55" s="447"/>
      <c r="B55" s="447"/>
      <c r="C55" s="447"/>
      <c r="D55" s="447"/>
      <c r="E55" s="447"/>
      <c r="F55" s="447"/>
      <c r="G55" s="447"/>
      <c r="H55" s="447"/>
      <c r="I55" s="447"/>
      <c r="J55" s="447"/>
    </row>
    <row r="56" spans="1:10" x14ac:dyDescent="0.25">
      <c r="A56" s="447"/>
      <c r="B56" s="447"/>
      <c r="C56" s="447"/>
      <c r="D56" s="447"/>
      <c r="E56" s="447"/>
      <c r="F56" s="447"/>
      <c r="G56" s="447"/>
      <c r="H56" s="447"/>
      <c r="I56" s="447"/>
      <c r="J56" s="447"/>
    </row>
    <row r="57" spans="1:10" x14ac:dyDescent="0.25">
      <c r="A57" s="447"/>
      <c r="B57" s="447"/>
      <c r="C57" s="447"/>
      <c r="D57" s="447"/>
      <c r="E57" s="447"/>
      <c r="F57" s="447"/>
      <c r="G57" s="447"/>
      <c r="H57" s="447"/>
      <c r="I57" s="447"/>
      <c r="J57" s="447"/>
    </row>
    <row r="58" spans="1:10" x14ac:dyDescent="0.25">
      <c r="A58" s="447"/>
      <c r="B58" s="447"/>
      <c r="C58" s="447"/>
      <c r="D58" s="447"/>
      <c r="E58" s="447"/>
      <c r="F58" s="447"/>
      <c r="G58" s="447"/>
      <c r="H58" s="447"/>
      <c r="I58" s="447"/>
      <c r="J58" s="447"/>
    </row>
    <row r="59" spans="1:10" x14ac:dyDescent="0.25">
      <c r="A59" s="447"/>
      <c r="B59" s="447"/>
      <c r="C59" s="447"/>
      <c r="D59" s="447"/>
      <c r="E59" s="447"/>
      <c r="F59" s="447"/>
      <c r="G59" s="447"/>
      <c r="H59" s="447"/>
      <c r="I59" s="447"/>
      <c r="J59" s="447"/>
    </row>
    <row r="60" spans="1:10" x14ac:dyDescent="0.25">
      <c r="A60" s="447"/>
      <c r="B60" s="447"/>
      <c r="C60" s="447"/>
      <c r="D60" s="447"/>
      <c r="E60" s="447"/>
      <c r="F60" s="447"/>
      <c r="G60" s="447"/>
      <c r="H60" s="447"/>
      <c r="I60" s="447"/>
      <c r="J60" s="447"/>
    </row>
    <row r="61" spans="1:10" x14ac:dyDescent="0.25">
      <c r="A61" s="447"/>
      <c r="B61" s="447"/>
      <c r="C61" s="447"/>
      <c r="D61" s="447"/>
      <c r="E61" s="447"/>
      <c r="F61" s="447"/>
      <c r="G61" s="447"/>
      <c r="H61" s="447"/>
      <c r="I61" s="447"/>
      <c r="J61" s="447"/>
    </row>
    <row r="62" spans="1:10" x14ac:dyDescent="0.25">
      <c r="A62" s="447"/>
      <c r="B62" s="447"/>
      <c r="C62" s="447"/>
      <c r="D62" s="447"/>
      <c r="E62" s="447"/>
      <c r="F62" s="447"/>
      <c r="G62" s="447"/>
      <c r="H62" s="447"/>
      <c r="I62" s="447"/>
      <c r="J62" s="447"/>
    </row>
    <row r="63" spans="1:10" x14ac:dyDescent="0.25">
      <c r="A63" s="447"/>
      <c r="B63" s="447"/>
      <c r="C63" s="447"/>
      <c r="D63" s="447"/>
      <c r="E63" s="447"/>
      <c r="F63" s="447"/>
      <c r="G63" s="447"/>
      <c r="H63" s="447"/>
      <c r="I63" s="447"/>
      <c r="J63" s="447"/>
    </row>
    <row r="64" spans="1:10" x14ac:dyDescent="0.25">
      <c r="A64" s="447"/>
      <c r="B64" s="447"/>
      <c r="C64" s="447"/>
      <c r="D64" s="447"/>
      <c r="E64" s="447"/>
      <c r="F64" s="447"/>
      <c r="G64" s="447"/>
      <c r="H64" s="447"/>
      <c r="I64" s="447"/>
      <c r="J64" s="447"/>
    </row>
  </sheetData>
  <mergeCells count="1">
    <mergeCell ref="A12:J64"/>
  </mergeCells>
  <pageMargins left="0.7" right="0.7" top="0.75" bottom="0.75" header="0.3" footer="0.3"/>
  <pageSetup paperSize="9" scale="71" fitToHeight="0" orientation="portrait" r:id="rId1"/>
  <headerFooter>
    <oddHeader>&amp;LSisu BV&amp;CWaardering &amp;R&amp;D</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53815-38A1-4852-AC34-635E648549F5}">
  <dimension ref="A1:E2"/>
  <sheetViews>
    <sheetView workbookViewId="0">
      <selection activeCell="E38" sqref="E38"/>
    </sheetView>
  </sheetViews>
  <sheetFormatPr defaultRowHeight="15" x14ac:dyDescent="0.25"/>
  <cols>
    <col min="1" max="2" width="12.5703125" bestFit="1" customWidth="1"/>
  </cols>
  <sheetData>
    <row r="1" spans="1:5" x14ac:dyDescent="0.25">
      <c r="A1" s="165">
        <f>'overzicht waardering'!I39</f>
        <v>2335612.826485367</v>
      </c>
      <c r="B1" s="54">
        <f>A1*0.25</f>
        <v>583903.20662134176</v>
      </c>
      <c r="C1" s="54">
        <f>B1/6000</f>
        <v>97.317201103556954</v>
      </c>
    </row>
    <row r="2" spans="1:5" x14ac:dyDescent="0.25">
      <c r="B2" s="54">
        <f>A1*0.75</f>
        <v>1751709.6198640252</v>
      </c>
      <c r="C2" s="54">
        <f>B2/4000</f>
        <v>437.92740496600629</v>
      </c>
      <c r="D2" s="54">
        <v>376</v>
      </c>
      <c r="E2" s="435">
        <f>C2/D2</f>
        <v>1.1647005451223571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2:I66"/>
  <sheetViews>
    <sheetView workbookViewId="0">
      <selection activeCell="H19" sqref="H19"/>
    </sheetView>
  </sheetViews>
  <sheetFormatPr defaultRowHeight="15" x14ac:dyDescent="0.25"/>
  <cols>
    <col min="1" max="1" width="8.5703125" customWidth="1"/>
    <col min="2" max="2" width="12.5703125" customWidth="1"/>
    <col min="3" max="3" width="16.140625" customWidth="1"/>
    <col min="4" max="4" width="6.28515625" customWidth="1"/>
    <col min="5" max="5" width="14.140625" customWidth="1"/>
    <col min="6" max="6" width="14.28515625" bestFit="1" customWidth="1"/>
    <col min="7" max="7" width="13.5703125" bestFit="1" customWidth="1"/>
    <col min="8" max="8" width="12.85546875" bestFit="1" customWidth="1"/>
    <col min="9" max="9" width="12.42578125" bestFit="1" customWidth="1"/>
    <col min="10" max="10" width="13.5703125" customWidth="1"/>
    <col min="11" max="11" width="11.85546875" customWidth="1"/>
    <col min="12" max="13" width="6.42578125" customWidth="1"/>
    <col min="14" max="14" width="15.140625" customWidth="1"/>
    <col min="15" max="15" width="12.140625" customWidth="1"/>
    <col min="16" max="256" width="8.85546875"/>
    <col min="257" max="257" width="11.5703125" customWidth="1"/>
    <col min="258" max="258" width="17" customWidth="1"/>
    <col min="259" max="259" width="8.85546875"/>
    <col min="260" max="260" width="2.85546875" customWidth="1"/>
    <col min="261" max="261" width="14.140625" customWidth="1"/>
    <col min="262" max="262" width="15.42578125" customWidth="1"/>
    <col min="263" max="263" width="13.5703125" customWidth="1"/>
    <col min="264" max="264" width="13.85546875" customWidth="1"/>
    <col min="265" max="265" width="13.140625" customWidth="1"/>
    <col min="266" max="266" width="14.85546875" bestFit="1" customWidth="1"/>
    <col min="267" max="267" width="2.7109375" customWidth="1"/>
    <col min="268" max="268" width="8.85546875"/>
    <col min="269" max="269" width="10.85546875" customWidth="1"/>
    <col min="270" max="270" width="7.85546875" customWidth="1"/>
    <col min="271" max="271" width="11.28515625" customWidth="1"/>
    <col min="272" max="512" width="8.85546875"/>
    <col min="513" max="513" width="11.5703125" customWidth="1"/>
    <col min="514" max="514" width="17" customWidth="1"/>
    <col min="515" max="515" width="8.85546875"/>
    <col min="516" max="516" width="2.85546875" customWidth="1"/>
    <col min="517" max="517" width="14.140625" customWidth="1"/>
    <col min="518" max="518" width="15.42578125" customWidth="1"/>
    <col min="519" max="519" width="13.5703125" customWidth="1"/>
    <col min="520" max="520" width="13.85546875" customWidth="1"/>
    <col min="521" max="521" width="13.140625" customWidth="1"/>
    <col min="522" max="522" width="14.85546875" bestFit="1" customWidth="1"/>
    <col min="523" max="523" width="2.7109375" customWidth="1"/>
    <col min="524" max="524" width="8.85546875"/>
    <col min="525" max="525" width="10.85546875" customWidth="1"/>
    <col min="526" max="526" width="7.85546875" customWidth="1"/>
    <col min="527" max="527" width="11.28515625" customWidth="1"/>
    <col min="528" max="768" width="8.85546875"/>
    <col min="769" max="769" width="11.5703125" customWidth="1"/>
    <col min="770" max="770" width="17" customWidth="1"/>
    <col min="771" max="771" width="8.85546875"/>
    <col min="772" max="772" width="2.85546875" customWidth="1"/>
    <col min="773" max="773" width="14.140625" customWidth="1"/>
    <col min="774" max="774" width="15.42578125" customWidth="1"/>
    <col min="775" max="775" width="13.5703125" customWidth="1"/>
    <col min="776" max="776" width="13.85546875" customWidth="1"/>
    <col min="777" max="777" width="13.140625" customWidth="1"/>
    <col min="778" max="778" width="14.85546875" bestFit="1" customWidth="1"/>
    <col min="779" max="779" width="2.7109375" customWidth="1"/>
    <col min="780" max="780" width="8.85546875"/>
    <col min="781" max="781" width="10.85546875" customWidth="1"/>
    <col min="782" max="782" width="7.85546875" customWidth="1"/>
    <col min="783" max="783" width="11.28515625" customWidth="1"/>
    <col min="784" max="1024" width="8.85546875"/>
    <col min="1025" max="1025" width="11.5703125" customWidth="1"/>
    <col min="1026" max="1026" width="17" customWidth="1"/>
    <col min="1027" max="1027" width="8.85546875"/>
    <col min="1028" max="1028" width="2.85546875" customWidth="1"/>
    <col min="1029" max="1029" width="14.140625" customWidth="1"/>
    <col min="1030" max="1030" width="15.42578125" customWidth="1"/>
    <col min="1031" max="1031" width="13.5703125" customWidth="1"/>
    <col min="1032" max="1032" width="13.85546875" customWidth="1"/>
    <col min="1033" max="1033" width="13.140625" customWidth="1"/>
    <col min="1034" max="1034" width="14.85546875" bestFit="1" customWidth="1"/>
    <col min="1035" max="1035" width="2.7109375" customWidth="1"/>
    <col min="1036" max="1036" width="8.85546875"/>
    <col min="1037" max="1037" width="10.85546875" customWidth="1"/>
    <col min="1038" max="1038" width="7.85546875" customWidth="1"/>
    <col min="1039" max="1039" width="11.28515625" customWidth="1"/>
    <col min="1040" max="1280" width="8.85546875"/>
    <col min="1281" max="1281" width="11.5703125" customWidth="1"/>
    <col min="1282" max="1282" width="17" customWidth="1"/>
    <col min="1283" max="1283" width="8.85546875"/>
    <col min="1284" max="1284" width="2.85546875" customWidth="1"/>
    <col min="1285" max="1285" width="14.140625" customWidth="1"/>
    <col min="1286" max="1286" width="15.42578125" customWidth="1"/>
    <col min="1287" max="1287" width="13.5703125" customWidth="1"/>
    <col min="1288" max="1288" width="13.85546875" customWidth="1"/>
    <col min="1289" max="1289" width="13.140625" customWidth="1"/>
    <col min="1290" max="1290" width="14.85546875" bestFit="1" customWidth="1"/>
    <col min="1291" max="1291" width="2.7109375" customWidth="1"/>
    <col min="1292" max="1292" width="8.85546875"/>
    <col min="1293" max="1293" width="10.85546875" customWidth="1"/>
    <col min="1294" max="1294" width="7.85546875" customWidth="1"/>
    <col min="1295" max="1295" width="11.28515625" customWidth="1"/>
    <col min="1296" max="1536" width="8.85546875"/>
    <col min="1537" max="1537" width="11.5703125" customWidth="1"/>
    <col min="1538" max="1538" width="17" customWidth="1"/>
    <col min="1539" max="1539" width="8.85546875"/>
    <col min="1540" max="1540" width="2.85546875" customWidth="1"/>
    <col min="1541" max="1541" width="14.140625" customWidth="1"/>
    <col min="1542" max="1542" width="15.42578125" customWidth="1"/>
    <col min="1543" max="1543" width="13.5703125" customWidth="1"/>
    <col min="1544" max="1544" width="13.85546875" customWidth="1"/>
    <col min="1545" max="1545" width="13.140625" customWidth="1"/>
    <col min="1546" max="1546" width="14.85546875" bestFit="1" customWidth="1"/>
    <col min="1547" max="1547" width="2.7109375" customWidth="1"/>
    <col min="1548" max="1548" width="8.85546875"/>
    <col min="1549" max="1549" width="10.85546875" customWidth="1"/>
    <col min="1550" max="1550" width="7.85546875" customWidth="1"/>
    <col min="1551" max="1551" width="11.28515625" customWidth="1"/>
    <col min="1552" max="1792" width="8.85546875"/>
    <col min="1793" max="1793" width="11.5703125" customWidth="1"/>
    <col min="1794" max="1794" width="17" customWidth="1"/>
    <col min="1795" max="1795" width="8.85546875"/>
    <col min="1796" max="1796" width="2.85546875" customWidth="1"/>
    <col min="1797" max="1797" width="14.140625" customWidth="1"/>
    <col min="1798" max="1798" width="15.42578125" customWidth="1"/>
    <col min="1799" max="1799" width="13.5703125" customWidth="1"/>
    <col min="1800" max="1800" width="13.85546875" customWidth="1"/>
    <col min="1801" max="1801" width="13.140625" customWidth="1"/>
    <col min="1802" max="1802" width="14.85546875" bestFit="1" customWidth="1"/>
    <col min="1803" max="1803" width="2.7109375" customWidth="1"/>
    <col min="1804" max="1804" width="8.85546875"/>
    <col min="1805" max="1805" width="10.85546875" customWidth="1"/>
    <col min="1806" max="1806" width="7.85546875" customWidth="1"/>
    <col min="1807" max="1807" width="11.28515625" customWidth="1"/>
    <col min="1808" max="2048" width="8.85546875"/>
    <col min="2049" max="2049" width="11.5703125" customWidth="1"/>
    <col min="2050" max="2050" width="17" customWidth="1"/>
    <col min="2051" max="2051" width="8.85546875"/>
    <col min="2052" max="2052" width="2.85546875" customWidth="1"/>
    <col min="2053" max="2053" width="14.140625" customWidth="1"/>
    <col min="2054" max="2054" width="15.42578125" customWidth="1"/>
    <col min="2055" max="2055" width="13.5703125" customWidth="1"/>
    <col min="2056" max="2056" width="13.85546875" customWidth="1"/>
    <col min="2057" max="2057" width="13.140625" customWidth="1"/>
    <col min="2058" max="2058" width="14.85546875" bestFit="1" customWidth="1"/>
    <col min="2059" max="2059" width="2.7109375" customWidth="1"/>
    <col min="2060" max="2060" width="8.85546875"/>
    <col min="2061" max="2061" width="10.85546875" customWidth="1"/>
    <col min="2062" max="2062" width="7.85546875" customWidth="1"/>
    <col min="2063" max="2063" width="11.28515625" customWidth="1"/>
    <col min="2064" max="2304" width="8.85546875"/>
    <col min="2305" max="2305" width="11.5703125" customWidth="1"/>
    <col min="2306" max="2306" width="17" customWidth="1"/>
    <col min="2307" max="2307" width="8.85546875"/>
    <col min="2308" max="2308" width="2.85546875" customWidth="1"/>
    <col min="2309" max="2309" width="14.140625" customWidth="1"/>
    <col min="2310" max="2310" width="15.42578125" customWidth="1"/>
    <col min="2311" max="2311" width="13.5703125" customWidth="1"/>
    <col min="2312" max="2312" width="13.85546875" customWidth="1"/>
    <col min="2313" max="2313" width="13.140625" customWidth="1"/>
    <col min="2314" max="2314" width="14.85546875" bestFit="1" customWidth="1"/>
    <col min="2315" max="2315" width="2.7109375" customWidth="1"/>
    <col min="2316" max="2316" width="8.85546875"/>
    <col min="2317" max="2317" width="10.85546875" customWidth="1"/>
    <col min="2318" max="2318" width="7.85546875" customWidth="1"/>
    <col min="2319" max="2319" width="11.28515625" customWidth="1"/>
    <col min="2320" max="2560" width="8.85546875"/>
    <col min="2561" max="2561" width="11.5703125" customWidth="1"/>
    <col min="2562" max="2562" width="17" customWidth="1"/>
    <col min="2563" max="2563" width="8.85546875"/>
    <col min="2564" max="2564" width="2.85546875" customWidth="1"/>
    <col min="2565" max="2565" width="14.140625" customWidth="1"/>
    <col min="2566" max="2566" width="15.42578125" customWidth="1"/>
    <col min="2567" max="2567" width="13.5703125" customWidth="1"/>
    <col min="2568" max="2568" width="13.85546875" customWidth="1"/>
    <col min="2569" max="2569" width="13.140625" customWidth="1"/>
    <col min="2570" max="2570" width="14.85546875" bestFit="1" customWidth="1"/>
    <col min="2571" max="2571" width="2.7109375" customWidth="1"/>
    <col min="2572" max="2572" width="8.85546875"/>
    <col min="2573" max="2573" width="10.85546875" customWidth="1"/>
    <col min="2574" max="2574" width="7.85546875" customWidth="1"/>
    <col min="2575" max="2575" width="11.28515625" customWidth="1"/>
    <col min="2576" max="2816" width="8.85546875"/>
    <col min="2817" max="2817" width="11.5703125" customWidth="1"/>
    <col min="2818" max="2818" width="17" customWidth="1"/>
    <col min="2819" max="2819" width="8.85546875"/>
    <col min="2820" max="2820" width="2.85546875" customWidth="1"/>
    <col min="2821" max="2821" width="14.140625" customWidth="1"/>
    <col min="2822" max="2822" width="15.42578125" customWidth="1"/>
    <col min="2823" max="2823" width="13.5703125" customWidth="1"/>
    <col min="2824" max="2824" width="13.85546875" customWidth="1"/>
    <col min="2825" max="2825" width="13.140625" customWidth="1"/>
    <col min="2826" max="2826" width="14.85546875" bestFit="1" customWidth="1"/>
    <col min="2827" max="2827" width="2.7109375" customWidth="1"/>
    <col min="2828" max="2828" width="8.85546875"/>
    <col min="2829" max="2829" width="10.85546875" customWidth="1"/>
    <col min="2830" max="2830" width="7.85546875" customWidth="1"/>
    <col min="2831" max="2831" width="11.28515625" customWidth="1"/>
    <col min="2832" max="3072" width="8.85546875"/>
    <col min="3073" max="3073" width="11.5703125" customWidth="1"/>
    <col min="3074" max="3074" width="17" customWidth="1"/>
    <col min="3075" max="3075" width="8.85546875"/>
    <col min="3076" max="3076" width="2.85546875" customWidth="1"/>
    <col min="3077" max="3077" width="14.140625" customWidth="1"/>
    <col min="3078" max="3078" width="15.42578125" customWidth="1"/>
    <col min="3079" max="3079" width="13.5703125" customWidth="1"/>
    <col min="3080" max="3080" width="13.85546875" customWidth="1"/>
    <col min="3081" max="3081" width="13.140625" customWidth="1"/>
    <col min="3082" max="3082" width="14.85546875" bestFit="1" customWidth="1"/>
    <col min="3083" max="3083" width="2.7109375" customWidth="1"/>
    <col min="3084" max="3084" width="8.85546875"/>
    <col min="3085" max="3085" width="10.85546875" customWidth="1"/>
    <col min="3086" max="3086" width="7.85546875" customWidth="1"/>
    <col min="3087" max="3087" width="11.28515625" customWidth="1"/>
    <col min="3088" max="3328" width="8.85546875"/>
    <col min="3329" max="3329" width="11.5703125" customWidth="1"/>
    <col min="3330" max="3330" width="17" customWidth="1"/>
    <col min="3331" max="3331" width="8.85546875"/>
    <col min="3332" max="3332" width="2.85546875" customWidth="1"/>
    <col min="3333" max="3333" width="14.140625" customWidth="1"/>
    <col min="3334" max="3334" width="15.42578125" customWidth="1"/>
    <col min="3335" max="3335" width="13.5703125" customWidth="1"/>
    <col min="3336" max="3336" width="13.85546875" customWidth="1"/>
    <col min="3337" max="3337" width="13.140625" customWidth="1"/>
    <col min="3338" max="3338" width="14.85546875" bestFit="1" customWidth="1"/>
    <col min="3339" max="3339" width="2.7109375" customWidth="1"/>
    <col min="3340" max="3340" width="8.85546875"/>
    <col min="3341" max="3341" width="10.85546875" customWidth="1"/>
    <col min="3342" max="3342" width="7.85546875" customWidth="1"/>
    <col min="3343" max="3343" width="11.28515625" customWidth="1"/>
    <col min="3344" max="3584" width="8.85546875"/>
    <col min="3585" max="3585" width="11.5703125" customWidth="1"/>
    <col min="3586" max="3586" width="17" customWidth="1"/>
    <col min="3587" max="3587" width="8.85546875"/>
    <col min="3588" max="3588" width="2.85546875" customWidth="1"/>
    <col min="3589" max="3589" width="14.140625" customWidth="1"/>
    <col min="3590" max="3590" width="15.42578125" customWidth="1"/>
    <col min="3591" max="3591" width="13.5703125" customWidth="1"/>
    <col min="3592" max="3592" width="13.85546875" customWidth="1"/>
    <col min="3593" max="3593" width="13.140625" customWidth="1"/>
    <col min="3594" max="3594" width="14.85546875" bestFit="1" customWidth="1"/>
    <col min="3595" max="3595" width="2.7109375" customWidth="1"/>
    <col min="3596" max="3596" width="8.85546875"/>
    <col min="3597" max="3597" width="10.85546875" customWidth="1"/>
    <col min="3598" max="3598" width="7.85546875" customWidth="1"/>
    <col min="3599" max="3599" width="11.28515625" customWidth="1"/>
    <col min="3600" max="3840" width="8.85546875"/>
    <col min="3841" max="3841" width="11.5703125" customWidth="1"/>
    <col min="3842" max="3842" width="17" customWidth="1"/>
    <col min="3843" max="3843" width="8.85546875"/>
    <col min="3844" max="3844" width="2.85546875" customWidth="1"/>
    <col min="3845" max="3845" width="14.140625" customWidth="1"/>
    <col min="3846" max="3846" width="15.42578125" customWidth="1"/>
    <col min="3847" max="3847" width="13.5703125" customWidth="1"/>
    <col min="3848" max="3848" width="13.85546875" customWidth="1"/>
    <col min="3849" max="3849" width="13.140625" customWidth="1"/>
    <col min="3850" max="3850" width="14.85546875" bestFit="1" customWidth="1"/>
    <col min="3851" max="3851" width="2.7109375" customWidth="1"/>
    <col min="3852" max="3852" width="8.85546875"/>
    <col min="3853" max="3853" width="10.85546875" customWidth="1"/>
    <col min="3854" max="3854" width="7.85546875" customWidth="1"/>
    <col min="3855" max="3855" width="11.28515625" customWidth="1"/>
    <col min="3856" max="4096" width="8.85546875"/>
    <col min="4097" max="4097" width="11.5703125" customWidth="1"/>
    <col min="4098" max="4098" width="17" customWidth="1"/>
    <col min="4099" max="4099" width="8.85546875"/>
    <col min="4100" max="4100" width="2.85546875" customWidth="1"/>
    <col min="4101" max="4101" width="14.140625" customWidth="1"/>
    <col min="4102" max="4102" width="15.42578125" customWidth="1"/>
    <col min="4103" max="4103" width="13.5703125" customWidth="1"/>
    <col min="4104" max="4104" width="13.85546875" customWidth="1"/>
    <col min="4105" max="4105" width="13.140625" customWidth="1"/>
    <col min="4106" max="4106" width="14.85546875" bestFit="1" customWidth="1"/>
    <col min="4107" max="4107" width="2.7109375" customWidth="1"/>
    <col min="4108" max="4108" width="8.85546875"/>
    <col min="4109" max="4109" width="10.85546875" customWidth="1"/>
    <col min="4110" max="4110" width="7.85546875" customWidth="1"/>
    <col min="4111" max="4111" width="11.28515625" customWidth="1"/>
    <col min="4112" max="4352" width="8.85546875"/>
    <col min="4353" max="4353" width="11.5703125" customWidth="1"/>
    <col min="4354" max="4354" width="17" customWidth="1"/>
    <col min="4355" max="4355" width="8.85546875"/>
    <col min="4356" max="4356" width="2.85546875" customWidth="1"/>
    <col min="4357" max="4357" width="14.140625" customWidth="1"/>
    <col min="4358" max="4358" width="15.42578125" customWidth="1"/>
    <col min="4359" max="4359" width="13.5703125" customWidth="1"/>
    <col min="4360" max="4360" width="13.85546875" customWidth="1"/>
    <col min="4361" max="4361" width="13.140625" customWidth="1"/>
    <col min="4362" max="4362" width="14.85546875" bestFit="1" customWidth="1"/>
    <col min="4363" max="4363" width="2.7109375" customWidth="1"/>
    <col min="4364" max="4364" width="8.85546875"/>
    <col min="4365" max="4365" width="10.85546875" customWidth="1"/>
    <col min="4366" max="4366" width="7.85546875" customWidth="1"/>
    <col min="4367" max="4367" width="11.28515625" customWidth="1"/>
    <col min="4368" max="4608" width="8.85546875"/>
    <col min="4609" max="4609" width="11.5703125" customWidth="1"/>
    <col min="4610" max="4610" width="17" customWidth="1"/>
    <col min="4611" max="4611" width="8.85546875"/>
    <col min="4612" max="4612" width="2.85546875" customWidth="1"/>
    <col min="4613" max="4613" width="14.140625" customWidth="1"/>
    <col min="4614" max="4614" width="15.42578125" customWidth="1"/>
    <col min="4615" max="4615" width="13.5703125" customWidth="1"/>
    <col min="4616" max="4616" width="13.85546875" customWidth="1"/>
    <col min="4617" max="4617" width="13.140625" customWidth="1"/>
    <col min="4618" max="4618" width="14.85546875" bestFit="1" customWidth="1"/>
    <col min="4619" max="4619" width="2.7109375" customWidth="1"/>
    <col min="4620" max="4620" width="8.85546875"/>
    <col min="4621" max="4621" width="10.85546875" customWidth="1"/>
    <col min="4622" max="4622" width="7.85546875" customWidth="1"/>
    <col min="4623" max="4623" width="11.28515625" customWidth="1"/>
    <col min="4624" max="4864" width="8.85546875"/>
    <col min="4865" max="4865" width="11.5703125" customWidth="1"/>
    <col min="4866" max="4866" width="17" customWidth="1"/>
    <col min="4867" max="4867" width="8.85546875"/>
    <col min="4868" max="4868" width="2.85546875" customWidth="1"/>
    <col min="4869" max="4869" width="14.140625" customWidth="1"/>
    <col min="4870" max="4870" width="15.42578125" customWidth="1"/>
    <col min="4871" max="4871" width="13.5703125" customWidth="1"/>
    <col min="4872" max="4872" width="13.85546875" customWidth="1"/>
    <col min="4873" max="4873" width="13.140625" customWidth="1"/>
    <col min="4874" max="4874" width="14.85546875" bestFit="1" customWidth="1"/>
    <col min="4875" max="4875" width="2.7109375" customWidth="1"/>
    <col min="4876" max="4876" width="8.85546875"/>
    <col min="4877" max="4877" width="10.85546875" customWidth="1"/>
    <col min="4878" max="4878" width="7.85546875" customWidth="1"/>
    <col min="4879" max="4879" width="11.28515625" customWidth="1"/>
    <col min="4880" max="5120" width="8.85546875"/>
    <col min="5121" max="5121" width="11.5703125" customWidth="1"/>
    <col min="5122" max="5122" width="17" customWidth="1"/>
    <col min="5123" max="5123" width="8.85546875"/>
    <col min="5124" max="5124" width="2.85546875" customWidth="1"/>
    <col min="5125" max="5125" width="14.140625" customWidth="1"/>
    <col min="5126" max="5126" width="15.42578125" customWidth="1"/>
    <col min="5127" max="5127" width="13.5703125" customWidth="1"/>
    <col min="5128" max="5128" width="13.85546875" customWidth="1"/>
    <col min="5129" max="5129" width="13.140625" customWidth="1"/>
    <col min="5130" max="5130" width="14.85546875" bestFit="1" customWidth="1"/>
    <col min="5131" max="5131" width="2.7109375" customWidth="1"/>
    <col min="5132" max="5132" width="8.85546875"/>
    <col min="5133" max="5133" width="10.85546875" customWidth="1"/>
    <col min="5134" max="5134" width="7.85546875" customWidth="1"/>
    <col min="5135" max="5135" width="11.28515625" customWidth="1"/>
    <col min="5136" max="5376" width="8.85546875"/>
    <col min="5377" max="5377" width="11.5703125" customWidth="1"/>
    <col min="5378" max="5378" width="17" customWidth="1"/>
    <col min="5379" max="5379" width="8.85546875"/>
    <col min="5380" max="5380" width="2.85546875" customWidth="1"/>
    <col min="5381" max="5381" width="14.140625" customWidth="1"/>
    <col min="5382" max="5382" width="15.42578125" customWidth="1"/>
    <col min="5383" max="5383" width="13.5703125" customWidth="1"/>
    <col min="5384" max="5384" width="13.85546875" customWidth="1"/>
    <col min="5385" max="5385" width="13.140625" customWidth="1"/>
    <col min="5386" max="5386" width="14.85546875" bestFit="1" customWidth="1"/>
    <col min="5387" max="5387" width="2.7109375" customWidth="1"/>
    <col min="5388" max="5388" width="8.85546875"/>
    <col min="5389" max="5389" width="10.85546875" customWidth="1"/>
    <col min="5390" max="5390" width="7.85546875" customWidth="1"/>
    <col min="5391" max="5391" width="11.28515625" customWidth="1"/>
    <col min="5392" max="5632" width="8.85546875"/>
    <col min="5633" max="5633" width="11.5703125" customWidth="1"/>
    <col min="5634" max="5634" width="17" customWidth="1"/>
    <col min="5635" max="5635" width="8.85546875"/>
    <col min="5636" max="5636" width="2.85546875" customWidth="1"/>
    <col min="5637" max="5637" width="14.140625" customWidth="1"/>
    <col min="5638" max="5638" width="15.42578125" customWidth="1"/>
    <col min="5639" max="5639" width="13.5703125" customWidth="1"/>
    <col min="5640" max="5640" width="13.85546875" customWidth="1"/>
    <col min="5641" max="5641" width="13.140625" customWidth="1"/>
    <col min="5642" max="5642" width="14.85546875" bestFit="1" customWidth="1"/>
    <col min="5643" max="5643" width="2.7109375" customWidth="1"/>
    <col min="5644" max="5644" width="8.85546875"/>
    <col min="5645" max="5645" width="10.85546875" customWidth="1"/>
    <col min="5646" max="5646" width="7.85546875" customWidth="1"/>
    <col min="5647" max="5647" width="11.28515625" customWidth="1"/>
    <col min="5648" max="5888" width="8.85546875"/>
    <col min="5889" max="5889" width="11.5703125" customWidth="1"/>
    <col min="5890" max="5890" width="17" customWidth="1"/>
    <col min="5891" max="5891" width="8.85546875"/>
    <col min="5892" max="5892" width="2.85546875" customWidth="1"/>
    <col min="5893" max="5893" width="14.140625" customWidth="1"/>
    <col min="5894" max="5894" width="15.42578125" customWidth="1"/>
    <col min="5895" max="5895" width="13.5703125" customWidth="1"/>
    <col min="5896" max="5896" width="13.85546875" customWidth="1"/>
    <col min="5897" max="5897" width="13.140625" customWidth="1"/>
    <col min="5898" max="5898" width="14.85546875" bestFit="1" customWidth="1"/>
    <col min="5899" max="5899" width="2.7109375" customWidth="1"/>
    <col min="5900" max="5900" width="8.85546875"/>
    <col min="5901" max="5901" width="10.85546875" customWidth="1"/>
    <col min="5902" max="5902" width="7.85546875" customWidth="1"/>
    <col min="5903" max="5903" width="11.28515625" customWidth="1"/>
    <col min="5904" max="6144" width="8.85546875"/>
    <col min="6145" max="6145" width="11.5703125" customWidth="1"/>
    <col min="6146" max="6146" width="17" customWidth="1"/>
    <col min="6147" max="6147" width="8.85546875"/>
    <col min="6148" max="6148" width="2.85546875" customWidth="1"/>
    <col min="6149" max="6149" width="14.140625" customWidth="1"/>
    <col min="6150" max="6150" width="15.42578125" customWidth="1"/>
    <col min="6151" max="6151" width="13.5703125" customWidth="1"/>
    <col min="6152" max="6152" width="13.85546875" customWidth="1"/>
    <col min="6153" max="6153" width="13.140625" customWidth="1"/>
    <col min="6154" max="6154" width="14.85546875" bestFit="1" customWidth="1"/>
    <col min="6155" max="6155" width="2.7109375" customWidth="1"/>
    <col min="6156" max="6156" width="8.85546875"/>
    <col min="6157" max="6157" width="10.85546875" customWidth="1"/>
    <col min="6158" max="6158" width="7.85546875" customWidth="1"/>
    <col min="6159" max="6159" width="11.28515625" customWidth="1"/>
    <col min="6160" max="6400" width="8.85546875"/>
    <col min="6401" max="6401" width="11.5703125" customWidth="1"/>
    <col min="6402" max="6402" width="17" customWidth="1"/>
    <col min="6403" max="6403" width="8.85546875"/>
    <col min="6404" max="6404" width="2.85546875" customWidth="1"/>
    <col min="6405" max="6405" width="14.140625" customWidth="1"/>
    <col min="6406" max="6406" width="15.42578125" customWidth="1"/>
    <col min="6407" max="6407" width="13.5703125" customWidth="1"/>
    <col min="6408" max="6408" width="13.85546875" customWidth="1"/>
    <col min="6409" max="6409" width="13.140625" customWidth="1"/>
    <col min="6410" max="6410" width="14.85546875" bestFit="1" customWidth="1"/>
    <col min="6411" max="6411" width="2.7109375" customWidth="1"/>
    <col min="6412" max="6412" width="8.85546875"/>
    <col min="6413" max="6413" width="10.85546875" customWidth="1"/>
    <col min="6414" max="6414" width="7.85546875" customWidth="1"/>
    <col min="6415" max="6415" width="11.28515625" customWidth="1"/>
    <col min="6416" max="6656" width="8.85546875"/>
    <col min="6657" max="6657" width="11.5703125" customWidth="1"/>
    <col min="6658" max="6658" width="17" customWidth="1"/>
    <col min="6659" max="6659" width="8.85546875"/>
    <col min="6660" max="6660" width="2.85546875" customWidth="1"/>
    <col min="6661" max="6661" width="14.140625" customWidth="1"/>
    <col min="6662" max="6662" width="15.42578125" customWidth="1"/>
    <col min="6663" max="6663" width="13.5703125" customWidth="1"/>
    <col min="6664" max="6664" width="13.85546875" customWidth="1"/>
    <col min="6665" max="6665" width="13.140625" customWidth="1"/>
    <col min="6666" max="6666" width="14.85546875" bestFit="1" customWidth="1"/>
    <col min="6667" max="6667" width="2.7109375" customWidth="1"/>
    <col min="6668" max="6668" width="8.85546875"/>
    <col min="6669" max="6669" width="10.85546875" customWidth="1"/>
    <col min="6670" max="6670" width="7.85546875" customWidth="1"/>
    <col min="6671" max="6671" width="11.28515625" customWidth="1"/>
    <col min="6672" max="6912" width="8.85546875"/>
    <col min="6913" max="6913" width="11.5703125" customWidth="1"/>
    <col min="6914" max="6914" width="17" customWidth="1"/>
    <col min="6915" max="6915" width="8.85546875"/>
    <col min="6916" max="6916" width="2.85546875" customWidth="1"/>
    <col min="6917" max="6917" width="14.140625" customWidth="1"/>
    <col min="6918" max="6918" width="15.42578125" customWidth="1"/>
    <col min="6919" max="6919" width="13.5703125" customWidth="1"/>
    <col min="6920" max="6920" width="13.85546875" customWidth="1"/>
    <col min="6921" max="6921" width="13.140625" customWidth="1"/>
    <col min="6922" max="6922" width="14.85546875" bestFit="1" customWidth="1"/>
    <col min="6923" max="6923" width="2.7109375" customWidth="1"/>
    <col min="6924" max="6924" width="8.85546875"/>
    <col min="6925" max="6925" width="10.85546875" customWidth="1"/>
    <col min="6926" max="6926" width="7.85546875" customWidth="1"/>
    <col min="6927" max="6927" width="11.28515625" customWidth="1"/>
    <col min="6928" max="7168" width="8.85546875"/>
    <col min="7169" max="7169" width="11.5703125" customWidth="1"/>
    <col min="7170" max="7170" width="17" customWidth="1"/>
    <col min="7171" max="7171" width="8.85546875"/>
    <col min="7172" max="7172" width="2.85546875" customWidth="1"/>
    <col min="7173" max="7173" width="14.140625" customWidth="1"/>
    <col min="7174" max="7174" width="15.42578125" customWidth="1"/>
    <col min="7175" max="7175" width="13.5703125" customWidth="1"/>
    <col min="7176" max="7176" width="13.85546875" customWidth="1"/>
    <col min="7177" max="7177" width="13.140625" customWidth="1"/>
    <col min="7178" max="7178" width="14.85546875" bestFit="1" customWidth="1"/>
    <col min="7179" max="7179" width="2.7109375" customWidth="1"/>
    <col min="7180" max="7180" width="8.85546875"/>
    <col min="7181" max="7181" width="10.85546875" customWidth="1"/>
    <col min="7182" max="7182" width="7.85546875" customWidth="1"/>
    <col min="7183" max="7183" width="11.28515625" customWidth="1"/>
    <col min="7184" max="7424" width="8.85546875"/>
    <col min="7425" max="7425" width="11.5703125" customWidth="1"/>
    <col min="7426" max="7426" width="17" customWidth="1"/>
    <col min="7427" max="7427" width="8.85546875"/>
    <col min="7428" max="7428" width="2.85546875" customWidth="1"/>
    <col min="7429" max="7429" width="14.140625" customWidth="1"/>
    <col min="7430" max="7430" width="15.42578125" customWidth="1"/>
    <col min="7431" max="7431" width="13.5703125" customWidth="1"/>
    <col min="7432" max="7432" width="13.85546875" customWidth="1"/>
    <col min="7433" max="7433" width="13.140625" customWidth="1"/>
    <col min="7434" max="7434" width="14.85546875" bestFit="1" customWidth="1"/>
    <col min="7435" max="7435" width="2.7109375" customWidth="1"/>
    <col min="7436" max="7436" width="8.85546875"/>
    <col min="7437" max="7437" width="10.85546875" customWidth="1"/>
    <col min="7438" max="7438" width="7.85546875" customWidth="1"/>
    <col min="7439" max="7439" width="11.28515625" customWidth="1"/>
    <col min="7440" max="7680" width="8.85546875"/>
    <col min="7681" max="7681" width="11.5703125" customWidth="1"/>
    <col min="7682" max="7682" width="17" customWidth="1"/>
    <col min="7683" max="7683" width="8.85546875"/>
    <col min="7684" max="7684" width="2.85546875" customWidth="1"/>
    <col min="7685" max="7685" width="14.140625" customWidth="1"/>
    <col min="7686" max="7686" width="15.42578125" customWidth="1"/>
    <col min="7687" max="7687" width="13.5703125" customWidth="1"/>
    <col min="7688" max="7688" width="13.85546875" customWidth="1"/>
    <col min="7689" max="7689" width="13.140625" customWidth="1"/>
    <col min="7690" max="7690" width="14.85546875" bestFit="1" customWidth="1"/>
    <col min="7691" max="7691" width="2.7109375" customWidth="1"/>
    <col min="7692" max="7692" width="8.85546875"/>
    <col min="7693" max="7693" width="10.85546875" customWidth="1"/>
    <col min="7694" max="7694" width="7.85546875" customWidth="1"/>
    <col min="7695" max="7695" width="11.28515625" customWidth="1"/>
    <col min="7696" max="7936" width="8.85546875"/>
    <col min="7937" max="7937" width="11.5703125" customWidth="1"/>
    <col min="7938" max="7938" width="17" customWidth="1"/>
    <col min="7939" max="7939" width="8.85546875"/>
    <col min="7940" max="7940" width="2.85546875" customWidth="1"/>
    <col min="7941" max="7941" width="14.140625" customWidth="1"/>
    <col min="7942" max="7942" width="15.42578125" customWidth="1"/>
    <col min="7943" max="7943" width="13.5703125" customWidth="1"/>
    <col min="7944" max="7944" width="13.85546875" customWidth="1"/>
    <col min="7945" max="7945" width="13.140625" customWidth="1"/>
    <col min="7946" max="7946" width="14.85546875" bestFit="1" customWidth="1"/>
    <col min="7947" max="7947" width="2.7109375" customWidth="1"/>
    <col min="7948" max="7948" width="8.85546875"/>
    <col min="7949" max="7949" width="10.85546875" customWidth="1"/>
    <col min="7950" max="7950" width="7.85546875" customWidth="1"/>
    <col min="7951" max="7951" width="11.28515625" customWidth="1"/>
    <col min="7952" max="8192" width="8.85546875"/>
    <col min="8193" max="8193" width="11.5703125" customWidth="1"/>
    <col min="8194" max="8194" width="17" customWidth="1"/>
    <col min="8195" max="8195" width="8.85546875"/>
    <col min="8196" max="8196" width="2.85546875" customWidth="1"/>
    <col min="8197" max="8197" width="14.140625" customWidth="1"/>
    <col min="8198" max="8198" width="15.42578125" customWidth="1"/>
    <col min="8199" max="8199" width="13.5703125" customWidth="1"/>
    <col min="8200" max="8200" width="13.85546875" customWidth="1"/>
    <col min="8201" max="8201" width="13.140625" customWidth="1"/>
    <col min="8202" max="8202" width="14.85546875" bestFit="1" customWidth="1"/>
    <col min="8203" max="8203" width="2.7109375" customWidth="1"/>
    <col min="8204" max="8204" width="8.85546875"/>
    <col min="8205" max="8205" width="10.85546875" customWidth="1"/>
    <col min="8206" max="8206" width="7.85546875" customWidth="1"/>
    <col min="8207" max="8207" width="11.28515625" customWidth="1"/>
    <col min="8208" max="8448" width="8.85546875"/>
    <col min="8449" max="8449" width="11.5703125" customWidth="1"/>
    <col min="8450" max="8450" width="17" customWidth="1"/>
    <col min="8451" max="8451" width="8.85546875"/>
    <col min="8452" max="8452" width="2.85546875" customWidth="1"/>
    <col min="8453" max="8453" width="14.140625" customWidth="1"/>
    <col min="8454" max="8454" width="15.42578125" customWidth="1"/>
    <col min="8455" max="8455" width="13.5703125" customWidth="1"/>
    <col min="8456" max="8456" width="13.85546875" customWidth="1"/>
    <col min="8457" max="8457" width="13.140625" customWidth="1"/>
    <col min="8458" max="8458" width="14.85546875" bestFit="1" customWidth="1"/>
    <col min="8459" max="8459" width="2.7109375" customWidth="1"/>
    <col min="8460" max="8460" width="8.85546875"/>
    <col min="8461" max="8461" width="10.85546875" customWidth="1"/>
    <col min="8462" max="8462" width="7.85546875" customWidth="1"/>
    <col min="8463" max="8463" width="11.28515625" customWidth="1"/>
    <col min="8464" max="8704" width="8.85546875"/>
    <col min="8705" max="8705" width="11.5703125" customWidth="1"/>
    <col min="8706" max="8706" width="17" customWidth="1"/>
    <col min="8707" max="8707" width="8.85546875"/>
    <col min="8708" max="8708" width="2.85546875" customWidth="1"/>
    <col min="8709" max="8709" width="14.140625" customWidth="1"/>
    <col min="8710" max="8710" width="15.42578125" customWidth="1"/>
    <col min="8711" max="8711" width="13.5703125" customWidth="1"/>
    <col min="8712" max="8712" width="13.85546875" customWidth="1"/>
    <col min="8713" max="8713" width="13.140625" customWidth="1"/>
    <col min="8714" max="8714" width="14.85546875" bestFit="1" customWidth="1"/>
    <col min="8715" max="8715" width="2.7109375" customWidth="1"/>
    <col min="8716" max="8716" width="8.85546875"/>
    <col min="8717" max="8717" width="10.85546875" customWidth="1"/>
    <col min="8718" max="8718" width="7.85546875" customWidth="1"/>
    <col min="8719" max="8719" width="11.28515625" customWidth="1"/>
    <col min="8720" max="8960" width="8.85546875"/>
    <col min="8961" max="8961" width="11.5703125" customWidth="1"/>
    <col min="8962" max="8962" width="17" customWidth="1"/>
    <col min="8963" max="8963" width="8.85546875"/>
    <col min="8964" max="8964" width="2.85546875" customWidth="1"/>
    <col min="8965" max="8965" width="14.140625" customWidth="1"/>
    <col min="8966" max="8966" width="15.42578125" customWidth="1"/>
    <col min="8967" max="8967" width="13.5703125" customWidth="1"/>
    <col min="8968" max="8968" width="13.85546875" customWidth="1"/>
    <col min="8969" max="8969" width="13.140625" customWidth="1"/>
    <col min="8970" max="8970" width="14.85546875" bestFit="1" customWidth="1"/>
    <col min="8971" max="8971" width="2.7109375" customWidth="1"/>
    <col min="8972" max="8972" width="8.85546875"/>
    <col min="8973" max="8973" width="10.85546875" customWidth="1"/>
    <col min="8974" max="8974" width="7.85546875" customWidth="1"/>
    <col min="8975" max="8975" width="11.28515625" customWidth="1"/>
    <col min="8976" max="9216" width="8.85546875"/>
    <col min="9217" max="9217" width="11.5703125" customWidth="1"/>
    <col min="9218" max="9218" width="17" customWidth="1"/>
    <col min="9219" max="9219" width="8.85546875"/>
    <col min="9220" max="9220" width="2.85546875" customWidth="1"/>
    <col min="9221" max="9221" width="14.140625" customWidth="1"/>
    <col min="9222" max="9222" width="15.42578125" customWidth="1"/>
    <col min="9223" max="9223" width="13.5703125" customWidth="1"/>
    <col min="9224" max="9224" width="13.85546875" customWidth="1"/>
    <col min="9225" max="9225" width="13.140625" customWidth="1"/>
    <col min="9226" max="9226" width="14.85546875" bestFit="1" customWidth="1"/>
    <col min="9227" max="9227" width="2.7109375" customWidth="1"/>
    <col min="9228" max="9228" width="8.85546875"/>
    <col min="9229" max="9229" width="10.85546875" customWidth="1"/>
    <col min="9230" max="9230" width="7.85546875" customWidth="1"/>
    <col min="9231" max="9231" width="11.28515625" customWidth="1"/>
    <col min="9232" max="9472" width="8.85546875"/>
    <col min="9473" max="9473" width="11.5703125" customWidth="1"/>
    <col min="9474" max="9474" width="17" customWidth="1"/>
    <col min="9475" max="9475" width="8.85546875"/>
    <col min="9476" max="9476" width="2.85546875" customWidth="1"/>
    <col min="9477" max="9477" width="14.140625" customWidth="1"/>
    <col min="9478" max="9478" width="15.42578125" customWidth="1"/>
    <col min="9479" max="9479" width="13.5703125" customWidth="1"/>
    <col min="9480" max="9480" width="13.85546875" customWidth="1"/>
    <col min="9481" max="9481" width="13.140625" customWidth="1"/>
    <col min="9482" max="9482" width="14.85546875" bestFit="1" customWidth="1"/>
    <col min="9483" max="9483" width="2.7109375" customWidth="1"/>
    <col min="9484" max="9484" width="8.85546875"/>
    <col min="9485" max="9485" width="10.85546875" customWidth="1"/>
    <col min="9486" max="9486" width="7.85546875" customWidth="1"/>
    <col min="9487" max="9487" width="11.28515625" customWidth="1"/>
    <col min="9488" max="9728" width="8.85546875"/>
    <col min="9729" max="9729" width="11.5703125" customWidth="1"/>
    <col min="9730" max="9730" width="17" customWidth="1"/>
    <col min="9731" max="9731" width="8.85546875"/>
    <col min="9732" max="9732" width="2.85546875" customWidth="1"/>
    <col min="9733" max="9733" width="14.140625" customWidth="1"/>
    <col min="9734" max="9734" width="15.42578125" customWidth="1"/>
    <col min="9735" max="9735" width="13.5703125" customWidth="1"/>
    <col min="9736" max="9736" width="13.85546875" customWidth="1"/>
    <col min="9737" max="9737" width="13.140625" customWidth="1"/>
    <col min="9738" max="9738" width="14.85546875" bestFit="1" customWidth="1"/>
    <col min="9739" max="9739" width="2.7109375" customWidth="1"/>
    <col min="9740" max="9740" width="8.85546875"/>
    <col min="9741" max="9741" width="10.85546875" customWidth="1"/>
    <col min="9742" max="9742" width="7.85546875" customWidth="1"/>
    <col min="9743" max="9743" width="11.28515625" customWidth="1"/>
    <col min="9744" max="9984" width="8.85546875"/>
    <col min="9985" max="9985" width="11.5703125" customWidth="1"/>
    <col min="9986" max="9986" width="17" customWidth="1"/>
    <col min="9987" max="9987" width="8.85546875"/>
    <col min="9988" max="9988" width="2.85546875" customWidth="1"/>
    <col min="9989" max="9989" width="14.140625" customWidth="1"/>
    <col min="9990" max="9990" width="15.42578125" customWidth="1"/>
    <col min="9991" max="9991" width="13.5703125" customWidth="1"/>
    <col min="9992" max="9992" width="13.85546875" customWidth="1"/>
    <col min="9993" max="9993" width="13.140625" customWidth="1"/>
    <col min="9994" max="9994" width="14.85546875" bestFit="1" customWidth="1"/>
    <col min="9995" max="9995" width="2.7109375" customWidth="1"/>
    <col min="9996" max="9996" width="8.85546875"/>
    <col min="9997" max="9997" width="10.85546875" customWidth="1"/>
    <col min="9998" max="9998" width="7.85546875" customWidth="1"/>
    <col min="9999" max="9999" width="11.28515625" customWidth="1"/>
    <col min="10000" max="10240" width="8.85546875"/>
    <col min="10241" max="10241" width="11.5703125" customWidth="1"/>
    <col min="10242" max="10242" width="17" customWidth="1"/>
    <col min="10243" max="10243" width="8.85546875"/>
    <col min="10244" max="10244" width="2.85546875" customWidth="1"/>
    <col min="10245" max="10245" width="14.140625" customWidth="1"/>
    <col min="10246" max="10246" width="15.42578125" customWidth="1"/>
    <col min="10247" max="10247" width="13.5703125" customWidth="1"/>
    <col min="10248" max="10248" width="13.85546875" customWidth="1"/>
    <col min="10249" max="10249" width="13.140625" customWidth="1"/>
    <col min="10250" max="10250" width="14.85546875" bestFit="1" customWidth="1"/>
    <col min="10251" max="10251" width="2.7109375" customWidth="1"/>
    <col min="10252" max="10252" width="8.85546875"/>
    <col min="10253" max="10253" width="10.85546875" customWidth="1"/>
    <col min="10254" max="10254" width="7.85546875" customWidth="1"/>
    <col min="10255" max="10255" width="11.28515625" customWidth="1"/>
    <col min="10256" max="10496" width="8.85546875"/>
    <col min="10497" max="10497" width="11.5703125" customWidth="1"/>
    <col min="10498" max="10498" width="17" customWidth="1"/>
    <col min="10499" max="10499" width="8.85546875"/>
    <col min="10500" max="10500" width="2.85546875" customWidth="1"/>
    <col min="10501" max="10501" width="14.140625" customWidth="1"/>
    <col min="10502" max="10502" width="15.42578125" customWidth="1"/>
    <col min="10503" max="10503" width="13.5703125" customWidth="1"/>
    <col min="10504" max="10504" width="13.85546875" customWidth="1"/>
    <col min="10505" max="10505" width="13.140625" customWidth="1"/>
    <col min="10506" max="10506" width="14.85546875" bestFit="1" customWidth="1"/>
    <col min="10507" max="10507" width="2.7109375" customWidth="1"/>
    <col min="10508" max="10508" width="8.85546875"/>
    <col min="10509" max="10509" width="10.85546875" customWidth="1"/>
    <col min="10510" max="10510" width="7.85546875" customWidth="1"/>
    <col min="10511" max="10511" width="11.28515625" customWidth="1"/>
    <col min="10512" max="10752" width="8.85546875"/>
    <col min="10753" max="10753" width="11.5703125" customWidth="1"/>
    <col min="10754" max="10754" width="17" customWidth="1"/>
    <col min="10755" max="10755" width="8.85546875"/>
    <col min="10756" max="10756" width="2.85546875" customWidth="1"/>
    <col min="10757" max="10757" width="14.140625" customWidth="1"/>
    <col min="10758" max="10758" width="15.42578125" customWidth="1"/>
    <col min="10759" max="10759" width="13.5703125" customWidth="1"/>
    <col min="10760" max="10760" width="13.85546875" customWidth="1"/>
    <col min="10761" max="10761" width="13.140625" customWidth="1"/>
    <col min="10762" max="10762" width="14.85546875" bestFit="1" customWidth="1"/>
    <col min="10763" max="10763" width="2.7109375" customWidth="1"/>
    <col min="10764" max="10764" width="8.85546875"/>
    <col min="10765" max="10765" width="10.85546875" customWidth="1"/>
    <col min="10766" max="10766" width="7.85546875" customWidth="1"/>
    <col min="10767" max="10767" width="11.28515625" customWidth="1"/>
    <col min="10768" max="11008" width="8.85546875"/>
    <col min="11009" max="11009" width="11.5703125" customWidth="1"/>
    <col min="11010" max="11010" width="17" customWidth="1"/>
    <col min="11011" max="11011" width="8.85546875"/>
    <col min="11012" max="11012" width="2.85546875" customWidth="1"/>
    <col min="11013" max="11013" width="14.140625" customWidth="1"/>
    <col min="11014" max="11014" width="15.42578125" customWidth="1"/>
    <col min="11015" max="11015" width="13.5703125" customWidth="1"/>
    <col min="11016" max="11016" width="13.85546875" customWidth="1"/>
    <col min="11017" max="11017" width="13.140625" customWidth="1"/>
    <col min="11018" max="11018" width="14.85546875" bestFit="1" customWidth="1"/>
    <col min="11019" max="11019" width="2.7109375" customWidth="1"/>
    <col min="11020" max="11020" width="8.85546875"/>
    <col min="11021" max="11021" width="10.85546875" customWidth="1"/>
    <col min="11022" max="11022" width="7.85546875" customWidth="1"/>
    <col min="11023" max="11023" width="11.28515625" customWidth="1"/>
    <col min="11024" max="11264" width="8.85546875"/>
    <col min="11265" max="11265" width="11.5703125" customWidth="1"/>
    <col min="11266" max="11266" width="17" customWidth="1"/>
    <col min="11267" max="11267" width="8.85546875"/>
    <col min="11268" max="11268" width="2.85546875" customWidth="1"/>
    <col min="11269" max="11269" width="14.140625" customWidth="1"/>
    <col min="11270" max="11270" width="15.42578125" customWidth="1"/>
    <col min="11271" max="11271" width="13.5703125" customWidth="1"/>
    <col min="11272" max="11272" width="13.85546875" customWidth="1"/>
    <col min="11273" max="11273" width="13.140625" customWidth="1"/>
    <col min="11274" max="11274" width="14.85546875" bestFit="1" customWidth="1"/>
    <col min="11275" max="11275" width="2.7109375" customWidth="1"/>
    <col min="11276" max="11276" width="8.85546875"/>
    <col min="11277" max="11277" width="10.85546875" customWidth="1"/>
    <col min="11278" max="11278" width="7.85546875" customWidth="1"/>
    <col min="11279" max="11279" width="11.28515625" customWidth="1"/>
    <col min="11280" max="11520" width="8.85546875"/>
    <col min="11521" max="11521" width="11.5703125" customWidth="1"/>
    <col min="11522" max="11522" width="17" customWidth="1"/>
    <col min="11523" max="11523" width="8.85546875"/>
    <col min="11524" max="11524" width="2.85546875" customWidth="1"/>
    <col min="11525" max="11525" width="14.140625" customWidth="1"/>
    <col min="11526" max="11526" width="15.42578125" customWidth="1"/>
    <col min="11527" max="11527" width="13.5703125" customWidth="1"/>
    <col min="11528" max="11528" width="13.85546875" customWidth="1"/>
    <col min="11529" max="11529" width="13.140625" customWidth="1"/>
    <col min="11530" max="11530" width="14.85546875" bestFit="1" customWidth="1"/>
    <col min="11531" max="11531" width="2.7109375" customWidth="1"/>
    <col min="11532" max="11532" width="8.85546875"/>
    <col min="11533" max="11533" width="10.85546875" customWidth="1"/>
    <col min="11534" max="11534" width="7.85546875" customWidth="1"/>
    <col min="11535" max="11535" width="11.28515625" customWidth="1"/>
    <col min="11536" max="11776" width="8.85546875"/>
    <col min="11777" max="11777" width="11.5703125" customWidth="1"/>
    <col min="11778" max="11778" width="17" customWidth="1"/>
    <col min="11779" max="11779" width="8.85546875"/>
    <col min="11780" max="11780" width="2.85546875" customWidth="1"/>
    <col min="11781" max="11781" width="14.140625" customWidth="1"/>
    <col min="11782" max="11782" width="15.42578125" customWidth="1"/>
    <col min="11783" max="11783" width="13.5703125" customWidth="1"/>
    <col min="11784" max="11784" width="13.85546875" customWidth="1"/>
    <col min="11785" max="11785" width="13.140625" customWidth="1"/>
    <col min="11786" max="11786" width="14.85546875" bestFit="1" customWidth="1"/>
    <col min="11787" max="11787" width="2.7109375" customWidth="1"/>
    <col min="11788" max="11788" width="8.85546875"/>
    <col min="11789" max="11789" width="10.85546875" customWidth="1"/>
    <col min="11790" max="11790" width="7.85546875" customWidth="1"/>
    <col min="11791" max="11791" width="11.28515625" customWidth="1"/>
    <col min="11792" max="12032" width="8.85546875"/>
    <col min="12033" max="12033" width="11.5703125" customWidth="1"/>
    <col min="12034" max="12034" width="17" customWidth="1"/>
    <col min="12035" max="12035" width="8.85546875"/>
    <col min="12036" max="12036" width="2.85546875" customWidth="1"/>
    <col min="12037" max="12037" width="14.140625" customWidth="1"/>
    <col min="12038" max="12038" width="15.42578125" customWidth="1"/>
    <col min="12039" max="12039" width="13.5703125" customWidth="1"/>
    <col min="12040" max="12040" width="13.85546875" customWidth="1"/>
    <col min="12041" max="12041" width="13.140625" customWidth="1"/>
    <col min="12042" max="12042" width="14.85546875" bestFit="1" customWidth="1"/>
    <col min="12043" max="12043" width="2.7109375" customWidth="1"/>
    <col min="12044" max="12044" width="8.85546875"/>
    <col min="12045" max="12045" width="10.85546875" customWidth="1"/>
    <col min="12046" max="12046" width="7.85546875" customWidth="1"/>
    <col min="12047" max="12047" width="11.28515625" customWidth="1"/>
    <col min="12048" max="12288" width="8.85546875"/>
    <col min="12289" max="12289" width="11.5703125" customWidth="1"/>
    <col min="12290" max="12290" width="17" customWidth="1"/>
    <col min="12291" max="12291" width="8.85546875"/>
    <col min="12292" max="12292" width="2.85546875" customWidth="1"/>
    <col min="12293" max="12293" width="14.140625" customWidth="1"/>
    <col min="12294" max="12294" width="15.42578125" customWidth="1"/>
    <col min="12295" max="12295" width="13.5703125" customWidth="1"/>
    <col min="12296" max="12296" width="13.85546875" customWidth="1"/>
    <col min="12297" max="12297" width="13.140625" customWidth="1"/>
    <col min="12298" max="12298" width="14.85546875" bestFit="1" customWidth="1"/>
    <col min="12299" max="12299" width="2.7109375" customWidth="1"/>
    <col min="12300" max="12300" width="8.85546875"/>
    <col min="12301" max="12301" width="10.85546875" customWidth="1"/>
    <col min="12302" max="12302" width="7.85546875" customWidth="1"/>
    <col min="12303" max="12303" width="11.28515625" customWidth="1"/>
    <col min="12304" max="12544" width="8.85546875"/>
    <col min="12545" max="12545" width="11.5703125" customWidth="1"/>
    <col min="12546" max="12546" width="17" customWidth="1"/>
    <col min="12547" max="12547" width="8.85546875"/>
    <col min="12548" max="12548" width="2.85546875" customWidth="1"/>
    <col min="12549" max="12549" width="14.140625" customWidth="1"/>
    <col min="12550" max="12550" width="15.42578125" customWidth="1"/>
    <col min="12551" max="12551" width="13.5703125" customWidth="1"/>
    <col min="12552" max="12552" width="13.85546875" customWidth="1"/>
    <col min="12553" max="12553" width="13.140625" customWidth="1"/>
    <col min="12554" max="12554" width="14.85546875" bestFit="1" customWidth="1"/>
    <col min="12555" max="12555" width="2.7109375" customWidth="1"/>
    <col min="12556" max="12556" width="8.85546875"/>
    <col min="12557" max="12557" width="10.85546875" customWidth="1"/>
    <col min="12558" max="12558" width="7.85546875" customWidth="1"/>
    <col min="12559" max="12559" width="11.28515625" customWidth="1"/>
    <col min="12560" max="12800" width="8.85546875"/>
    <col min="12801" max="12801" width="11.5703125" customWidth="1"/>
    <col min="12802" max="12802" width="17" customWidth="1"/>
    <col min="12803" max="12803" width="8.85546875"/>
    <col min="12804" max="12804" width="2.85546875" customWidth="1"/>
    <col min="12805" max="12805" width="14.140625" customWidth="1"/>
    <col min="12806" max="12806" width="15.42578125" customWidth="1"/>
    <col min="12807" max="12807" width="13.5703125" customWidth="1"/>
    <col min="12808" max="12808" width="13.85546875" customWidth="1"/>
    <col min="12809" max="12809" width="13.140625" customWidth="1"/>
    <col min="12810" max="12810" width="14.85546875" bestFit="1" customWidth="1"/>
    <col min="12811" max="12811" width="2.7109375" customWidth="1"/>
    <col min="12812" max="12812" width="8.85546875"/>
    <col min="12813" max="12813" width="10.85546875" customWidth="1"/>
    <col min="12814" max="12814" width="7.85546875" customWidth="1"/>
    <col min="12815" max="12815" width="11.28515625" customWidth="1"/>
    <col min="12816" max="13056" width="8.85546875"/>
    <col min="13057" max="13057" width="11.5703125" customWidth="1"/>
    <col min="13058" max="13058" width="17" customWidth="1"/>
    <col min="13059" max="13059" width="8.85546875"/>
    <col min="13060" max="13060" width="2.85546875" customWidth="1"/>
    <col min="13061" max="13061" width="14.140625" customWidth="1"/>
    <col min="13062" max="13062" width="15.42578125" customWidth="1"/>
    <col min="13063" max="13063" width="13.5703125" customWidth="1"/>
    <col min="13064" max="13064" width="13.85546875" customWidth="1"/>
    <col min="13065" max="13065" width="13.140625" customWidth="1"/>
    <col min="13066" max="13066" width="14.85546875" bestFit="1" customWidth="1"/>
    <col min="13067" max="13067" width="2.7109375" customWidth="1"/>
    <col min="13068" max="13068" width="8.85546875"/>
    <col min="13069" max="13069" width="10.85546875" customWidth="1"/>
    <col min="13070" max="13070" width="7.85546875" customWidth="1"/>
    <col min="13071" max="13071" width="11.28515625" customWidth="1"/>
    <col min="13072" max="13312" width="8.85546875"/>
    <col min="13313" max="13313" width="11.5703125" customWidth="1"/>
    <col min="13314" max="13314" width="17" customWidth="1"/>
    <col min="13315" max="13315" width="8.85546875"/>
    <col min="13316" max="13316" width="2.85546875" customWidth="1"/>
    <col min="13317" max="13317" width="14.140625" customWidth="1"/>
    <col min="13318" max="13318" width="15.42578125" customWidth="1"/>
    <col min="13319" max="13319" width="13.5703125" customWidth="1"/>
    <col min="13320" max="13320" width="13.85546875" customWidth="1"/>
    <col min="13321" max="13321" width="13.140625" customWidth="1"/>
    <col min="13322" max="13322" width="14.85546875" bestFit="1" customWidth="1"/>
    <col min="13323" max="13323" width="2.7109375" customWidth="1"/>
    <col min="13324" max="13324" width="8.85546875"/>
    <col min="13325" max="13325" width="10.85546875" customWidth="1"/>
    <col min="13326" max="13326" width="7.85546875" customWidth="1"/>
    <col min="13327" max="13327" width="11.28515625" customWidth="1"/>
    <col min="13328" max="13568" width="8.85546875"/>
    <col min="13569" max="13569" width="11.5703125" customWidth="1"/>
    <col min="13570" max="13570" width="17" customWidth="1"/>
    <col min="13571" max="13571" width="8.85546875"/>
    <col min="13572" max="13572" width="2.85546875" customWidth="1"/>
    <col min="13573" max="13573" width="14.140625" customWidth="1"/>
    <col min="13574" max="13574" width="15.42578125" customWidth="1"/>
    <col min="13575" max="13575" width="13.5703125" customWidth="1"/>
    <col min="13576" max="13576" width="13.85546875" customWidth="1"/>
    <col min="13577" max="13577" width="13.140625" customWidth="1"/>
    <col min="13578" max="13578" width="14.85546875" bestFit="1" customWidth="1"/>
    <col min="13579" max="13579" width="2.7109375" customWidth="1"/>
    <col min="13580" max="13580" width="8.85546875"/>
    <col min="13581" max="13581" width="10.85546875" customWidth="1"/>
    <col min="13582" max="13582" width="7.85546875" customWidth="1"/>
    <col min="13583" max="13583" width="11.28515625" customWidth="1"/>
    <col min="13584" max="13824" width="8.85546875"/>
    <col min="13825" max="13825" width="11.5703125" customWidth="1"/>
    <col min="13826" max="13826" width="17" customWidth="1"/>
    <col min="13827" max="13827" width="8.85546875"/>
    <col min="13828" max="13828" width="2.85546875" customWidth="1"/>
    <col min="13829" max="13829" width="14.140625" customWidth="1"/>
    <col min="13830" max="13830" width="15.42578125" customWidth="1"/>
    <col min="13831" max="13831" width="13.5703125" customWidth="1"/>
    <col min="13832" max="13832" width="13.85546875" customWidth="1"/>
    <col min="13833" max="13833" width="13.140625" customWidth="1"/>
    <col min="13834" max="13834" width="14.85546875" bestFit="1" customWidth="1"/>
    <col min="13835" max="13835" width="2.7109375" customWidth="1"/>
    <col min="13836" max="13836" width="8.85546875"/>
    <col min="13837" max="13837" width="10.85546875" customWidth="1"/>
    <col min="13838" max="13838" width="7.85546875" customWidth="1"/>
    <col min="13839" max="13839" width="11.28515625" customWidth="1"/>
    <col min="13840" max="14080" width="8.85546875"/>
    <col min="14081" max="14081" width="11.5703125" customWidth="1"/>
    <col min="14082" max="14082" width="17" customWidth="1"/>
    <col min="14083" max="14083" width="8.85546875"/>
    <col min="14084" max="14084" width="2.85546875" customWidth="1"/>
    <col min="14085" max="14085" width="14.140625" customWidth="1"/>
    <col min="14086" max="14086" width="15.42578125" customWidth="1"/>
    <col min="14087" max="14087" width="13.5703125" customWidth="1"/>
    <col min="14088" max="14088" width="13.85546875" customWidth="1"/>
    <col min="14089" max="14089" width="13.140625" customWidth="1"/>
    <col min="14090" max="14090" width="14.85546875" bestFit="1" customWidth="1"/>
    <col min="14091" max="14091" width="2.7109375" customWidth="1"/>
    <col min="14092" max="14092" width="8.85546875"/>
    <col min="14093" max="14093" width="10.85546875" customWidth="1"/>
    <col min="14094" max="14094" width="7.85546875" customWidth="1"/>
    <col min="14095" max="14095" width="11.28515625" customWidth="1"/>
    <col min="14096" max="14336" width="8.85546875"/>
    <col min="14337" max="14337" width="11.5703125" customWidth="1"/>
    <col min="14338" max="14338" width="17" customWidth="1"/>
    <col min="14339" max="14339" width="8.85546875"/>
    <col min="14340" max="14340" width="2.85546875" customWidth="1"/>
    <col min="14341" max="14341" width="14.140625" customWidth="1"/>
    <col min="14342" max="14342" width="15.42578125" customWidth="1"/>
    <col min="14343" max="14343" width="13.5703125" customWidth="1"/>
    <col min="14344" max="14344" width="13.85546875" customWidth="1"/>
    <col min="14345" max="14345" width="13.140625" customWidth="1"/>
    <col min="14346" max="14346" width="14.85546875" bestFit="1" customWidth="1"/>
    <col min="14347" max="14347" width="2.7109375" customWidth="1"/>
    <col min="14348" max="14348" width="8.85546875"/>
    <col min="14349" max="14349" width="10.85546875" customWidth="1"/>
    <col min="14350" max="14350" width="7.85546875" customWidth="1"/>
    <col min="14351" max="14351" width="11.28515625" customWidth="1"/>
    <col min="14352" max="14592" width="8.85546875"/>
    <col min="14593" max="14593" width="11.5703125" customWidth="1"/>
    <col min="14594" max="14594" width="17" customWidth="1"/>
    <col min="14595" max="14595" width="8.85546875"/>
    <col min="14596" max="14596" width="2.85546875" customWidth="1"/>
    <col min="14597" max="14597" width="14.140625" customWidth="1"/>
    <col min="14598" max="14598" width="15.42578125" customWidth="1"/>
    <col min="14599" max="14599" width="13.5703125" customWidth="1"/>
    <col min="14600" max="14600" width="13.85546875" customWidth="1"/>
    <col min="14601" max="14601" width="13.140625" customWidth="1"/>
    <col min="14602" max="14602" width="14.85546875" bestFit="1" customWidth="1"/>
    <col min="14603" max="14603" width="2.7109375" customWidth="1"/>
    <col min="14604" max="14604" width="8.85546875"/>
    <col min="14605" max="14605" width="10.85546875" customWidth="1"/>
    <col min="14606" max="14606" width="7.85546875" customWidth="1"/>
    <col min="14607" max="14607" width="11.28515625" customWidth="1"/>
    <col min="14608" max="14848" width="8.85546875"/>
    <col min="14849" max="14849" width="11.5703125" customWidth="1"/>
    <col min="14850" max="14850" width="17" customWidth="1"/>
    <col min="14851" max="14851" width="8.85546875"/>
    <col min="14852" max="14852" width="2.85546875" customWidth="1"/>
    <col min="14853" max="14853" width="14.140625" customWidth="1"/>
    <col min="14854" max="14854" width="15.42578125" customWidth="1"/>
    <col min="14855" max="14855" width="13.5703125" customWidth="1"/>
    <col min="14856" max="14856" width="13.85546875" customWidth="1"/>
    <col min="14857" max="14857" width="13.140625" customWidth="1"/>
    <col min="14858" max="14858" width="14.85546875" bestFit="1" customWidth="1"/>
    <col min="14859" max="14859" width="2.7109375" customWidth="1"/>
    <col min="14860" max="14860" width="8.85546875"/>
    <col min="14861" max="14861" width="10.85546875" customWidth="1"/>
    <col min="14862" max="14862" width="7.85546875" customWidth="1"/>
    <col min="14863" max="14863" width="11.28515625" customWidth="1"/>
    <col min="14864" max="15104" width="8.85546875"/>
    <col min="15105" max="15105" width="11.5703125" customWidth="1"/>
    <col min="15106" max="15106" width="17" customWidth="1"/>
    <col min="15107" max="15107" width="8.85546875"/>
    <col min="15108" max="15108" width="2.85546875" customWidth="1"/>
    <col min="15109" max="15109" width="14.140625" customWidth="1"/>
    <col min="15110" max="15110" width="15.42578125" customWidth="1"/>
    <col min="15111" max="15111" width="13.5703125" customWidth="1"/>
    <col min="15112" max="15112" width="13.85546875" customWidth="1"/>
    <col min="15113" max="15113" width="13.140625" customWidth="1"/>
    <col min="15114" max="15114" width="14.85546875" bestFit="1" customWidth="1"/>
    <col min="15115" max="15115" width="2.7109375" customWidth="1"/>
    <col min="15116" max="15116" width="8.85546875"/>
    <col min="15117" max="15117" width="10.85546875" customWidth="1"/>
    <col min="15118" max="15118" width="7.85546875" customWidth="1"/>
    <col min="15119" max="15119" width="11.28515625" customWidth="1"/>
    <col min="15120" max="15360" width="8.85546875"/>
    <col min="15361" max="15361" width="11.5703125" customWidth="1"/>
    <col min="15362" max="15362" width="17" customWidth="1"/>
    <col min="15363" max="15363" width="8.85546875"/>
    <col min="15364" max="15364" width="2.85546875" customWidth="1"/>
    <col min="15365" max="15365" width="14.140625" customWidth="1"/>
    <col min="15366" max="15366" width="15.42578125" customWidth="1"/>
    <col min="15367" max="15367" width="13.5703125" customWidth="1"/>
    <col min="15368" max="15368" width="13.85546875" customWidth="1"/>
    <col min="15369" max="15369" width="13.140625" customWidth="1"/>
    <col min="15370" max="15370" width="14.85546875" bestFit="1" customWidth="1"/>
    <col min="15371" max="15371" width="2.7109375" customWidth="1"/>
    <col min="15372" max="15372" width="8.85546875"/>
    <col min="15373" max="15373" width="10.85546875" customWidth="1"/>
    <col min="15374" max="15374" width="7.85546875" customWidth="1"/>
    <col min="15375" max="15375" width="11.28515625" customWidth="1"/>
    <col min="15376" max="15616" width="8.85546875"/>
    <col min="15617" max="15617" width="11.5703125" customWidth="1"/>
    <col min="15618" max="15618" width="17" customWidth="1"/>
    <col min="15619" max="15619" width="8.85546875"/>
    <col min="15620" max="15620" width="2.85546875" customWidth="1"/>
    <col min="15621" max="15621" width="14.140625" customWidth="1"/>
    <col min="15622" max="15622" width="15.42578125" customWidth="1"/>
    <col min="15623" max="15623" width="13.5703125" customWidth="1"/>
    <col min="15624" max="15624" width="13.85546875" customWidth="1"/>
    <col min="15625" max="15625" width="13.140625" customWidth="1"/>
    <col min="15626" max="15626" width="14.85546875" bestFit="1" customWidth="1"/>
    <col min="15627" max="15627" width="2.7109375" customWidth="1"/>
    <col min="15628" max="15628" width="8.85546875"/>
    <col min="15629" max="15629" width="10.85546875" customWidth="1"/>
    <col min="15630" max="15630" width="7.85546875" customWidth="1"/>
    <col min="15631" max="15631" width="11.28515625" customWidth="1"/>
    <col min="15632" max="15872" width="8.85546875"/>
    <col min="15873" max="15873" width="11.5703125" customWidth="1"/>
    <col min="15874" max="15874" width="17" customWidth="1"/>
    <col min="15875" max="15875" width="8.85546875"/>
    <col min="15876" max="15876" width="2.85546875" customWidth="1"/>
    <col min="15877" max="15877" width="14.140625" customWidth="1"/>
    <col min="15878" max="15878" width="15.42578125" customWidth="1"/>
    <col min="15879" max="15879" width="13.5703125" customWidth="1"/>
    <col min="15880" max="15880" width="13.85546875" customWidth="1"/>
    <col min="15881" max="15881" width="13.140625" customWidth="1"/>
    <col min="15882" max="15882" width="14.85546875" bestFit="1" customWidth="1"/>
    <col min="15883" max="15883" width="2.7109375" customWidth="1"/>
    <col min="15884" max="15884" width="8.85546875"/>
    <col min="15885" max="15885" width="10.85546875" customWidth="1"/>
    <col min="15886" max="15886" width="7.85546875" customWidth="1"/>
    <col min="15887" max="15887" width="11.28515625" customWidth="1"/>
    <col min="15888" max="16128" width="8.85546875"/>
    <col min="16129" max="16129" width="11.5703125" customWidth="1"/>
    <col min="16130" max="16130" width="17" customWidth="1"/>
    <col min="16131" max="16131" width="8.85546875"/>
    <col min="16132" max="16132" width="2.85546875" customWidth="1"/>
    <col min="16133" max="16133" width="14.140625" customWidth="1"/>
    <col min="16134" max="16134" width="15.42578125" customWidth="1"/>
    <col min="16135" max="16135" width="13.5703125" customWidth="1"/>
    <col min="16136" max="16136" width="13.85546875" customWidth="1"/>
    <col min="16137" max="16137" width="13.140625" customWidth="1"/>
    <col min="16138" max="16138" width="14.85546875" bestFit="1" customWidth="1"/>
    <col min="16139" max="16139" width="2.7109375" customWidth="1"/>
    <col min="16140" max="16140" width="8.85546875"/>
    <col min="16141" max="16141" width="10.85546875" customWidth="1"/>
    <col min="16142" max="16142" width="7.85546875" customWidth="1"/>
    <col min="16143" max="16143" width="11.28515625" customWidth="1"/>
    <col min="16144" max="16384" width="8.85546875"/>
  </cols>
  <sheetData>
    <row r="2" spans="1:9" ht="18.75" x14ac:dyDescent="0.25">
      <c r="G2" s="63"/>
      <c r="H2" s="60"/>
      <c r="I2" s="60"/>
    </row>
    <row r="3" spans="1:9" ht="24.75" customHeight="1" x14ac:dyDescent="0.25">
      <c r="A3" s="60"/>
      <c r="B3" s="60"/>
      <c r="C3" s="60"/>
      <c r="D3" s="60"/>
      <c r="E3" s="60"/>
      <c r="F3" s="60"/>
      <c r="G3" s="60"/>
      <c r="H3" s="60"/>
      <c r="I3" s="60"/>
    </row>
    <row r="5" spans="1:9" hidden="1" x14ac:dyDescent="0.25"/>
    <row r="7" spans="1:9" ht="15" customHeight="1" x14ac:dyDescent="0.25"/>
    <row r="8" spans="1:9" ht="15" customHeight="1" x14ac:dyDescent="0.25"/>
    <row r="9" spans="1:9" ht="15" customHeight="1" x14ac:dyDescent="0.25"/>
    <row r="10" spans="1:9" ht="15" customHeight="1" x14ac:dyDescent="0.25"/>
    <row r="11" spans="1:9" ht="15" customHeight="1" x14ac:dyDescent="0.25"/>
    <row r="12" spans="1:9" ht="15" customHeight="1" x14ac:dyDescent="0.25"/>
    <row r="13" spans="1:9" ht="15" customHeight="1" x14ac:dyDescent="0.25"/>
    <row r="14" spans="1:9" ht="23.25" x14ac:dyDescent="0.25">
      <c r="A14" s="452" t="s">
        <v>557</v>
      </c>
      <c r="B14" s="453"/>
      <c r="C14" s="453"/>
      <c r="D14" s="453"/>
      <c r="E14" s="453"/>
      <c r="F14" s="453"/>
      <c r="G14" s="453"/>
    </row>
    <row r="15" spans="1:9" ht="15" customHeight="1" x14ac:dyDescent="0.25"/>
    <row r="16" spans="1:9" ht="15" customHeight="1" x14ac:dyDescent="0.25"/>
    <row r="17" spans="2:2" ht="23.25" x14ac:dyDescent="0.35">
      <c r="B17" s="65"/>
    </row>
    <row r="18" spans="2:2" ht="18.75" x14ac:dyDescent="0.3">
      <c r="B18" s="382"/>
    </row>
    <row r="20" spans="2:2" ht="21" x14ac:dyDescent="0.35">
      <c r="B20" s="62"/>
    </row>
    <row r="21" spans="2:2" ht="21" x14ac:dyDescent="0.35">
      <c r="B21" s="62"/>
    </row>
    <row r="22" spans="2:2" ht="15" customHeight="1" x14ac:dyDescent="0.25"/>
    <row r="23" spans="2:2" ht="15" customHeight="1" x14ac:dyDescent="0.25"/>
    <row r="25" spans="2:2" ht="15" customHeight="1" x14ac:dyDescent="0.25"/>
    <row r="27" spans="2:2" ht="15" customHeight="1" x14ac:dyDescent="0.25"/>
    <row r="28" spans="2:2" ht="15" customHeight="1" x14ac:dyDescent="0.25"/>
    <row r="29" spans="2:2" ht="15" customHeight="1" x14ac:dyDescent="0.25"/>
    <row r="30" spans="2:2" ht="15" customHeight="1" x14ac:dyDescent="0.25"/>
    <row r="31" spans="2:2" ht="15" customHeight="1" x14ac:dyDescent="0.25"/>
    <row r="32" spans="2:2" ht="15" hidden="1" customHeight="1" x14ac:dyDescent="0.25"/>
    <row r="33" ht="15" hidden="1" customHeight="1" x14ac:dyDescent="0.25"/>
    <row r="34" s="27" customFormat="1" ht="15" customHeight="1" x14ac:dyDescent="0.2"/>
    <row r="35" s="27" customFormat="1" ht="15" customHeight="1" x14ac:dyDescent="0.2"/>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43.15" customHeight="1" x14ac:dyDescent="0.25"/>
    <row r="45" ht="15" customHeight="1" x14ac:dyDescent="0.25"/>
    <row r="46" ht="38.6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s="27" customFormat="1" ht="15" customHeight="1" x14ac:dyDescent="0.2"/>
    <row r="54" ht="15" customHeight="1" x14ac:dyDescent="0.25"/>
    <row r="55" ht="32.450000000000003" customHeight="1" x14ac:dyDescent="0.25"/>
    <row r="56" ht="15" customHeight="1" x14ac:dyDescent="0.25"/>
    <row r="57" ht="15" customHeight="1" x14ac:dyDescent="0.25"/>
    <row r="58" ht="8.25" customHeight="1" x14ac:dyDescent="0.25"/>
    <row r="59" ht="15" customHeight="1" x14ac:dyDescent="0.25"/>
    <row r="63" ht="15" customHeight="1" x14ac:dyDescent="0.25"/>
    <row r="66" ht="9.1999999999999993" customHeight="1" x14ac:dyDescent="0.25"/>
  </sheetData>
  <mergeCells count="1">
    <mergeCell ref="A14:G14"/>
  </mergeCell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&amp;R&amp;D</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2"/>
  <sheetViews>
    <sheetView view="pageLayout" zoomScaleNormal="100" workbookViewId="0">
      <selection activeCell="A58" sqref="A58"/>
    </sheetView>
  </sheetViews>
  <sheetFormatPr defaultRowHeight="18.75" x14ac:dyDescent="0.3"/>
  <cols>
    <col min="1" max="1" width="8.5703125" customWidth="1"/>
    <col min="2" max="2" width="5.7109375" style="67" customWidth="1"/>
    <col min="3" max="3" width="16.140625" style="69" customWidth="1"/>
    <col min="4" max="4" width="6.28515625" customWidth="1"/>
    <col min="5" max="5" width="14.140625" customWidth="1"/>
    <col min="6" max="6" width="14.28515625" bestFit="1" customWidth="1"/>
    <col min="7" max="7" width="13.5703125" style="326" bestFit="1" customWidth="1"/>
    <col min="8" max="8" width="12.85546875" bestFit="1" customWidth="1"/>
    <col min="9" max="9" width="12.42578125" bestFit="1" customWidth="1"/>
    <col min="10" max="10" width="13.5703125" customWidth="1"/>
    <col min="11" max="11" width="11.85546875" customWidth="1"/>
    <col min="12" max="13" width="6.42578125" customWidth="1"/>
    <col min="14" max="14" width="15.140625" customWidth="1"/>
    <col min="15" max="15" width="12.140625" customWidth="1"/>
    <col min="16" max="256" width="8.85546875"/>
    <col min="257" max="257" width="11.5703125" customWidth="1"/>
    <col min="258" max="258" width="17" customWidth="1"/>
    <col min="259" max="259" width="8.85546875"/>
    <col min="260" max="260" width="2.85546875" customWidth="1"/>
    <col min="261" max="261" width="14.140625" customWidth="1"/>
    <col min="262" max="262" width="15.42578125" customWidth="1"/>
    <col min="263" max="263" width="13.5703125" customWidth="1"/>
    <col min="264" max="264" width="13.85546875" customWidth="1"/>
    <col min="265" max="265" width="13.140625" customWidth="1"/>
    <col min="266" max="266" width="14.85546875" bestFit="1" customWidth="1"/>
    <col min="267" max="267" width="2.7109375" customWidth="1"/>
    <col min="268" max="268" width="8.85546875"/>
    <col min="269" max="269" width="10.85546875" customWidth="1"/>
    <col min="270" max="270" width="7.85546875" customWidth="1"/>
    <col min="271" max="271" width="11.28515625" customWidth="1"/>
    <col min="272" max="512" width="8.85546875"/>
    <col min="513" max="513" width="11.5703125" customWidth="1"/>
    <col min="514" max="514" width="17" customWidth="1"/>
    <col min="515" max="515" width="8.85546875"/>
    <col min="516" max="516" width="2.85546875" customWidth="1"/>
    <col min="517" max="517" width="14.140625" customWidth="1"/>
    <col min="518" max="518" width="15.42578125" customWidth="1"/>
    <col min="519" max="519" width="13.5703125" customWidth="1"/>
    <col min="520" max="520" width="13.85546875" customWidth="1"/>
    <col min="521" max="521" width="13.140625" customWidth="1"/>
    <col min="522" max="522" width="14.85546875" bestFit="1" customWidth="1"/>
    <col min="523" max="523" width="2.7109375" customWidth="1"/>
    <col min="524" max="524" width="8.85546875"/>
    <col min="525" max="525" width="10.85546875" customWidth="1"/>
    <col min="526" max="526" width="7.85546875" customWidth="1"/>
    <col min="527" max="527" width="11.28515625" customWidth="1"/>
    <col min="528" max="768" width="8.85546875"/>
    <col min="769" max="769" width="11.5703125" customWidth="1"/>
    <col min="770" max="770" width="17" customWidth="1"/>
    <col min="771" max="771" width="8.85546875"/>
    <col min="772" max="772" width="2.85546875" customWidth="1"/>
    <col min="773" max="773" width="14.140625" customWidth="1"/>
    <col min="774" max="774" width="15.42578125" customWidth="1"/>
    <col min="775" max="775" width="13.5703125" customWidth="1"/>
    <col min="776" max="776" width="13.85546875" customWidth="1"/>
    <col min="777" max="777" width="13.140625" customWidth="1"/>
    <col min="778" max="778" width="14.85546875" bestFit="1" customWidth="1"/>
    <col min="779" max="779" width="2.7109375" customWidth="1"/>
    <col min="780" max="780" width="8.85546875"/>
    <col min="781" max="781" width="10.85546875" customWidth="1"/>
    <col min="782" max="782" width="7.85546875" customWidth="1"/>
    <col min="783" max="783" width="11.28515625" customWidth="1"/>
    <col min="784" max="1024" width="8.85546875"/>
    <col min="1025" max="1025" width="11.5703125" customWidth="1"/>
    <col min="1026" max="1026" width="17" customWidth="1"/>
    <col min="1027" max="1027" width="8.85546875"/>
    <col min="1028" max="1028" width="2.85546875" customWidth="1"/>
    <col min="1029" max="1029" width="14.140625" customWidth="1"/>
    <col min="1030" max="1030" width="15.42578125" customWidth="1"/>
    <col min="1031" max="1031" width="13.5703125" customWidth="1"/>
    <col min="1032" max="1032" width="13.85546875" customWidth="1"/>
    <col min="1033" max="1033" width="13.140625" customWidth="1"/>
    <col min="1034" max="1034" width="14.85546875" bestFit="1" customWidth="1"/>
    <col min="1035" max="1035" width="2.7109375" customWidth="1"/>
    <col min="1036" max="1036" width="8.85546875"/>
    <col min="1037" max="1037" width="10.85546875" customWidth="1"/>
    <col min="1038" max="1038" width="7.85546875" customWidth="1"/>
    <col min="1039" max="1039" width="11.28515625" customWidth="1"/>
    <col min="1040" max="1280" width="8.85546875"/>
    <col min="1281" max="1281" width="11.5703125" customWidth="1"/>
    <col min="1282" max="1282" width="17" customWidth="1"/>
    <col min="1283" max="1283" width="8.85546875"/>
    <col min="1284" max="1284" width="2.85546875" customWidth="1"/>
    <col min="1285" max="1285" width="14.140625" customWidth="1"/>
    <col min="1286" max="1286" width="15.42578125" customWidth="1"/>
    <col min="1287" max="1287" width="13.5703125" customWidth="1"/>
    <col min="1288" max="1288" width="13.85546875" customWidth="1"/>
    <col min="1289" max="1289" width="13.140625" customWidth="1"/>
    <col min="1290" max="1290" width="14.85546875" bestFit="1" customWidth="1"/>
    <col min="1291" max="1291" width="2.7109375" customWidth="1"/>
    <col min="1292" max="1292" width="8.85546875"/>
    <col min="1293" max="1293" width="10.85546875" customWidth="1"/>
    <col min="1294" max="1294" width="7.85546875" customWidth="1"/>
    <col min="1295" max="1295" width="11.28515625" customWidth="1"/>
    <col min="1296" max="1536" width="8.85546875"/>
    <col min="1537" max="1537" width="11.5703125" customWidth="1"/>
    <col min="1538" max="1538" width="17" customWidth="1"/>
    <col min="1539" max="1539" width="8.85546875"/>
    <col min="1540" max="1540" width="2.85546875" customWidth="1"/>
    <col min="1541" max="1541" width="14.140625" customWidth="1"/>
    <col min="1542" max="1542" width="15.42578125" customWidth="1"/>
    <col min="1543" max="1543" width="13.5703125" customWidth="1"/>
    <col min="1544" max="1544" width="13.85546875" customWidth="1"/>
    <col min="1545" max="1545" width="13.140625" customWidth="1"/>
    <col min="1546" max="1546" width="14.85546875" bestFit="1" customWidth="1"/>
    <col min="1547" max="1547" width="2.7109375" customWidth="1"/>
    <col min="1548" max="1548" width="8.85546875"/>
    <col min="1549" max="1549" width="10.85546875" customWidth="1"/>
    <col min="1550" max="1550" width="7.85546875" customWidth="1"/>
    <col min="1551" max="1551" width="11.28515625" customWidth="1"/>
    <col min="1552" max="1792" width="8.85546875"/>
    <col min="1793" max="1793" width="11.5703125" customWidth="1"/>
    <col min="1794" max="1794" width="17" customWidth="1"/>
    <col min="1795" max="1795" width="8.85546875"/>
    <col min="1796" max="1796" width="2.85546875" customWidth="1"/>
    <col min="1797" max="1797" width="14.140625" customWidth="1"/>
    <col min="1798" max="1798" width="15.42578125" customWidth="1"/>
    <col min="1799" max="1799" width="13.5703125" customWidth="1"/>
    <col min="1800" max="1800" width="13.85546875" customWidth="1"/>
    <col min="1801" max="1801" width="13.140625" customWidth="1"/>
    <col min="1802" max="1802" width="14.85546875" bestFit="1" customWidth="1"/>
    <col min="1803" max="1803" width="2.7109375" customWidth="1"/>
    <col min="1804" max="1804" width="8.85546875"/>
    <col min="1805" max="1805" width="10.85546875" customWidth="1"/>
    <col min="1806" max="1806" width="7.85546875" customWidth="1"/>
    <col min="1807" max="1807" width="11.28515625" customWidth="1"/>
    <col min="1808" max="2048" width="8.85546875"/>
    <col min="2049" max="2049" width="11.5703125" customWidth="1"/>
    <col min="2050" max="2050" width="17" customWidth="1"/>
    <col min="2051" max="2051" width="8.85546875"/>
    <col min="2052" max="2052" width="2.85546875" customWidth="1"/>
    <col min="2053" max="2053" width="14.140625" customWidth="1"/>
    <col min="2054" max="2054" width="15.42578125" customWidth="1"/>
    <col min="2055" max="2055" width="13.5703125" customWidth="1"/>
    <col min="2056" max="2056" width="13.85546875" customWidth="1"/>
    <col min="2057" max="2057" width="13.140625" customWidth="1"/>
    <col min="2058" max="2058" width="14.85546875" bestFit="1" customWidth="1"/>
    <col min="2059" max="2059" width="2.7109375" customWidth="1"/>
    <col min="2060" max="2060" width="8.85546875"/>
    <col min="2061" max="2061" width="10.85546875" customWidth="1"/>
    <col min="2062" max="2062" width="7.85546875" customWidth="1"/>
    <col min="2063" max="2063" width="11.28515625" customWidth="1"/>
    <col min="2064" max="2304" width="8.85546875"/>
    <col min="2305" max="2305" width="11.5703125" customWidth="1"/>
    <col min="2306" max="2306" width="17" customWidth="1"/>
    <col min="2307" max="2307" width="8.85546875"/>
    <col min="2308" max="2308" width="2.85546875" customWidth="1"/>
    <col min="2309" max="2309" width="14.140625" customWidth="1"/>
    <col min="2310" max="2310" width="15.42578125" customWidth="1"/>
    <col min="2311" max="2311" width="13.5703125" customWidth="1"/>
    <col min="2312" max="2312" width="13.85546875" customWidth="1"/>
    <col min="2313" max="2313" width="13.140625" customWidth="1"/>
    <col min="2314" max="2314" width="14.85546875" bestFit="1" customWidth="1"/>
    <col min="2315" max="2315" width="2.7109375" customWidth="1"/>
    <col min="2316" max="2316" width="8.85546875"/>
    <col min="2317" max="2317" width="10.85546875" customWidth="1"/>
    <col min="2318" max="2318" width="7.85546875" customWidth="1"/>
    <col min="2319" max="2319" width="11.28515625" customWidth="1"/>
    <col min="2320" max="2560" width="8.85546875"/>
    <col min="2561" max="2561" width="11.5703125" customWidth="1"/>
    <col min="2562" max="2562" width="17" customWidth="1"/>
    <col min="2563" max="2563" width="8.85546875"/>
    <col min="2564" max="2564" width="2.85546875" customWidth="1"/>
    <col min="2565" max="2565" width="14.140625" customWidth="1"/>
    <col min="2566" max="2566" width="15.42578125" customWidth="1"/>
    <col min="2567" max="2567" width="13.5703125" customWidth="1"/>
    <col min="2568" max="2568" width="13.85546875" customWidth="1"/>
    <col min="2569" max="2569" width="13.140625" customWidth="1"/>
    <col min="2570" max="2570" width="14.85546875" bestFit="1" customWidth="1"/>
    <col min="2571" max="2571" width="2.7109375" customWidth="1"/>
    <col min="2572" max="2572" width="8.85546875"/>
    <col min="2573" max="2573" width="10.85546875" customWidth="1"/>
    <col min="2574" max="2574" width="7.85546875" customWidth="1"/>
    <col min="2575" max="2575" width="11.28515625" customWidth="1"/>
    <col min="2576" max="2816" width="8.85546875"/>
    <col min="2817" max="2817" width="11.5703125" customWidth="1"/>
    <col min="2818" max="2818" width="17" customWidth="1"/>
    <col min="2819" max="2819" width="8.85546875"/>
    <col min="2820" max="2820" width="2.85546875" customWidth="1"/>
    <col min="2821" max="2821" width="14.140625" customWidth="1"/>
    <col min="2822" max="2822" width="15.42578125" customWidth="1"/>
    <col min="2823" max="2823" width="13.5703125" customWidth="1"/>
    <col min="2824" max="2824" width="13.85546875" customWidth="1"/>
    <col min="2825" max="2825" width="13.140625" customWidth="1"/>
    <col min="2826" max="2826" width="14.85546875" bestFit="1" customWidth="1"/>
    <col min="2827" max="2827" width="2.7109375" customWidth="1"/>
    <col min="2828" max="2828" width="8.85546875"/>
    <col min="2829" max="2829" width="10.85546875" customWidth="1"/>
    <col min="2830" max="2830" width="7.85546875" customWidth="1"/>
    <col min="2831" max="2831" width="11.28515625" customWidth="1"/>
    <col min="2832" max="3072" width="8.85546875"/>
    <col min="3073" max="3073" width="11.5703125" customWidth="1"/>
    <col min="3074" max="3074" width="17" customWidth="1"/>
    <col min="3075" max="3075" width="8.85546875"/>
    <col min="3076" max="3076" width="2.85546875" customWidth="1"/>
    <col min="3077" max="3077" width="14.140625" customWidth="1"/>
    <col min="3078" max="3078" width="15.42578125" customWidth="1"/>
    <col min="3079" max="3079" width="13.5703125" customWidth="1"/>
    <col min="3080" max="3080" width="13.85546875" customWidth="1"/>
    <col min="3081" max="3081" width="13.140625" customWidth="1"/>
    <col min="3082" max="3082" width="14.85546875" bestFit="1" customWidth="1"/>
    <col min="3083" max="3083" width="2.7109375" customWidth="1"/>
    <col min="3084" max="3084" width="8.85546875"/>
    <col min="3085" max="3085" width="10.85546875" customWidth="1"/>
    <col min="3086" max="3086" width="7.85546875" customWidth="1"/>
    <col min="3087" max="3087" width="11.28515625" customWidth="1"/>
    <col min="3088" max="3328" width="8.85546875"/>
    <col min="3329" max="3329" width="11.5703125" customWidth="1"/>
    <col min="3330" max="3330" width="17" customWidth="1"/>
    <col min="3331" max="3331" width="8.85546875"/>
    <col min="3332" max="3332" width="2.85546875" customWidth="1"/>
    <col min="3333" max="3333" width="14.140625" customWidth="1"/>
    <col min="3334" max="3334" width="15.42578125" customWidth="1"/>
    <col min="3335" max="3335" width="13.5703125" customWidth="1"/>
    <col min="3336" max="3336" width="13.85546875" customWidth="1"/>
    <col min="3337" max="3337" width="13.140625" customWidth="1"/>
    <col min="3338" max="3338" width="14.85546875" bestFit="1" customWidth="1"/>
    <col min="3339" max="3339" width="2.7109375" customWidth="1"/>
    <col min="3340" max="3340" width="8.85546875"/>
    <col min="3341" max="3341" width="10.85546875" customWidth="1"/>
    <col min="3342" max="3342" width="7.85546875" customWidth="1"/>
    <col min="3343" max="3343" width="11.28515625" customWidth="1"/>
    <col min="3344" max="3584" width="8.85546875"/>
    <col min="3585" max="3585" width="11.5703125" customWidth="1"/>
    <col min="3586" max="3586" width="17" customWidth="1"/>
    <col min="3587" max="3587" width="8.85546875"/>
    <col min="3588" max="3588" width="2.85546875" customWidth="1"/>
    <col min="3589" max="3589" width="14.140625" customWidth="1"/>
    <col min="3590" max="3590" width="15.42578125" customWidth="1"/>
    <col min="3591" max="3591" width="13.5703125" customWidth="1"/>
    <col min="3592" max="3592" width="13.85546875" customWidth="1"/>
    <col min="3593" max="3593" width="13.140625" customWidth="1"/>
    <col min="3594" max="3594" width="14.85546875" bestFit="1" customWidth="1"/>
    <col min="3595" max="3595" width="2.7109375" customWidth="1"/>
    <col min="3596" max="3596" width="8.85546875"/>
    <col min="3597" max="3597" width="10.85546875" customWidth="1"/>
    <col min="3598" max="3598" width="7.85546875" customWidth="1"/>
    <col min="3599" max="3599" width="11.28515625" customWidth="1"/>
    <col min="3600" max="3840" width="8.85546875"/>
    <col min="3841" max="3841" width="11.5703125" customWidth="1"/>
    <col min="3842" max="3842" width="17" customWidth="1"/>
    <col min="3843" max="3843" width="8.85546875"/>
    <col min="3844" max="3844" width="2.85546875" customWidth="1"/>
    <col min="3845" max="3845" width="14.140625" customWidth="1"/>
    <col min="3846" max="3846" width="15.42578125" customWidth="1"/>
    <col min="3847" max="3847" width="13.5703125" customWidth="1"/>
    <col min="3848" max="3848" width="13.85546875" customWidth="1"/>
    <col min="3849" max="3849" width="13.140625" customWidth="1"/>
    <col min="3850" max="3850" width="14.85546875" bestFit="1" customWidth="1"/>
    <col min="3851" max="3851" width="2.7109375" customWidth="1"/>
    <col min="3852" max="3852" width="8.85546875"/>
    <col min="3853" max="3853" width="10.85546875" customWidth="1"/>
    <col min="3854" max="3854" width="7.85546875" customWidth="1"/>
    <col min="3855" max="3855" width="11.28515625" customWidth="1"/>
    <col min="3856" max="4096" width="8.85546875"/>
    <col min="4097" max="4097" width="11.5703125" customWidth="1"/>
    <col min="4098" max="4098" width="17" customWidth="1"/>
    <col min="4099" max="4099" width="8.85546875"/>
    <col min="4100" max="4100" width="2.85546875" customWidth="1"/>
    <col min="4101" max="4101" width="14.140625" customWidth="1"/>
    <col min="4102" max="4102" width="15.42578125" customWidth="1"/>
    <col min="4103" max="4103" width="13.5703125" customWidth="1"/>
    <col min="4104" max="4104" width="13.85546875" customWidth="1"/>
    <col min="4105" max="4105" width="13.140625" customWidth="1"/>
    <col min="4106" max="4106" width="14.85546875" bestFit="1" customWidth="1"/>
    <col min="4107" max="4107" width="2.7109375" customWidth="1"/>
    <col min="4108" max="4108" width="8.85546875"/>
    <col min="4109" max="4109" width="10.85546875" customWidth="1"/>
    <col min="4110" max="4110" width="7.85546875" customWidth="1"/>
    <col min="4111" max="4111" width="11.28515625" customWidth="1"/>
    <col min="4112" max="4352" width="8.85546875"/>
    <col min="4353" max="4353" width="11.5703125" customWidth="1"/>
    <col min="4354" max="4354" width="17" customWidth="1"/>
    <col min="4355" max="4355" width="8.85546875"/>
    <col min="4356" max="4356" width="2.85546875" customWidth="1"/>
    <col min="4357" max="4357" width="14.140625" customWidth="1"/>
    <col min="4358" max="4358" width="15.42578125" customWidth="1"/>
    <col min="4359" max="4359" width="13.5703125" customWidth="1"/>
    <col min="4360" max="4360" width="13.85546875" customWidth="1"/>
    <col min="4361" max="4361" width="13.140625" customWidth="1"/>
    <col min="4362" max="4362" width="14.85546875" bestFit="1" customWidth="1"/>
    <col min="4363" max="4363" width="2.7109375" customWidth="1"/>
    <col min="4364" max="4364" width="8.85546875"/>
    <col min="4365" max="4365" width="10.85546875" customWidth="1"/>
    <col min="4366" max="4366" width="7.85546875" customWidth="1"/>
    <col min="4367" max="4367" width="11.28515625" customWidth="1"/>
    <col min="4368" max="4608" width="8.85546875"/>
    <col min="4609" max="4609" width="11.5703125" customWidth="1"/>
    <col min="4610" max="4610" width="17" customWidth="1"/>
    <col min="4611" max="4611" width="8.85546875"/>
    <col min="4612" max="4612" width="2.85546875" customWidth="1"/>
    <col min="4613" max="4613" width="14.140625" customWidth="1"/>
    <col min="4614" max="4614" width="15.42578125" customWidth="1"/>
    <col min="4615" max="4615" width="13.5703125" customWidth="1"/>
    <col min="4616" max="4616" width="13.85546875" customWidth="1"/>
    <col min="4617" max="4617" width="13.140625" customWidth="1"/>
    <col min="4618" max="4618" width="14.85546875" bestFit="1" customWidth="1"/>
    <col min="4619" max="4619" width="2.7109375" customWidth="1"/>
    <col min="4620" max="4620" width="8.85546875"/>
    <col min="4621" max="4621" width="10.85546875" customWidth="1"/>
    <col min="4622" max="4622" width="7.85546875" customWidth="1"/>
    <col min="4623" max="4623" width="11.28515625" customWidth="1"/>
    <col min="4624" max="4864" width="8.85546875"/>
    <col min="4865" max="4865" width="11.5703125" customWidth="1"/>
    <col min="4866" max="4866" width="17" customWidth="1"/>
    <col min="4867" max="4867" width="8.85546875"/>
    <col min="4868" max="4868" width="2.85546875" customWidth="1"/>
    <col min="4869" max="4869" width="14.140625" customWidth="1"/>
    <col min="4870" max="4870" width="15.42578125" customWidth="1"/>
    <col min="4871" max="4871" width="13.5703125" customWidth="1"/>
    <col min="4872" max="4872" width="13.85546875" customWidth="1"/>
    <col min="4873" max="4873" width="13.140625" customWidth="1"/>
    <col min="4874" max="4874" width="14.85546875" bestFit="1" customWidth="1"/>
    <col min="4875" max="4875" width="2.7109375" customWidth="1"/>
    <col min="4876" max="4876" width="8.85546875"/>
    <col min="4877" max="4877" width="10.85546875" customWidth="1"/>
    <col min="4878" max="4878" width="7.85546875" customWidth="1"/>
    <col min="4879" max="4879" width="11.28515625" customWidth="1"/>
    <col min="4880" max="5120" width="8.85546875"/>
    <col min="5121" max="5121" width="11.5703125" customWidth="1"/>
    <col min="5122" max="5122" width="17" customWidth="1"/>
    <col min="5123" max="5123" width="8.85546875"/>
    <col min="5124" max="5124" width="2.85546875" customWidth="1"/>
    <col min="5125" max="5125" width="14.140625" customWidth="1"/>
    <col min="5126" max="5126" width="15.42578125" customWidth="1"/>
    <col min="5127" max="5127" width="13.5703125" customWidth="1"/>
    <col min="5128" max="5128" width="13.85546875" customWidth="1"/>
    <col min="5129" max="5129" width="13.140625" customWidth="1"/>
    <col min="5130" max="5130" width="14.85546875" bestFit="1" customWidth="1"/>
    <col min="5131" max="5131" width="2.7109375" customWidth="1"/>
    <col min="5132" max="5132" width="8.85546875"/>
    <col min="5133" max="5133" width="10.85546875" customWidth="1"/>
    <col min="5134" max="5134" width="7.85546875" customWidth="1"/>
    <col min="5135" max="5135" width="11.28515625" customWidth="1"/>
    <col min="5136" max="5376" width="8.85546875"/>
    <col min="5377" max="5377" width="11.5703125" customWidth="1"/>
    <col min="5378" max="5378" width="17" customWidth="1"/>
    <col min="5379" max="5379" width="8.85546875"/>
    <col min="5380" max="5380" width="2.85546875" customWidth="1"/>
    <col min="5381" max="5381" width="14.140625" customWidth="1"/>
    <col min="5382" max="5382" width="15.42578125" customWidth="1"/>
    <col min="5383" max="5383" width="13.5703125" customWidth="1"/>
    <col min="5384" max="5384" width="13.85546875" customWidth="1"/>
    <col min="5385" max="5385" width="13.140625" customWidth="1"/>
    <col min="5386" max="5386" width="14.85546875" bestFit="1" customWidth="1"/>
    <col min="5387" max="5387" width="2.7109375" customWidth="1"/>
    <col min="5388" max="5388" width="8.85546875"/>
    <col min="5389" max="5389" width="10.85546875" customWidth="1"/>
    <col min="5390" max="5390" width="7.85546875" customWidth="1"/>
    <col min="5391" max="5391" width="11.28515625" customWidth="1"/>
    <col min="5392" max="5632" width="8.85546875"/>
    <col min="5633" max="5633" width="11.5703125" customWidth="1"/>
    <col min="5634" max="5634" width="17" customWidth="1"/>
    <col min="5635" max="5635" width="8.85546875"/>
    <col min="5636" max="5636" width="2.85546875" customWidth="1"/>
    <col min="5637" max="5637" width="14.140625" customWidth="1"/>
    <col min="5638" max="5638" width="15.42578125" customWidth="1"/>
    <col min="5639" max="5639" width="13.5703125" customWidth="1"/>
    <col min="5640" max="5640" width="13.85546875" customWidth="1"/>
    <col min="5641" max="5641" width="13.140625" customWidth="1"/>
    <col min="5642" max="5642" width="14.85546875" bestFit="1" customWidth="1"/>
    <col min="5643" max="5643" width="2.7109375" customWidth="1"/>
    <col min="5644" max="5644" width="8.85546875"/>
    <col min="5645" max="5645" width="10.85546875" customWidth="1"/>
    <col min="5646" max="5646" width="7.85546875" customWidth="1"/>
    <col min="5647" max="5647" width="11.28515625" customWidth="1"/>
    <col min="5648" max="5888" width="8.85546875"/>
    <col min="5889" max="5889" width="11.5703125" customWidth="1"/>
    <col min="5890" max="5890" width="17" customWidth="1"/>
    <col min="5891" max="5891" width="8.85546875"/>
    <col min="5892" max="5892" width="2.85546875" customWidth="1"/>
    <col min="5893" max="5893" width="14.140625" customWidth="1"/>
    <col min="5894" max="5894" width="15.42578125" customWidth="1"/>
    <col min="5895" max="5895" width="13.5703125" customWidth="1"/>
    <col min="5896" max="5896" width="13.85546875" customWidth="1"/>
    <col min="5897" max="5897" width="13.140625" customWidth="1"/>
    <col min="5898" max="5898" width="14.85546875" bestFit="1" customWidth="1"/>
    <col min="5899" max="5899" width="2.7109375" customWidth="1"/>
    <col min="5900" max="5900" width="8.85546875"/>
    <col min="5901" max="5901" width="10.85546875" customWidth="1"/>
    <col min="5902" max="5902" width="7.85546875" customWidth="1"/>
    <col min="5903" max="5903" width="11.28515625" customWidth="1"/>
    <col min="5904" max="6144" width="8.85546875"/>
    <col min="6145" max="6145" width="11.5703125" customWidth="1"/>
    <col min="6146" max="6146" width="17" customWidth="1"/>
    <col min="6147" max="6147" width="8.85546875"/>
    <col min="6148" max="6148" width="2.85546875" customWidth="1"/>
    <col min="6149" max="6149" width="14.140625" customWidth="1"/>
    <col min="6150" max="6150" width="15.42578125" customWidth="1"/>
    <col min="6151" max="6151" width="13.5703125" customWidth="1"/>
    <col min="6152" max="6152" width="13.85546875" customWidth="1"/>
    <col min="6153" max="6153" width="13.140625" customWidth="1"/>
    <col min="6154" max="6154" width="14.85546875" bestFit="1" customWidth="1"/>
    <col min="6155" max="6155" width="2.7109375" customWidth="1"/>
    <col min="6156" max="6156" width="8.85546875"/>
    <col min="6157" max="6157" width="10.85546875" customWidth="1"/>
    <col min="6158" max="6158" width="7.85546875" customWidth="1"/>
    <col min="6159" max="6159" width="11.28515625" customWidth="1"/>
    <col min="6160" max="6400" width="8.85546875"/>
    <col min="6401" max="6401" width="11.5703125" customWidth="1"/>
    <col min="6402" max="6402" width="17" customWidth="1"/>
    <col min="6403" max="6403" width="8.85546875"/>
    <col min="6404" max="6404" width="2.85546875" customWidth="1"/>
    <col min="6405" max="6405" width="14.140625" customWidth="1"/>
    <col min="6406" max="6406" width="15.42578125" customWidth="1"/>
    <col min="6407" max="6407" width="13.5703125" customWidth="1"/>
    <col min="6408" max="6408" width="13.85546875" customWidth="1"/>
    <col min="6409" max="6409" width="13.140625" customWidth="1"/>
    <col min="6410" max="6410" width="14.85546875" bestFit="1" customWidth="1"/>
    <col min="6411" max="6411" width="2.7109375" customWidth="1"/>
    <col min="6412" max="6412" width="8.85546875"/>
    <col min="6413" max="6413" width="10.85546875" customWidth="1"/>
    <col min="6414" max="6414" width="7.85546875" customWidth="1"/>
    <col min="6415" max="6415" width="11.28515625" customWidth="1"/>
    <col min="6416" max="6656" width="8.85546875"/>
    <col min="6657" max="6657" width="11.5703125" customWidth="1"/>
    <col min="6658" max="6658" width="17" customWidth="1"/>
    <col min="6659" max="6659" width="8.85546875"/>
    <col min="6660" max="6660" width="2.85546875" customWidth="1"/>
    <col min="6661" max="6661" width="14.140625" customWidth="1"/>
    <col min="6662" max="6662" width="15.42578125" customWidth="1"/>
    <col min="6663" max="6663" width="13.5703125" customWidth="1"/>
    <col min="6664" max="6664" width="13.85546875" customWidth="1"/>
    <col min="6665" max="6665" width="13.140625" customWidth="1"/>
    <col min="6666" max="6666" width="14.85546875" bestFit="1" customWidth="1"/>
    <col min="6667" max="6667" width="2.7109375" customWidth="1"/>
    <col min="6668" max="6668" width="8.85546875"/>
    <col min="6669" max="6669" width="10.85546875" customWidth="1"/>
    <col min="6670" max="6670" width="7.85546875" customWidth="1"/>
    <col min="6671" max="6671" width="11.28515625" customWidth="1"/>
    <col min="6672" max="6912" width="8.85546875"/>
    <col min="6913" max="6913" width="11.5703125" customWidth="1"/>
    <col min="6914" max="6914" width="17" customWidth="1"/>
    <col min="6915" max="6915" width="8.85546875"/>
    <col min="6916" max="6916" width="2.85546875" customWidth="1"/>
    <col min="6917" max="6917" width="14.140625" customWidth="1"/>
    <col min="6918" max="6918" width="15.42578125" customWidth="1"/>
    <col min="6919" max="6919" width="13.5703125" customWidth="1"/>
    <col min="6920" max="6920" width="13.85546875" customWidth="1"/>
    <col min="6921" max="6921" width="13.140625" customWidth="1"/>
    <col min="6922" max="6922" width="14.85546875" bestFit="1" customWidth="1"/>
    <col min="6923" max="6923" width="2.7109375" customWidth="1"/>
    <col min="6924" max="6924" width="8.85546875"/>
    <col min="6925" max="6925" width="10.85546875" customWidth="1"/>
    <col min="6926" max="6926" width="7.85546875" customWidth="1"/>
    <col min="6927" max="6927" width="11.28515625" customWidth="1"/>
    <col min="6928" max="7168" width="8.85546875"/>
    <col min="7169" max="7169" width="11.5703125" customWidth="1"/>
    <col min="7170" max="7170" width="17" customWidth="1"/>
    <col min="7171" max="7171" width="8.85546875"/>
    <col min="7172" max="7172" width="2.85546875" customWidth="1"/>
    <col min="7173" max="7173" width="14.140625" customWidth="1"/>
    <col min="7174" max="7174" width="15.42578125" customWidth="1"/>
    <col min="7175" max="7175" width="13.5703125" customWidth="1"/>
    <col min="7176" max="7176" width="13.85546875" customWidth="1"/>
    <col min="7177" max="7177" width="13.140625" customWidth="1"/>
    <col min="7178" max="7178" width="14.85546875" bestFit="1" customWidth="1"/>
    <col min="7179" max="7179" width="2.7109375" customWidth="1"/>
    <col min="7180" max="7180" width="8.85546875"/>
    <col min="7181" max="7181" width="10.85546875" customWidth="1"/>
    <col min="7182" max="7182" width="7.85546875" customWidth="1"/>
    <col min="7183" max="7183" width="11.28515625" customWidth="1"/>
    <col min="7184" max="7424" width="8.85546875"/>
    <col min="7425" max="7425" width="11.5703125" customWidth="1"/>
    <col min="7426" max="7426" width="17" customWidth="1"/>
    <col min="7427" max="7427" width="8.85546875"/>
    <col min="7428" max="7428" width="2.85546875" customWidth="1"/>
    <col min="7429" max="7429" width="14.140625" customWidth="1"/>
    <col min="7430" max="7430" width="15.42578125" customWidth="1"/>
    <col min="7431" max="7431" width="13.5703125" customWidth="1"/>
    <col min="7432" max="7432" width="13.85546875" customWidth="1"/>
    <col min="7433" max="7433" width="13.140625" customWidth="1"/>
    <col min="7434" max="7434" width="14.85546875" bestFit="1" customWidth="1"/>
    <col min="7435" max="7435" width="2.7109375" customWidth="1"/>
    <col min="7436" max="7436" width="8.85546875"/>
    <col min="7437" max="7437" width="10.85546875" customWidth="1"/>
    <col min="7438" max="7438" width="7.85546875" customWidth="1"/>
    <col min="7439" max="7439" width="11.28515625" customWidth="1"/>
    <col min="7440" max="7680" width="8.85546875"/>
    <col min="7681" max="7681" width="11.5703125" customWidth="1"/>
    <col min="7682" max="7682" width="17" customWidth="1"/>
    <col min="7683" max="7683" width="8.85546875"/>
    <col min="7684" max="7684" width="2.85546875" customWidth="1"/>
    <col min="7685" max="7685" width="14.140625" customWidth="1"/>
    <col min="7686" max="7686" width="15.42578125" customWidth="1"/>
    <col min="7687" max="7687" width="13.5703125" customWidth="1"/>
    <col min="7688" max="7688" width="13.85546875" customWidth="1"/>
    <col min="7689" max="7689" width="13.140625" customWidth="1"/>
    <col min="7690" max="7690" width="14.85546875" bestFit="1" customWidth="1"/>
    <col min="7691" max="7691" width="2.7109375" customWidth="1"/>
    <col min="7692" max="7692" width="8.85546875"/>
    <col min="7693" max="7693" width="10.85546875" customWidth="1"/>
    <col min="7694" max="7694" width="7.85546875" customWidth="1"/>
    <col min="7695" max="7695" width="11.28515625" customWidth="1"/>
    <col min="7696" max="7936" width="8.85546875"/>
    <col min="7937" max="7937" width="11.5703125" customWidth="1"/>
    <col min="7938" max="7938" width="17" customWidth="1"/>
    <col min="7939" max="7939" width="8.85546875"/>
    <col min="7940" max="7940" width="2.85546875" customWidth="1"/>
    <col min="7941" max="7941" width="14.140625" customWidth="1"/>
    <col min="7942" max="7942" width="15.42578125" customWidth="1"/>
    <col min="7943" max="7943" width="13.5703125" customWidth="1"/>
    <col min="7944" max="7944" width="13.85546875" customWidth="1"/>
    <col min="7945" max="7945" width="13.140625" customWidth="1"/>
    <col min="7946" max="7946" width="14.85546875" bestFit="1" customWidth="1"/>
    <col min="7947" max="7947" width="2.7109375" customWidth="1"/>
    <col min="7948" max="7948" width="8.85546875"/>
    <col min="7949" max="7949" width="10.85546875" customWidth="1"/>
    <col min="7950" max="7950" width="7.85546875" customWidth="1"/>
    <col min="7951" max="7951" width="11.28515625" customWidth="1"/>
    <col min="7952" max="8192" width="8.85546875"/>
    <col min="8193" max="8193" width="11.5703125" customWidth="1"/>
    <col min="8194" max="8194" width="17" customWidth="1"/>
    <col min="8195" max="8195" width="8.85546875"/>
    <col min="8196" max="8196" width="2.85546875" customWidth="1"/>
    <col min="8197" max="8197" width="14.140625" customWidth="1"/>
    <col min="8198" max="8198" width="15.42578125" customWidth="1"/>
    <col min="8199" max="8199" width="13.5703125" customWidth="1"/>
    <col min="8200" max="8200" width="13.85546875" customWidth="1"/>
    <col min="8201" max="8201" width="13.140625" customWidth="1"/>
    <col min="8202" max="8202" width="14.85546875" bestFit="1" customWidth="1"/>
    <col min="8203" max="8203" width="2.7109375" customWidth="1"/>
    <col min="8204" max="8204" width="8.85546875"/>
    <col min="8205" max="8205" width="10.85546875" customWidth="1"/>
    <col min="8206" max="8206" width="7.85546875" customWidth="1"/>
    <col min="8207" max="8207" width="11.28515625" customWidth="1"/>
    <col min="8208" max="8448" width="8.85546875"/>
    <col min="8449" max="8449" width="11.5703125" customWidth="1"/>
    <col min="8450" max="8450" width="17" customWidth="1"/>
    <col min="8451" max="8451" width="8.85546875"/>
    <col min="8452" max="8452" width="2.85546875" customWidth="1"/>
    <col min="8453" max="8453" width="14.140625" customWidth="1"/>
    <col min="8454" max="8454" width="15.42578125" customWidth="1"/>
    <col min="8455" max="8455" width="13.5703125" customWidth="1"/>
    <col min="8456" max="8456" width="13.85546875" customWidth="1"/>
    <col min="8457" max="8457" width="13.140625" customWidth="1"/>
    <col min="8458" max="8458" width="14.85546875" bestFit="1" customWidth="1"/>
    <col min="8459" max="8459" width="2.7109375" customWidth="1"/>
    <col min="8460" max="8460" width="8.85546875"/>
    <col min="8461" max="8461" width="10.85546875" customWidth="1"/>
    <col min="8462" max="8462" width="7.85546875" customWidth="1"/>
    <col min="8463" max="8463" width="11.28515625" customWidth="1"/>
    <col min="8464" max="8704" width="8.85546875"/>
    <col min="8705" max="8705" width="11.5703125" customWidth="1"/>
    <col min="8706" max="8706" width="17" customWidth="1"/>
    <col min="8707" max="8707" width="8.85546875"/>
    <col min="8708" max="8708" width="2.85546875" customWidth="1"/>
    <col min="8709" max="8709" width="14.140625" customWidth="1"/>
    <col min="8710" max="8710" width="15.42578125" customWidth="1"/>
    <col min="8711" max="8711" width="13.5703125" customWidth="1"/>
    <col min="8712" max="8712" width="13.85546875" customWidth="1"/>
    <col min="8713" max="8713" width="13.140625" customWidth="1"/>
    <col min="8714" max="8714" width="14.85546875" bestFit="1" customWidth="1"/>
    <col min="8715" max="8715" width="2.7109375" customWidth="1"/>
    <col min="8716" max="8716" width="8.85546875"/>
    <col min="8717" max="8717" width="10.85546875" customWidth="1"/>
    <col min="8718" max="8718" width="7.85546875" customWidth="1"/>
    <col min="8719" max="8719" width="11.28515625" customWidth="1"/>
    <col min="8720" max="8960" width="8.85546875"/>
    <col min="8961" max="8961" width="11.5703125" customWidth="1"/>
    <col min="8962" max="8962" width="17" customWidth="1"/>
    <col min="8963" max="8963" width="8.85546875"/>
    <col min="8964" max="8964" width="2.85546875" customWidth="1"/>
    <col min="8965" max="8965" width="14.140625" customWidth="1"/>
    <col min="8966" max="8966" width="15.42578125" customWidth="1"/>
    <col min="8967" max="8967" width="13.5703125" customWidth="1"/>
    <col min="8968" max="8968" width="13.85546875" customWidth="1"/>
    <col min="8969" max="8969" width="13.140625" customWidth="1"/>
    <col min="8970" max="8970" width="14.85546875" bestFit="1" customWidth="1"/>
    <col min="8971" max="8971" width="2.7109375" customWidth="1"/>
    <col min="8972" max="8972" width="8.85546875"/>
    <col min="8973" max="8973" width="10.85546875" customWidth="1"/>
    <col min="8974" max="8974" width="7.85546875" customWidth="1"/>
    <col min="8975" max="8975" width="11.28515625" customWidth="1"/>
    <col min="8976" max="9216" width="8.85546875"/>
    <col min="9217" max="9217" width="11.5703125" customWidth="1"/>
    <col min="9218" max="9218" width="17" customWidth="1"/>
    <col min="9219" max="9219" width="8.85546875"/>
    <col min="9220" max="9220" width="2.85546875" customWidth="1"/>
    <col min="9221" max="9221" width="14.140625" customWidth="1"/>
    <col min="9222" max="9222" width="15.42578125" customWidth="1"/>
    <col min="9223" max="9223" width="13.5703125" customWidth="1"/>
    <col min="9224" max="9224" width="13.85546875" customWidth="1"/>
    <col min="9225" max="9225" width="13.140625" customWidth="1"/>
    <col min="9226" max="9226" width="14.85546875" bestFit="1" customWidth="1"/>
    <col min="9227" max="9227" width="2.7109375" customWidth="1"/>
    <col min="9228" max="9228" width="8.85546875"/>
    <col min="9229" max="9229" width="10.85546875" customWidth="1"/>
    <col min="9230" max="9230" width="7.85546875" customWidth="1"/>
    <col min="9231" max="9231" width="11.28515625" customWidth="1"/>
    <col min="9232" max="9472" width="8.85546875"/>
    <col min="9473" max="9473" width="11.5703125" customWidth="1"/>
    <col min="9474" max="9474" width="17" customWidth="1"/>
    <col min="9475" max="9475" width="8.85546875"/>
    <col min="9476" max="9476" width="2.85546875" customWidth="1"/>
    <col min="9477" max="9477" width="14.140625" customWidth="1"/>
    <col min="9478" max="9478" width="15.42578125" customWidth="1"/>
    <col min="9479" max="9479" width="13.5703125" customWidth="1"/>
    <col min="9480" max="9480" width="13.85546875" customWidth="1"/>
    <col min="9481" max="9481" width="13.140625" customWidth="1"/>
    <col min="9482" max="9482" width="14.85546875" bestFit="1" customWidth="1"/>
    <col min="9483" max="9483" width="2.7109375" customWidth="1"/>
    <col min="9484" max="9484" width="8.85546875"/>
    <col min="9485" max="9485" width="10.85546875" customWidth="1"/>
    <col min="9486" max="9486" width="7.85546875" customWidth="1"/>
    <col min="9487" max="9487" width="11.28515625" customWidth="1"/>
    <col min="9488" max="9728" width="8.85546875"/>
    <col min="9729" max="9729" width="11.5703125" customWidth="1"/>
    <col min="9730" max="9730" width="17" customWidth="1"/>
    <col min="9731" max="9731" width="8.85546875"/>
    <col min="9732" max="9732" width="2.85546875" customWidth="1"/>
    <col min="9733" max="9733" width="14.140625" customWidth="1"/>
    <col min="9734" max="9734" width="15.42578125" customWidth="1"/>
    <col min="9735" max="9735" width="13.5703125" customWidth="1"/>
    <col min="9736" max="9736" width="13.85546875" customWidth="1"/>
    <col min="9737" max="9737" width="13.140625" customWidth="1"/>
    <col min="9738" max="9738" width="14.85546875" bestFit="1" customWidth="1"/>
    <col min="9739" max="9739" width="2.7109375" customWidth="1"/>
    <col min="9740" max="9740" width="8.85546875"/>
    <col min="9741" max="9741" width="10.85546875" customWidth="1"/>
    <col min="9742" max="9742" width="7.85546875" customWidth="1"/>
    <col min="9743" max="9743" width="11.28515625" customWidth="1"/>
    <col min="9744" max="9984" width="8.85546875"/>
    <col min="9985" max="9985" width="11.5703125" customWidth="1"/>
    <col min="9986" max="9986" width="17" customWidth="1"/>
    <col min="9987" max="9987" width="8.85546875"/>
    <col min="9988" max="9988" width="2.85546875" customWidth="1"/>
    <col min="9989" max="9989" width="14.140625" customWidth="1"/>
    <col min="9990" max="9990" width="15.42578125" customWidth="1"/>
    <col min="9991" max="9991" width="13.5703125" customWidth="1"/>
    <col min="9992" max="9992" width="13.85546875" customWidth="1"/>
    <col min="9993" max="9993" width="13.140625" customWidth="1"/>
    <col min="9994" max="9994" width="14.85546875" bestFit="1" customWidth="1"/>
    <col min="9995" max="9995" width="2.7109375" customWidth="1"/>
    <col min="9996" max="9996" width="8.85546875"/>
    <col min="9997" max="9997" width="10.85546875" customWidth="1"/>
    <col min="9998" max="9998" width="7.85546875" customWidth="1"/>
    <col min="9999" max="9999" width="11.28515625" customWidth="1"/>
    <col min="10000" max="10240" width="8.85546875"/>
    <col min="10241" max="10241" width="11.5703125" customWidth="1"/>
    <col min="10242" max="10242" width="17" customWidth="1"/>
    <col min="10243" max="10243" width="8.85546875"/>
    <col min="10244" max="10244" width="2.85546875" customWidth="1"/>
    <col min="10245" max="10245" width="14.140625" customWidth="1"/>
    <col min="10246" max="10246" width="15.42578125" customWidth="1"/>
    <col min="10247" max="10247" width="13.5703125" customWidth="1"/>
    <col min="10248" max="10248" width="13.85546875" customWidth="1"/>
    <col min="10249" max="10249" width="13.140625" customWidth="1"/>
    <col min="10250" max="10250" width="14.85546875" bestFit="1" customWidth="1"/>
    <col min="10251" max="10251" width="2.7109375" customWidth="1"/>
    <col min="10252" max="10252" width="8.85546875"/>
    <col min="10253" max="10253" width="10.85546875" customWidth="1"/>
    <col min="10254" max="10254" width="7.85546875" customWidth="1"/>
    <col min="10255" max="10255" width="11.28515625" customWidth="1"/>
    <col min="10256" max="10496" width="8.85546875"/>
    <col min="10497" max="10497" width="11.5703125" customWidth="1"/>
    <col min="10498" max="10498" width="17" customWidth="1"/>
    <col min="10499" max="10499" width="8.85546875"/>
    <col min="10500" max="10500" width="2.85546875" customWidth="1"/>
    <col min="10501" max="10501" width="14.140625" customWidth="1"/>
    <col min="10502" max="10502" width="15.42578125" customWidth="1"/>
    <col min="10503" max="10503" width="13.5703125" customWidth="1"/>
    <col min="10504" max="10504" width="13.85546875" customWidth="1"/>
    <col min="10505" max="10505" width="13.140625" customWidth="1"/>
    <col min="10506" max="10506" width="14.85546875" bestFit="1" customWidth="1"/>
    <col min="10507" max="10507" width="2.7109375" customWidth="1"/>
    <col min="10508" max="10508" width="8.85546875"/>
    <col min="10509" max="10509" width="10.85546875" customWidth="1"/>
    <col min="10510" max="10510" width="7.85546875" customWidth="1"/>
    <col min="10511" max="10511" width="11.28515625" customWidth="1"/>
    <col min="10512" max="10752" width="8.85546875"/>
    <col min="10753" max="10753" width="11.5703125" customWidth="1"/>
    <col min="10754" max="10754" width="17" customWidth="1"/>
    <col min="10755" max="10755" width="8.85546875"/>
    <col min="10756" max="10756" width="2.85546875" customWidth="1"/>
    <col min="10757" max="10757" width="14.140625" customWidth="1"/>
    <col min="10758" max="10758" width="15.42578125" customWidth="1"/>
    <col min="10759" max="10759" width="13.5703125" customWidth="1"/>
    <col min="10760" max="10760" width="13.85546875" customWidth="1"/>
    <col min="10761" max="10761" width="13.140625" customWidth="1"/>
    <col min="10762" max="10762" width="14.85546875" bestFit="1" customWidth="1"/>
    <col min="10763" max="10763" width="2.7109375" customWidth="1"/>
    <col min="10764" max="10764" width="8.85546875"/>
    <col min="10765" max="10765" width="10.85546875" customWidth="1"/>
    <col min="10766" max="10766" width="7.85546875" customWidth="1"/>
    <col min="10767" max="10767" width="11.28515625" customWidth="1"/>
    <col min="10768" max="11008" width="8.85546875"/>
    <col min="11009" max="11009" width="11.5703125" customWidth="1"/>
    <col min="11010" max="11010" width="17" customWidth="1"/>
    <col min="11011" max="11011" width="8.85546875"/>
    <col min="11012" max="11012" width="2.85546875" customWidth="1"/>
    <col min="11013" max="11013" width="14.140625" customWidth="1"/>
    <col min="11014" max="11014" width="15.42578125" customWidth="1"/>
    <col min="11015" max="11015" width="13.5703125" customWidth="1"/>
    <col min="11016" max="11016" width="13.85546875" customWidth="1"/>
    <col min="11017" max="11017" width="13.140625" customWidth="1"/>
    <col min="11018" max="11018" width="14.85546875" bestFit="1" customWidth="1"/>
    <col min="11019" max="11019" width="2.7109375" customWidth="1"/>
    <col min="11020" max="11020" width="8.85546875"/>
    <col min="11021" max="11021" width="10.85546875" customWidth="1"/>
    <col min="11022" max="11022" width="7.85546875" customWidth="1"/>
    <col min="11023" max="11023" width="11.28515625" customWidth="1"/>
    <col min="11024" max="11264" width="8.85546875"/>
    <col min="11265" max="11265" width="11.5703125" customWidth="1"/>
    <col min="11266" max="11266" width="17" customWidth="1"/>
    <col min="11267" max="11267" width="8.85546875"/>
    <col min="11268" max="11268" width="2.85546875" customWidth="1"/>
    <col min="11269" max="11269" width="14.140625" customWidth="1"/>
    <col min="11270" max="11270" width="15.42578125" customWidth="1"/>
    <col min="11271" max="11271" width="13.5703125" customWidth="1"/>
    <col min="11272" max="11272" width="13.85546875" customWidth="1"/>
    <col min="11273" max="11273" width="13.140625" customWidth="1"/>
    <col min="11274" max="11274" width="14.85546875" bestFit="1" customWidth="1"/>
    <col min="11275" max="11275" width="2.7109375" customWidth="1"/>
    <col min="11276" max="11276" width="8.85546875"/>
    <col min="11277" max="11277" width="10.85546875" customWidth="1"/>
    <col min="11278" max="11278" width="7.85546875" customWidth="1"/>
    <col min="11279" max="11279" width="11.28515625" customWidth="1"/>
    <col min="11280" max="11520" width="8.85546875"/>
    <col min="11521" max="11521" width="11.5703125" customWidth="1"/>
    <col min="11522" max="11522" width="17" customWidth="1"/>
    <col min="11523" max="11523" width="8.85546875"/>
    <col min="11524" max="11524" width="2.85546875" customWidth="1"/>
    <col min="11525" max="11525" width="14.140625" customWidth="1"/>
    <col min="11526" max="11526" width="15.42578125" customWidth="1"/>
    <col min="11527" max="11527" width="13.5703125" customWidth="1"/>
    <col min="11528" max="11528" width="13.85546875" customWidth="1"/>
    <col min="11529" max="11529" width="13.140625" customWidth="1"/>
    <col min="11530" max="11530" width="14.85546875" bestFit="1" customWidth="1"/>
    <col min="11531" max="11531" width="2.7109375" customWidth="1"/>
    <col min="11532" max="11532" width="8.85546875"/>
    <col min="11533" max="11533" width="10.85546875" customWidth="1"/>
    <col min="11534" max="11534" width="7.85546875" customWidth="1"/>
    <col min="11535" max="11535" width="11.28515625" customWidth="1"/>
    <col min="11536" max="11776" width="8.85546875"/>
    <col min="11777" max="11777" width="11.5703125" customWidth="1"/>
    <col min="11778" max="11778" width="17" customWidth="1"/>
    <col min="11779" max="11779" width="8.85546875"/>
    <col min="11780" max="11780" width="2.85546875" customWidth="1"/>
    <col min="11781" max="11781" width="14.140625" customWidth="1"/>
    <col min="11782" max="11782" width="15.42578125" customWidth="1"/>
    <col min="11783" max="11783" width="13.5703125" customWidth="1"/>
    <col min="11784" max="11784" width="13.85546875" customWidth="1"/>
    <col min="11785" max="11785" width="13.140625" customWidth="1"/>
    <col min="11786" max="11786" width="14.85546875" bestFit="1" customWidth="1"/>
    <col min="11787" max="11787" width="2.7109375" customWidth="1"/>
    <col min="11788" max="11788" width="8.85546875"/>
    <col min="11789" max="11789" width="10.85546875" customWidth="1"/>
    <col min="11790" max="11790" width="7.85546875" customWidth="1"/>
    <col min="11791" max="11791" width="11.28515625" customWidth="1"/>
    <col min="11792" max="12032" width="8.85546875"/>
    <col min="12033" max="12033" width="11.5703125" customWidth="1"/>
    <col min="12034" max="12034" width="17" customWidth="1"/>
    <col min="12035" max="12035" width="8.85546875"/>
    <col min="12036" max="12036" width="2.85546875" customWidth="1"/>
    <col min="12037" max="12037" width="14.140625" customWidth="1"/>
    <col min="12038" max="12038" width="15.42578125" customWidth="1"/>
    <col min="12039" max="12039" width="13.5703125" customWidth="1"/>
    <col min="12040" max="12040" width="13.85546875" customWidth="1"/>
    <col min="12041" max="12041" width="13.140625" customWidth="1"/>
    <col min="12042" max="12042" width="14.85546875" bestFit="1" customWidth="1"/>
    <col min="12043" max="12043" width="2.7109375" customWidth="1"/>
    <col min="12044" max="12044" width="8.85546875"/>
    <col min="12045" max="12045" width="10.85546875" customWidth="1"/>
    <col min="12046" max="12046" width="7.85546875" customWidth="1"/>
    <col min="12047" max="12047" width="11.28515625" customWidth="1"/>
    <col min="12048" max="12288" width="8.85546875"/>
    <col min="12289" max="12289" width="11.5703125" customWidth="1"/>
    <col min="12290" max="12290" width="17" customWidth="1"/>
    <col min="12291" max="12291" width="8.85546875"/>
    <col min="12292" max="12292" width="2.85546875" customWidth="1"/>
    <col min="12293" max="12293" width="14.140625" customWidth="1"/>
    <col min="12294" max="12294" width="15.42578125" customWidth="1"/>
    <col min="12295" max="12295" width="13.5703125" customWidth="1"/>
    <col min="12296" max="12296" width="13.85546875" customWidth="1"/>
    <col min="12297" max="12297" width="13.140625" customWidth="1"/>
    <col min="12298" max="12298" width="14.85546875" bestFit="1" customWidth="1"/>
    <col min="12299" max="12299" width="2.7109375" customWidth="1"/>
    <col min="12300" max="12300" width="8.85546875"/>
    <col min="12301" max="12301" width="10.85546875" customWidth="1"/>
    <col min="12302" max="12302" width="7.85546875" customWidth="1"/>
    <col min="12303" max="12303" width="11.28515625" customWidth="1"/>
    <col min="12304" max="12544" width="8.85546875"/>
    <col min="12545" max="12545" width="11.5703125" customWidth="1"/>
    <col min="12546" max="12546" width="17" customWidth="1"/>
    <col min="12547" max="12547" width="8.85546875"/>
    <col min="12548" max="12548" width="2.85546875" customWidth="1"/>
    <col min="12549" max="12549" width="14.140625" customWidth="1"/>
    <col min="12550" max="12550" width="15.42578125" customWidth="1"/>
    <col min="12551" max="12551" width="13.5703125" customWidth="1"/>
    <col min="12552" max="12552" width="13.85546875" customWidth="1"/>
    <col min="12553" max="12553" width="13.140625" customWidth="1"/>
    <col min="12554" max="12554" width="14.85546875" bestFit="1" customWidth="1"/>
    <col min="12555" max="12555" width="2.7109375" customWidth="1"/>
    <col min="12556" max="12556" width="8.85546875"/>
    <col min="12557" max="12557" width="10.85546875" customWidth="1"/>
    <col min="12558" max="12558" width="7.85546875" customWidth="1"/>
    <col min="12559" max="12559" width="11.28515625" customWidth="1"/>
    <col min="12560" max="12800" width="8.85546875"/>
    <col min="12801" max="12801" width="11.5703125" customWidth="1"/>
    <col min="12802" max="12802" width="17" customWidth="1"/>
    <col min="12803" max="12803" width="8.85546875"/>
    <col min="12804" max="12804" width="2.85546875" customWidth="1"/>
    <col min="12805" max="12805" width="14.140625" customWidth="1"/>
    <col min="12806" max="12806" width="15.42578125" customWidth="1"/>
    <col min="12807" max="12807" width="13.5703125" customWidth="1"/>
    <col min="12808" max="12808" width="13.85546875" customWidth="1"/>
    <col min="12809" max="12809" width="13.140625" customWidth="1"/>
    <col min="12810" max="12810" width="14.85546875" bestFit="1" customWidth="1"/>
    <col min="12811" max="12811" width="2.7109375" customWidth="1"/>
    <col min="12812" max="12812" width="8.85546875"/>
    <col min="12813" max="12813" width="10.85546875" customWidth="1"/>
    <col min="12814" max="12814" width="7.85546875" customWidth="1"/>
    <col min="12815" max="12815" width="11.28515625" customWidth="1"/>
    <col min="12816" max="13056" width="8.85546875"/>
    <col min="13057" max="13057" width="11.5703125" customWidth="1"/>
    <col min="13058" max="13058" width="17" customWidth="1"/>
    <col min="13059" max="13059" width="8.85546875"/>
    <col min="13060" max="13060" width="2.85546875" customWidth="1"/>
    <col min="13061" max="13061" width="14.140625" customWidth="1"/>
    <col min="13062" max="13062" width="15.42578125" customWidth="1"/>
    <col min="13063" max="13063" width="13.5703125" customWidth="1"/>
    <col min="13064" max="13064" width="13.85546875" customWidth="1"/>
    <col min="13065" max="13065" width="13.140625" customWidth="1"/>
    <col min="13066" max="13066" width="14.85546875" bestFit="1" customWidth="1"/>
    <col min="13067" max="13067" width="2.7109375" customWidth="1"/>
    <col min="13068" max="13068" width="8.85546875"/>
    <col min="13069" max="13069" width="10.85546875" customWidth="1"/>
    <col min="13070" max="13070" width="7.85546875" customWidth="1"/>
    <col min="13071" max="13071" width="11.28515625" customWidth="1"/>
    <col min="13072" max="13312" width="8.85546875"/>
    <col min="13313" max="13313" width="11.5703125" customWidth="1"/>
    <col min="13314" max="13314" width="17" customWidth="1"/>
    <col min="13315" max="13315" width="8.85546875"/>
    <col min="13316" max="13316" width="2.85546875" customWidth="1"/>
    <col min="13317" max="13317" width="14.140625" customWidth="1"/>
    <col min="13318" max="13318" width="15.42578125" customWidth="1"/>
    <col min="13319" max="13319" width="13.5703125" customWidth="1"/>
    <col min="13320" max="13320" width="13.85546875" customWidth="1"/>
    <col min="13321" max="13321" width="13.140625" customWidth="1"/>
    <col min="13322" max="13322" width="14.85546875" bestFit="1" customWidth="1"/>
    <col min="13323" max="13323" width="2.7109375" customWidth="1"/>
    <col min="13324" max="13324" width="8.85546875"/>
    <col min="13325" max="13325" width="10.85546875" customWidth="1"/>
    <col min="13326" max="13326" width="7.85546875" customWidth="1"/>
    <col min="13327" max="13327" width="11.28515625" customWidth="1"/>
    <col min="13328" max="13568" width="8.85546875"/>
    <col min="13569" max="13569" width="11.5703125" customWidth="1"/>
    <col min="13570" max="13570" width="17" customWidth="1"/>
    <col min="13571" max="13571" width="8.85546875"/>
    <col min="13572" max="13572" width="2.85546875" customWidth="1"/>
    <col min="13573" max="13573" width="14.140625" customWidth="1"/>
    <col min="13574" max="13574" width="15.42578125" customWidth="1"/>
    <col min="13575" max="13575" width="13.5703125" customWidth="1"/>
    <col min="13576" max="13576" width="13.85546875" customWidth="1"/>
    <col min="13577" max="13577" width="13.140625" customWidth="1"/>
    <col min="13578" max="13578" width="14.85546875" bestFit="1" customWidth="1"/>
    <col min="13579" max="13579" width="2.7109375" customWidth="1"/>
    <col min="13580" max="13580" width="8.85546875"/>
    <col min="13581" max="13581" width="10.85546875" customWidth="1"/>
    <col min="13582" max="13582" width="7.85546875" customWidth="1"/>
    <col min="13583" max="13583" width="11.28515625" customWidth="1"/>
    <col min="13584" max="13824" width="8.85546875"/>
    <col min="13825" max="13825" width="11.5703125" customWidth="1"/>
    <col min="13826" max="13826" width="17" customWidth="1"/>
    <col min="13827" max="13827" width="8.85546875"/>
    <col min="13828" max="13828" width="2.85546875" customWidth="1"/>
    <col min="13829" max="13829" width="14.140625" customWidth="1"/>
    <col min="13830" max="13830" width="15.42578125" customWidth="1"/>
    <col min="13831" max="13831" width="13.5703125" customWidth="1"/>
    <col min="13832" max="13832" width="13.85546875" customWidth="1"/>
    <col min="13833" max="13833" width="13.140625" customWidth="1"/>
    <col min="13834" max="13834" width="14.85546875" bestFit="1" customWidth="1"/>
    <col min="13835" max="13835" width="2.7109375" customWidth="1"/>
    <col min="13836" max="13836" width="8.85546875"/>
    <col min="13837" max="13837" width="10.85546875" customWidth="1"/>
    <col min="13838" max="13838" width="7.85546875" customWidth="1"/>
    <col min="13839" max="13839" width="11.28515625" customWidth="1"/>
    <col min="13840" max="14080" width="8.85546875"/>
    <col min="14081" max="14081" width="11.5703125" customWidth="1"/>
    <col min="14082" max="14082" width="17" customWidth="1"/>
    <col min="14083" max="14083" width="8.85546875"/>
    <col min="14084" max="14084" width="2.85546875" customWidth="1"/>
    <col min="14085" max="14085" width="14.140625" customWidth="1"/>
    <col min="14086" max="14086" width="15.42578125" customWidth="1"/>
    <col min="14087" max="14087" width="13.5703125" customWidth="1"/>
    <col min="14088" max="14088" width="13.85546875" customWidth="1"/>
    <col min="14089" max="14089" width="13.140625" customWidth="1"/>
    <col min="14090" max="14090" width="14.85546875" bestFit="1" customWidth="1"/>
    <col min="14091" max="14091" width="2.7109375" customWidth="1"/>
    <col min="14092" max="14092" width="8.85546875"/>
    <col min="14093" max="14093" width="10.85546875" customWidth="1"/>
    <col min="14094" max="14094" width="7.85546875" customWidth="1"/>
    <col min="14095" max="14095" width="11.28515625" customWidth="1"/>
    <col min="14096" max="14336" width="8.85546875"/>
    <col min="14337" max="14337" width="11.5703125" customWidth="1"/>
    <col min="14338" max="14338" width="17" customWidth="1"/>
    <col min="14339" max="14339" width="8.85546875"/>
    <col min="14340" max="14340" width="2.85546875" customWidth="1"/>
    <col min="14341" max="14341" width="14.140625" customWidth="1"/>
    <col min="14342" max="14342" width="15.42578125" customWidth="1"/>
    <col min="14343" max="14343" width="13.5703125" customWidth="1"/>
    <col min="14344" max="14344" width="13.85546875" customWidth="1"/>
    <col min="14345" max="14345" width="13.140625" customWidth="1"/>
    <col min="14346" max="14346" width="14.85546875" bestFit="1" customWidth="1"/>
    <col min="14347" max="14347" width="2.7109375" customWidth="1"/>
    <col min="14348" max="14348" width="8.85546875"/>
    <col min="14349" max="14349" width="10.85546875" customWidth="1"/>
    <col min="14350" max="14350" width="7.85546875" customWidth="1"/>
    <col min="14351" max="14351" width="11.28515625" customWidth="1"/>
    <col min="14352" max="14592" width="8.85546875"/>
    <col min="14593" max="14593" width="11.5703125" customWidth="1"/>
    <col min="14594" max="14594" width="17" customWidth="1"/>
    <col min="14595" max="14595" width="8.85546875"/>
    <col min="14596" max="14596" width="2.85546875" customWidth="1"/>
    <col min="14597" max="14597" width="14.140625" customWidth="1"/>
    <col min="14598" max="14598" width="15.42578125" customWidth="1"/>
    <col min="14599" max="14599" width="13.5703125" customWidth="1"/>
    <col min="14600" max="14600" width="13.85546875" customWidth="1"/>
    <col min="14601" max="14601" width="13.140625" customWidth="1"/>
    <col min="14602" max="14602" width="14.85546875" bestFit="1" customWidth="1"/>
    <col min="14603" max="14603" width="2.7109375" customWidth="1"/>
    <col min="14604" max="14604" width="8.85546875"/>
    <col min="14605" max="14605" width="10.85546875" customWidth="1"/>
    <col min="14606" max="14606" width="7.85546875" customWidth="1"/>
    <col min="14607" max="14607" width="11.28515625" customWidth="1"/>
    <col min="14608" max="14848" width="8.85546875"/>
    <col min="14849" max="14849" width="11.5703125" customWidth="1"/>
    <col min="14850" max="14850" width="17" customWidth="1"/>
    <col min="14851" max="14851" width="8.85546875"/>
    <col min="14852" max="14852" width="2.85546875" customWidth="1"/>
    <col min="14853" max="14853" width="14.140625" customWidth="1"/>
    <col min="14854" max="14854" width="15.42578125" customWidth="1"/>
    <col min="14855" max="14855" width="13.5703125" customWidth="1"/>
    <col min="14856" max="14856" width="13.85546875" customWidth="1"/>
    <col min="14857" max="14857" width="13.140625" customWidth="1"/>
    <col min="14858" max="14858" width="14.85546875" bestFit="1" customWidth="1"/>
    <col min="14859" max="14859" width="2.7109375" customWidth="1"/>
    <col min="14860" max="14860" width="8.85546875"/>
    <col min="14861" max="14861" width="10.85546875" customWidth="1"/>
    <col min="14862" max="14862" width="7.85546875" customWidth="1"/>
    <col min="14863" max="14863" width="11.28515625" customWidth="1"/>
    <col min="14864" max="15104" width="8.85546875"/>
    <col min="15105" max="15105" width="11.5703125" customWidth="1"/>
    <col min="15106" max="15106" width="17" customWidth="1"/>
    <col min="15107" max="15107" width="8.85546875"/>
    <col min="15108" max="15108" width="2.85546875" customWidth="1"/>
    <col min="15109" max="15109" width="14.140625" customWidth="1"/>
    <col min="15110" max="15110" width="15.42578125" customWidth="1"/>
    <col min="15111" max="15111" width="13.5703125" customWidth="1"/>
    <col min="15112" max="15112" width="13.85546875" customWidth="1"/>
    <col min="15113" max="15113" width="13.140625" customWidth="1"/>
    <col min="15114" max="15114" width="14.85546875" bestFit="1" customWidth="1"/>
    <col min="15115" max="15115" width="2.7109375" customWidth="1"/>
    <col min="15116" max="15116" width="8.85546875"/>
    <col min="15117" max="15117" width="10.85546875" customWidth="1"/>
    <col min="15118" max="15118" width="7.85546875" customWidth="1"/>
    <col min="15119" max="15119" width="11.28515625" customWidth="1"/>
    <col min="15120" max="15360" width="8.85546875"/>
    <col min="15361" max="15361" width="11.5703125" customWidth="1"/>
    <col min="15362" max="15362" width="17" customWidth="1"/>
    <col min="15363" max="15363" width="8.85546875"/>
    <col min="15364" max="15364" width="2.85546875" customWidth="1"/>
    <col min="15365" max="15365" width="14.140625" customWidth="1"/>
    <col min="15366" max="15366" width="15.42578125" customWidth="1"/>
    <col min="15367" max="15367" width="13.5703125" customWidth="1"/>
    <col min="15368" max="15368" width="13.85546875" customWidth="1"/>
    <col min="15369" max="15369" width="13.140625" customWidth="1"/>
    <col min="15370" max="15370" width="14.85546875" bestFit="1" customWidth="1"/>
    <col min="15371" max="15371" width="2.7109375" customWidth="1"/>
    <col min="15372" max="15372" width="8.85546875"/>
    <col min="15373" max="15373" width="10.85546875" customWidth="1"/>
    <col min="15374" max="15374" width="7.85546875" customWidth="1"/>
    <col min="15375" max="15375" width="11.28515625" customWidth="1"/>
    <col min="15376" max="15616" width="8.85546875"/>
    <col min="15617" max="15617" width="11.5703125" customWidth="1"/>
    <col min="15618" max="15618" width="17" customWidth="1"/>
    <col min="15619" max="15619" width="8.85546875"/>
    <col min="15620" max="15620" width="2.85546875" customWidth="1"/>
    <col min="15621" max="15621" width="14.140625" customWidth="1"/>
    <col min="15622" max="15622" width="15.42578125" customWidth="1"/>
    <col min="15623" max="15623" width="13.5703125" customWidth="1"/>
    <col min="15624" max="15624" width="13.85546875" customWidth="1"/>
    <col min="15625" max="15625" width="13.140625" customWidth="1"/>
    <col min="15626" max="15626" width="14.85546875" bestFit="1" customWidth="1"/>
    <col min="15627" max="15627" width="2.7109375" customWidth="1"/>
    <col min="15628" max="15628" width="8.85546875"/>
    <col min="15629" max="15629" width="10.85546875" customWidth="1"/>
    <col min="15630" max="15630" width="7.85546875" customWidth="1"/>
    <col min="15631" max="15631" width="11.28515625" customWidth="1"/>
    <col min="15632" max="15872" width="8.85546875"/>
    <col min="15873" max="15873" width="11.5703125" customWidth="1"/>
    <col min="15874" max="15874" width="17" customWidth="1"/>
    <col min="15875" max="15875" width="8.85546875"/>
    <col min="15876" max="15876" width="2.85546875" customWidth="1"/>
    <col min="15877" max="15877" width="14.140625" customWidth="1"/>
    <col min="15878" max="15878" width="15.42578125" customWidth="1"/>
    <col min="15879" max="15879" width="13.5703125" customWidth="1"/>
    <col min="15880" max="15880" width="13.85546875" customWidth="1"/>
    <col min="15881" max="15881" width="13.140625" customWidth="1"/>
    <col min="15882" max="15882" width="14.85546875" bestFit="1" customWidth="1"/>
    <col min="15883" max="15883" width="2.7109375" customWidth="1"/>
    <col min="15884" max="15884" width="8.85546875"/>
    <col min="15885" max="15885" width="10.85546875" customWidth="1"/>
    <col min="15886" max="15886" width="7.85546875" customWidth="1"/>
    <col min="15887" max="15887" width="11.28515625" customWidth="1"/>
    <col min="15888" max="16128" width="8.85546875"/>
    <col min="16129" max="16129" width="11.5703125" customWidth="1"/>
    <col min="16130" max="16130" width="17" customWidth="1"/>
    <col min="16131" max="16131" width="8.85546875"/>
    <col min="16132" max="16132" width="2.85546875" customWidth="1"/>
    <col min="16133" max="16133" width="14.140625" customWidth="1"/>
    <col min="16134" max="16134" width="15.42578125" customWidth="1"/>
    <col min="16135" max="16135" width="13.5703125" customWidth="1"/>
    <col min="16136" max="16136" width="13.85546875" customWidth="1"/>
    <col min="16137" max="16137" width="13.140625" customWidth="1"/>
    <col min="16138" max="16138" width="14.85546875" bestFit="1" customWidth="1"/>
    <col min="16139" max="16139" width="2.7109375" customWidth="1"/>
    <col min="16140" max="16140" width="8.85546875"/>
    <col min="16141" max="16141" width="10.85546875" customWidth="1"/>
    <col min="16142" max="16142" width="7.85546875" customWidth="1"/>
    <col min="16143" max="16143" width="11.28515625" customWidth="1"/>
    <col min="16144" max="16384" width="8.85546875"/>
  </cols>
  <sheetData>
    <row r="1" spans="1:9" ht="23.25" x14ac:dyDescent="0.35">
      <c r="A1" s="65" t="s">
        <v>7</v>
      </c>
    </row>
    <row r="2" spans="1:9" hidden="1" x14ac:dyDescent="0.3"/>
    <row r="3" spans="1:9" ht="15" hidden="1" x14ac:dyDescent="0.25">
      <c r="A3" s="454">
        <f>+waarderingsrapport!B17</f>
        <v>0</v>
      </c>
      <c r="B3" s="455"/>
      <c r="C3" s="455"/>
      <c r="D3" s="455"/>
      <c r="E3" s="455"/>
      <c r="F3" s="455"/>
      <c r="G3" s="455"/>
      <c r="H3" s="66"/>
      <c r="I3" s="66"/>
    </row>
    <row r="4" spans="1:9" hidden="1" x14ac:dyDescent="0.25">
      <c r="A4" s="66"/>
      <c r="B4" s="68"/>
      <c r="C4" s="70"/>
      <c r="D4" s="66"/>
      <c r="E4" s="66"/>
      <c r="F4" s="66"/>
      <c r="G4" s="349"/>
      <c r="H4" s="66"/>
      <c r="I4" s="66"/>
    </row>
    <row r="5" spans="1:9" x14ac:dyDescent="0.25">
      <c r="A5" s="66"/>
      <c r="B5" s="68"/>
      <c r="C5" s="70"/>
      <c r="D5" s="66"/>
      <c r="E5" s="66"/>
      <c r="F5" s="66"/>
      <c r="G5" s="349"/>
      <c r="H5" s="66"/>
      <c r="I5" s="66"/>
    </row>
    <row r="6" spans="1:9" ht="15.75" x14ac:dyDescent="0.25">
      <c r="B6" s="61" t="s">
        <v>8</v>
      </c>
    </row>
    <row r="7" spans="1:9" x14ac:dyDescent="0.3">
      <c r="C7" s="84" t="s">
        <v>9</v>
      </c>
    </row>
    <row r="8" spans="1:9" hidden="1" x14ac:dyDescent="0.3"/>
    <row r="9" spans="1:9" hidden="1" x14ac:dyDescent="0.3"/>
    <row r="11" spans="1:9" ht="15.75" x14ac:dyDescent="0.25">
      <c r="B11" s="61" t="s">
        <v>10</v>
      </c>
    </row>
    <row r="12" spans="1:9" x14ac:dyDescent="0.3">
      <c r="C12" s="84" t="s">
        <v>11</v>
      </c>
      <c r="G12" s="360"/>
    </row>
    <row r="13" spans="1:9" x14ac:dyDescent="0.3">
      <c r="C13" s="84" t="s">
        <v>12</v>
      </c>
    </row>
    <row r="14" spans="1:9" hidden="1" x14ac:dyDescent="0.3">
      <c r="C14" s="84" t="s">
        <v>13</v>
      </c>
    </row>
    <row r="15" spans="1:9" hidden="1" x14ac:dyDescent="0.3">
      <c r="C15" s="84" t="s">
        <v>14</v>
      </c>
    </row>
    <row r="17" spans="2:3" ht="15.75" x14ac:dyDescent="0.25">
      <c r="B17" s="61" t="s">
        <v>15</v>
      </c>
    </row>
    <row r="18" spans="2:3" hidden="1" x14ac:dyDescent="0.3">
      <c r="C18" s="69" t="s">
        <v>16</v>
      </c>
    </row>
    <row r="19" spans="2:3" x14ac:dyDescent="0.3">
      <c r="C19" s="84" t="s">
        <v>17</v>
      </c>
    </row>
    <row r="20" spans="2:3" hidden="1" x14ac:dyDescent="0.3">
      <c r="C20" s="84" t="s">
        <v>18</v>
      </c>
    </row>
    <row r="21" spans="2:3" hidden="1" x14ac:dyDescent="0.3">
      <c r="C21" s="84" t="s">
        <v>19</v>
      </c>
    </row>
    <row r="22" spans="2:3" hidden="1" x14ac:dyDescent="0.3">
      <c r="C22" s="69" t="s">
        <v>20</v>
      </c>
    </row>
    <row r="23" spans="2:3" hidden="1" x14ac:dyDescent="0.3">
      <c r="C23" s="69" t="s">
        <v>21</v>
      </c>
    </row>
    <row r="24" spans="2:3" hidden="1" x14ac:dyDescent="0.3">
      <c r="C24" s="69" t="s">
        <v>22</v>
      </c>
    </row>
    <row r="25" spans="2:3" hidden="1" x14ac:dyDescent="0.3"/>
    <row r="27" spans="2:3" ht="15.75" x14ac:dyDescent="0.25">
      <c r="B27" s="61" t="s">
        <v>23</v>
      </c>
    </row>
    <row r="28" spans="2:3" x14ac:dyDescent="0.3">
      <c r="C28" s="84" t="s">
        <v>24</v>
      </c>
    </row>
    <row r="29" spans="2:3" x14ac:dyDescent="0.3">
      <c r="C29" s="84" t="s">
        <v>25</v>
      </c>
    </row>
    <row r="30" spans="2:3" x14ac:dyDescent="0.3">
      <c r="C30" s="84" t="s">
        <v>26</v>
      </c>
    </row>
    <row r="31" spans="2:3" hidden="1" x14ac:dyDescent="0.3">
      <c r="C31" s="84" t="s">
        <v>27</v>
      </c>
    </row>
    <row r="32" spans="2:3" hidden="1" x14ac:dyDescent="0.3">
      <c r="C32" s="84" t="s">
        <v>28</v>
      </c>
    </row>
    <row r="33" spans="2:3" x14ac:dyDescent="0.3">
      <c r="C33" s="84" t="s">
        <v>29</v>
      </c>
    </row>
    <row r="34" spans="2:3" x14ac:dyDescent="0.3">
      <c r="C34" s="84" t="s">
        <v>30</v>
      </c>
    </row>
    <row r="35" spans="2:3" hidden="1" x14ac:dyDescent="0.3">
      <c r="C35" s="69" t="s">
        <v>31</v>
      </c>
    </row>
    <row r="36" spans="2:3" hidden="1" x14ac:dyDescent="0.3">
      <c r="C36" s="69" t="s">
        <v>32</v>
      </c>
    </row>
    <row r="37" spans="2:3" x14ac:dyDescent="0.3">
      <c r="C37" s="84" t="s">
        <v>33</v>
      </c>
    </row>
    <row r="38" spans="2:3" x14ac:dyDescent="0.3">
      <c r="C38" s="84"/>
    </row>
    <row r="39" spans="2:3" ht="15.75" x14ac:dyDescent="0.25">
      <c r="B39" s="61" t="s">
        <v>588</v>
      </c>
      <c r="C39" s="84"/>
    </row>
    <row r="40" spans="2:3" x14ac:dyDescent="0.3">
      <c r="C40" s="84" t="s">
        <v>34</v>
      </c>
    </row>
    <row r="42" spans="2:3" ht="15.75" x14ac:dyDescent="0.25">
      <c r="B42" s="61" t="s">
        <v>587</v>
      </c>
    </row>
    <row r="43" spans="2:3" x14ac:dyDescent="0.3">
      <c r="C43" s="354" t="s">
        <v>541</v>
      </c>
    </row>
    <row r="44" spans="2:3" x14ac:dyDescent="0.3">
      <c r="C44" s="354" t="s">
        <v>591</v>
      </c>
    </row>
    <row r="52" spans="7:7" x14ac:dyDescent="0.3">
      <c r="G52" s="327">
        <v>2</v>
      </c>
    </row>
  </sheetData>
  <mergeCells count="1">
    <mergeCell ref="A3:G3"/>
  </mergeCells>
  <hyperlinks>
    <hyperlink ref="C7" location="'ALGEMENE BEDRIJFSINFORMATIE'!A1" display="Algemene informatie" xr:uid="{00000000-0004-0000-0300-000000000000}"/>
    <hyperlink ref="C37" location="'Alternatieve methodes'!A1" display="Alternatieve waarderingsmethodes" xr:uid="{00000000-0004-0000-0300-000001000000}"/>
    <hyperlink ref="C34" location="Overwinstmethode!A1" display="Overwinstmethode" xr:uid="{00000000-0004-0000-0300-000002000000}"/>
    <hyperlink ref="C33" location="Standaardmethode!A1" display="Standaardmethode" xr:uid="{00000000-0004-0000-0300-000003000000}"/>
    <hyperlink ref="C32" location="EVA!A1" display="Economic value added" xr:uid="{00000000-0004-0000-0300-000004000000}"/>
    <hyperlink ref="C31" location="DCF!A1" display="Kasstromentabel en Discounted free cash flow" xr:uid="{00000000-0004-0000-0300-000005000000}"/>
    <hyperlink ref="C30" location="EBITDA!A1" display="EBITDA" xr:uid="{00000000-0004-0000-0300-000006000000}"/>
    <hyperlink ref="C29" location="rendement!A1" display="Algemene rendementswaarde" xr:uid="{00000000-0004-0000-0300-000007000000}"/>
    <hyperlink ref="C28" location="'Eigen vermogenswaarde'!A1" display="Eigen vermogenswaarde en substantiële waarde" xr:uid="{00000000-0004-0000-0300-000008000000}"/>
    <hyperlink ref="C40" location="'overzicht waardering'!A1" display="Overzicht waarderingsmethoden" xr:uid="{00000000-0004-0000-0300-000009000000}"/>
    <hyperlink ref="C20" location="WACC!A1" display="WACC" xr:uid="{00000000-0004-0000-0300-00000A000000}"/>
    <hyperlink ref="C21" location="Sensiviteitsanalyse!A1" display="Sensitiviteitsanalyse" xr:uid="{00000000-0004-0000-0300-00000B000000}"/>
    <hyperlink ref="C14" location="Prognose!A1" display="Prognose" xr:uid="{00000000-0004-0000-0300-00000C000000}"/>
    <hyperlink ref="C13" location="'Balans &amp; Res.rek'!A1" display="Resultatenrekening" xr:uid="{00000000-0004-0000-0300-00000D000000}"/>
    <hyperlink ref="C12" location="'Balans &amp; Res.rek'!A1" display="Balans" xr:uid="{00000000-0004-0000-0300-00000E000000}"/>
    <hyperlink ref="C19" location="basishypothesen!A1" display="Vaststelling van de basishypothesen" xr:uid="{00000000-0004-0000-0300-00000F000000}"/>
    <hyperlink ref="C15" location="DCF!A1" display="*prognose liquide middelen: DCF Methode" xr:uid="{00000000-0004-0000-0300-000010000000}"/>
  </hyperlink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&amp;LSisu BV&amp;CWaardering
&amp;R&amp;D</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9"/>
  <sheetViews>
    <sheetView view="pageLayout" topLeftCell="A66" zoomScaleNormal="100" workbookViewId="0">
      <selection activeCell="H19" sqref="H19"/>
    </sheetView>
  </sheetViews>
  <sheetFormatPr defaultRowHeight="18.75" x14ac:dyDescent="0.3"/>
  <cols>
    <col min="1" max="1" width="8.5703125" customWidth="1"/>
    <col min="2" max="2" width="5.7109375" style="67" customWidth="1"/>
    <col min="3" max="3" width="21.140625" style="69" bestFit="1" customWidth="1"/>
    <col min="4" max="4" width="18.5703125" bestFit="1" customWidth="1"/>
    <col min="5" max="6" width="8.140625" bestFit="1" customWidth="1"/>
    <col min="7" max="7" width="10.140625" bestFit="1" customWidth="1"/>
    <col min="8" max="8" width="10.28515625" bestFit="1" customWidth="1"/>
    <col min="9" max="10" width="6.42578125" customWidth="1"/>
    <col min="11" max="11" width="15.140625" customWidth="1"/>
    <col min="12" max="12" width="12.140625" customWidth="1"/>
    <col min="13" max="253" width="8.85546875"/>
    <col min="254" max="254" width="11.5703125" customWidth="1"/>
    <col min="255" max="255" width="17" customWidth="1"/>
    <col min="256" max="256" width="8.85546875"/>
    <col min="257" max="257" width="2.85546875" customWidth="1"/>
    <col min="258" max="258" width="14.140625" customWidth="1"/>
    <col min="259" max="259" width="15.42578125" customWidth="1"/>
    <col min="260" max="260" width="13.5703125" customWidth="1"/>
    <col min="261" max="261" width="13.85546875" customWidth="1"/>
    <col min="262" max="262" width="13.140625" customWidth="1"/>
    <col min="263" max="263" width="14.85546875" bestFit="1" customWidth="1"/>
    <col min="264" max="264" width="2.7109375" customWidth="1"/>
    <col min="265" max="265" width="8.85546875"/>
    <col min="266" max="266" width="10.85546875" customWidth="1"/>
    <col min="267" max="267" width="7.85546875" customWidth="1"/>
    <col min="268" max="268" width="11.28515625" customWidth="1"/>
    <col min="269" max="509" width="8.85546875"/>
    <col min="510" max="510" width="11.5703125" customWidth="1"/>
    <col min="511" max="511" width="17" customWidth="1"/>
    <col min="512" max="512" width="8.85546875"/>
    <col min="513" max="513" width="2.85546875" customWidth="1"/>
    <col min="514" max="514" width="14.140625" customWidth="1"/>
    <col min="515" max="515" width="15.42578125" customWidth="1"/>
    <col min="516" max="516" width="13.5703125" customWidth="1"/>
    <col min="517" max="517" width="13.85546875" customWidth="1"/>
    <col min="518" max="518" width="13.140625" customWidth="1"/>
    <col min="519" max="519" width="14.85546875" bestFit="1" customWidth="1"/>
    <col min="520" max="520" width="2.7109375" customWidth="1"/>
    <col min="521" max="521" width="8.85546875"/>
    <col min="522" max="522" width="10.85546875" customWidth="1"/>
    <col min="523" max="523" width="7.85546875" customWidth="1"/>
    <col min="524" max="524" width="11.28515625" customWidth="1"/>
    <col min="525" max="765" width="8.85546875"/>
    <col min="766" max="766" width="11.5703125" customWidth="1"/>
    <col min="767" max="767" width="17" customWidth="1"/>
    <col min="768" max="768" width="8.85546875"/>
    <col min="769" max="769" width="2.85546875" customWidth="1"/>
    <col min="770" max="770" width="14.140625" customWidth="1"/>
    <col min="771" max="771" width="15.42578125" customWidth="1"/>
    <col min="772" max="772" width="13.5703125" customWidth="1"/>
    <col min="773" max="773" width="13.85546875" customWidth="1"/>
    <col min="774" max="774" width="13.140625" customWidth="1"/>
    <col min="775" max="775" width="14.85546875" bestFit="1" customWidth="1"/>
    <col min="776" max="776" width="2.7109375" customWidth="1"/>
    <col min="777" max="777" width="8.85546875"/>
    <col min="778" max="778" width="10.85546875" customWidth="1"/>
    <col min="779" max="779" width="7.85546875" customWidth="1"/>
    <col min="780" max="780" width="11.28515625" customWidth="1"/>
    <col min="781" max="1021" width="8.85546875"/>
    <col min="1022" max="1022" width="11.5703125" customWidth="1"/>
    <col min="1023" max="1023" width="17" customWidth="1"/>
    <col min="1024" max="1024" width="8.85546875"/>
    <col min="1025" max="1025" width="2.85546875" customWidth="1"/>
    <col min="1026" max="1026" width="14.140625" customWidth="1"/>
    <col min="1027" max="1027" width="15.42578125" customWidth="1"/>
    <col min="1028" max="1028" width="13.5703125" customWidth="1"/>
    <col min="1029" max="1029" width="13.85546875" customWidth="1"/>
    <col min="1030" max="1030" width="13.140625" customWidth="1"/>
    <col min="1031" max="1031" width="14.85546875" bestFit="1" customWidth="1"/>
    <col min="1032" max="1032" width="2.7109375" customWidth="1"/>
    <col min="1033" max="1033" width="8.85546875"/>
    <col min="1034" max="1034" width="10.85546875" customWidth="1"/>
    <col min="1035" max="1035" width="7.85546875" customWidth="1"/>
    <col min="1036" max="1036" width="11.28515625" customWidth="1"/>
    <col min="1037" max="1277" width="8.85546875"/>
    <col min="1278" max="1278" width="11.5703125" customWidth="1"/>
    <col min="1279" max="1279" width="17" customWidth="1"/>
    <col min="1280" max="1280" width="8.85546875"/>
    <col min="1281" max="1281" width="2.85546875" customWidth="1"/>
    <col min="1282" max="1282" width="14.140625" customWidth="1"/>
    <col min="1283" max="1283" width="15.42578125" customWidth="1"/>
    <col min="1284" max="1284" width="13.5703125" customWidth="1"/>
    <col min="1285" max="1285" width="13.85546875" customWidth="1"/>
    <col min="1286" max="1286" width="13.140625" customWidth="1"/>
    <col min="1287" max="1287" width="14.85546875" bestFit="1" customWidth="1"/>
    <col min="1288" max="1288" width="2.7109375" customWidth="1"/>
    <col min="1289" max="1289" width="8.85546875"/>
    <col min="1290" max="1290" width="10.85546875" customWidth="1"/>
    <col min="1291" max="1291" width="7.85546875" customWidth="1"/>
    <col min="1292" max="1292" width="11.28515625" customWidth="1"/>
    <col min="1293" max="1533" width="8.85546875"/>
    <col min="1534" max="1534" width="11.5703125" customWidth="1"/>
    <col min="1535" max="1535" width="17" customWidth="1"/>
    <col min="1536" max="1536" width="8.85546875"/>
    <col min="1537" max="1537" width="2.85546875" customWidth="1"/>
    <col min="1538" max="1538" width="14.140625" customWidth="1"/>
    <col min="1539" max="1539" width="15.42578125" customWidth="1"/>
    <col min="1540" max="1540" width="13.5703125" customWidth="1"/>
    <col min="1541" max="1541" width="13.85546875" customWidth="1"/>
    <col min="1542" max="1542" width="13.140625" customWidth="1"/>
    <col min="1543" max="1543" width="14.85546875" bestFit="1" customWidth="1"/>
    <col min="1544" max="1544" width="2.7109375" customWidth="1"/>
    <col min="1545" max="1545" width="8.85546875"/>
    <col min="1546" max="1546" width="10.85546875" customWidth="1"/>
    <col min="1547" max="1547" width="7.85546875" customWidth="1"/>
    <col min="1548" max="1548" width="11.28515625" customWidth="1"/>
    <col min="1549" max="1789" width="8.85546875"/>
    <col min="1790" max="1790" width="11.5703125" customWidth="1"/>
    <col min="1791" max="1791" width="17" customWidth="1"/>
    <col min="1792" max="1792" width="8.85546875"/>
    <col min="1793" max="1793" width="2.85546875" customWidth="1"/>
    <col min="1794" max="1794" width="14.140625" customWidth="1"/>
    <col min="1795" max="1795" width="15.42578125" customWidth="1"/>
    <col min="1796" max="1796" width="13.5703125" customWidth="1"/>
    <col min="1797" max="1797" width="13.85546875" customWidth="1"/>
    <col min="1798" max="1798" width="13.140625" customWidth="1"/>
    <col min="1799" max="1799" width="14.85546875" bestFit="1" customWidth="1"/>
    <col min="1800" max="1800" width="2.7109375" customWidth="1"/>
    <col min="1801" max="1801" width="8.85546875"/>
    <col min="1802" max="1802" width="10.85546875" customWidth="1"/>
    <col min="1803" max="1803" width="7.85546875" customWidth="1"/>
    <col min="1804" max="1804" width="11.28515625" customWidth="1"/>
    <col min="1805" max="2045" width="8.85546875"/>
    <col min="2046" max="2046" width="11.5703125" customWidth="1"/>
    <col min="2047" max="2047" width="17" customWidth="1"/>
    <col min="2048" max="2048" width="8.85546875"/>
    <col min="2049" max="2049" width="2.85546875" customWidth="1"/>
    <col min="2050" max="2050" width="14.140625" customWidth="1"/>
    <col min="2051" max="2051" width="15.42578125" customWidth="1"/>
    <col min="2052" max="2052" width="13.5703125" customWidth="1"/>
    <col min="2053" max="2053" width="13.85546875" customWidth="1"/>
    <col min="2054" max="2054" width="13.140625" customWidth="1"/>
    <col min="2055" max="2055" width="14.85546875" bestFit="1" customWidth="1"/>
    <col min="2056" max="2056" width="2.7109375" customWidth="1"/>
    <col min="2057" max="2057" width="8.85546875"/>
    <col min="2058" max="2058" width="10.85546875" customWidth="1"/>
    <col min="2059" max="2059" width="7.85546875" customWidth="1"/>
    <col min="2060" max="2060" width="11.28515625" customWidth="1"/>
    <col min="2061" max="2301" width="8.85546875"/>
    <col min="2302" max="2302" width="11.5703125" customWidth="1"/>
    <col min="2303" max="2303" width="17" customWidth="1"/>
    <col min="2304" max="2304" width="8.85546875"/>
    <col min="2305" max="2305" width="2.85546875" customWidth="1"/>
    <col min="2306" max="2306" width="14.140625" customWidth="1"/>
    <col min="2307" max="2307" width="15.42578125" customWidth="1"/>
    <col min="2308" max="2308" width="13.5703125" customWidth="1"/>
    <col min="2309" max="2309" width="13.85546875" customWidth="1"/>
    <col min="2310" max="2310" width="13.140625" customWidth="1"/>
    <col min="2311" max="2311" width="14.85546875" bestFit="1" customWidth="1"/>
    <col min="2312" max="2312" width="2.7109375" customWidth="1"/>
    <col min="2313" max="2313" width="8.85546875"/>
    <col min="2314" max="2314" width="10.85546875" customWidth="1"/>
    <col min="2315" max="2315" width="7.85546875" customWidth="1"/>
    <col min="2316" max="2316" width="11.28515625" customWidth="1"/>
    <col min="2317" max="2557" width="8.85546875"/>
    <col min="2558" max="2558" width="11.5703125" customWidth="1"/>
    <col min="2559" max="2559" width="17" customWidth="1"/>
    <col min="2560" max="2560" width="8.85546875"/>
    <col min="2561" max="2561" width="2.85546875" customWidth="1"/>
    <col min="2562" max="2562" width="14.140625" customWidth="1"/>
    <col min="2563" max="2563" width="15.42578125" customWidth="1"/>
    <col min="2564" max="2564" width="13.5703125" customWidth="1"/>
    <col min="2565" max="2565" width="13.85546875" customWidth="1"/>
    <col min="2566" max="2566" width="13.140625" customWidth="1"/>
    <col min="2567" max="2567" width="14.85546875" bestFit="1" customWidth="1"/>
    <col min="2568" max="2568" width="2.7109375" customWidth="1"/>
    <col min="2569" max="2569" width="8.85546875"/>
    <col min="2570" max="2570" width="10.85546875" customWidth="1"/>
    <col min="2571" max="2571" width="7.85546875" customWidth="1"/>
    <col min="2572" max="2572" width="11.28515625" customWidth="1"/>
    <col min="2573" max="2813" width="8.85546875"/>
    <col min="2814" max="2814" width="11.5703125" customWidth="1"/>
    <col min="2815" max="2815" width="17" customWidth="1"/>
    <col min="2816" max="2816" width="8.85546875"/>
    <col min="2817" max="2817" width="2.85546875" customWidth="1"/>
    <col min="2818" max="2818" width="14.140625" customWidth="1"/>
    <col min="2819" max="2819" width="15.42578125" customWidth="1"/>
    <col min="2820" max="2820" width="13.5703125" customWidth="1"/>
    <col min="2821" max="2821" width="13.85546875" customWidth="1"/>
    <col min="2822" max="2822" width="13.140625" customWidth="1"/>
    <col min="2823" max="2823" width="14.85546875" bestFit="1" customWidth="1"/>
    <col min="2824" max="2824" width="2.7109375" customWidth="1"/>
    <col min="2825" max="2825" width="8.85546875"/>
    <col min="2826" max="2826" width="10.85546875" customWidth="1"/>
    <col min="2827" max="2827" width="7.85546875" customWidth="1"/>
    <col min="2828" max="2828" width="11.28515625" customWidth="1"/>
    <col min="2829" max="3069" width="8.85546875"/>
    <col min="3070" max="3070" width="11.5703125" customWidth="1"/>
    <col min="3071" max="3071" width="17" customWidth="1"/>
    <col min="3072" max="3072" width="8.85546875"/>
    <col min="3073" max="3073" width="2.85546875" customWidth="1"/>
    <col min="3074" max="3074" width="14.140625" customWidth="1"/>
    <col min="3075" max="3075" width="15.42578125" customWidth="1"/>
    <col min="3076" max="3076" width="13.5703125" customWidth="1"/>
    <col min="3077" max="3077" width="13.85546875" customWidth="1"/>
    <col min="3078" max="3078" width="13.140625" customWidth="1"/>
    <col min="3079" max="3079" width="14.85546875" bestFit="1" customWidth="1"/>
    <col min="3080" max="3080" width="2.7109375" customWidth="1"/>
    <col min="3081" max="3081" width="8.85546875"/>
    <col min="3082" max="3082" width="10.85546875" customWidth="1"/>
    <col min="3083" max="3083" width="7.85546875" customWidth="1"/>
    <col min="3084" max="3084" width="11.28515625" customWidth="1"/>
    <col min="3085" max="3325" width="8.85546875"/>
    <col min="3326" max="3326" width="11.5703125" customWidth="1"/>
    <col min="3327" max="3327" width="17" customWidth="1"/>
    <col min="3328" max="3328" width="8.85546875"/>
    <col min="3329" max="3329" width="2.85546875" customWidth="1"/>
    <col min="3330" max="3330" width="14.140625" customWidth="1"/>
    <col min="3331" max="3331" width="15.42578125" customWidth="1"/>
    <col min="3332" max="3332" width="13.5703125" customWidth="1"/>
    <col min="3333" max="3333" width="13.85546875" customWidth="1"/>
    <col min="3334" max="3334" width="13.140625" customWidth="1"/>
    <col min="3335" max="3335" width="14.85546875" bestFit="1" customWidth="1"/>
    <col min="3336" max="3336" width="2.7109375" customWidth="1"/>
    <col min="3337" max="3337" width="8.85546875"/>
    <col min="3338" max="3338" width="10.85546875" customWidth="1"/>
    <col min="3339" max="3339" width="7.85546875" customWidth="1"/>
    <col min="3340" max="3340" width="11.28515625" customWidth="1"/>
    <col min="3341" max="3581" width="8.85546875"/>
    <col min="3582" max="3582" width="11.5703125" customWidth="1"/>
    <col min="3583" max="3583" width="17" customWidth="1"/>
    <col min="3584" max="3584" width="8.85546875"/>
    <col min="3585" max="3585" width="2.85546875" customWidth="1"/>
    <col min="3586" max="3586" width="14.140625" customWidth="1"/>
    <col min="3587" max="3587" width="15.42578125" customWidth="1"/>
    <col min="3588" max="3588" width="13.5703125" customWidth="1"/>
    <col min="3589" max="3589" width="13.85546875" customWidth="1"/>
    <col min="3590" max="3590" width="13.140625" customWidth="1"/>
    <col min="3591" max="3591" width="14.85546875" bestFit="1" customWidth="1"/>
    <col min="3592" max="3592" width="2.7109375" customWidth="1"/>
    <col min="3593" max="3593" width="8.85546875"/>
    <col min="3594" max="3594" width="10.85546875" customWidth="1"/>
    <col min="3595" max="3595" width="7.85546875" customWidth="1"/>
    <col min="3596" max="3596" width="11.28515625" customWidth="1"/>
    <col min="3597" max="3837" width="8.85546875"/>
    <col min="3838" max="3838" width="11.5703125" customWidth="1"/>
    <col min="3839" max="3839" width="17" customWidth="1"/>
    <col min="3840" max="3840" width="8.85546875"/>
    <col min="3841" max="3841" width="2.85546875" customWidth="1"/>
    <col min="3842" max="3842" width="14.140625" customWidth="1"/>
    <col min="3843" max="3843" width="15.42578125" customWidth="1"/>
    <col min="3844" max="3844" width="13.5703125" customWidth="1"/>
    <col min="3845" max="3845" width="13.85546875" customWidth="1"/>
    <col min="3846" max="3846" width="13.140625" customWidth="1"/>
    <col min="3847" max="3847" width="14.85546875" bestFit="1" customWidth="1"/>
    <col min="3848" max="3848" width="2.7109375" customWidth="1"/>
    <col min="3849" max="3849" width="8.85546875"/>
    <col min="3850" max="3850" width="10.85546875" customWidth="1"/>
    <col min="3851" max="3851" width="7.85546875" customWidth="1"/>
    <col min="3852" max="3852" width="11.28515625" customWidth="1"/>
    <col min="3853" max="4093" width="8.85546875"/>
    <col min="4094" max="4094" width="11.5703125" customWidth="1"/>
    <col min="4095" max="4095" width="17" customWidth="1"/>
    <col min="4096" max="4096" width="8.85546875"/>
    <col min="4097" max="4097" width="2.85546875" customWidth="1"/>
    <col min="4098" max="4098" width="14.140625" customWidth="1"/>
    <col min="4099" max="4099" width="15.42578125" customWidth="1"/>
    <col min="4100" max="4100" width="13.5703125" customWidth="1"/>
    <col min="4101" max="4101" width="13.85546875" customWidth="1"/>
    <col min="4102" max="4102" width="13.140625" customWidth="1"/>
    <col min="4103" max="4103" width="14.85546875" bestFit="1" customWidth="1"/>
    <col min="4104" max="4104" width="2.7109375" customWidth="1"/>
    <col min="4105" max="4105" width="8.85546875"/>
    <col min="4106" max="4106" width="10.85546875" customWidth="1"/>
    <col min="4107" max="4107" width="7.85546875" customWidth="1"/>
    <col min="4108" max="4108" width="11.28515625" customWidth="1"/>
    <col min="4109" max="4349" width="8.85546875"/>
    <col min="4350" max="4350" width="11.5703125" customWidth="1"/>
    <col min="4351" max="4351" width="17" customWidth="1"/>
    <col min="4352" max="4352" width="8.85546875"/>
    <col min="4353" max="4353" width="2.85546875" customWidth="1"/>
    <col min="4354" max="4354" width="14.140625" customWidth="1"/>
    <col min="4355" max="4355" width="15.42578125" customWidth="1"/>
    <col min="4356" max="4356" width="13.5703125" customWidth="1"/>
    <col min="4357" max="4357" width="13.85546875" customWidth="1"/>
    <col min="4358" max="4358" width="13.140625" customWidth="1"/>
    <col min="4359" max="4359" width="14.85546875" bestFit="1" customWidth="1"/>
    <col min="4360" max="4360" width="2.7109375" customWidth="1"/>
    <col min="4361" max="4361" width="8.85546875"/>
    <col min="4362" max="4362" width="10.85546875" customWidth="1"/>
    <col min="4363" max="4363" width="7.85546875" customWidth="1"/>
    <col min="4364" max="4364" width="11.28515625" customWidth="1"/>
    <col min="4365" max="4605" width="8.85546875"/>
    <col min="4606" max="4606" width="11.5703125" customWidth="1"/>
    <col min="4607" max="4607" width="17" customWidth="1"/>
    <col min="4608" max="4608" width="8.85546875"/>
    <col min="4609" max="4609" width="2.85546875" customWidth="1"/>
    <col min="4610" max="4610" width="14.140625" customWidth="1"/>
    <col min="4611" max="4611" width="15.42578125" customWidth="1"/>
    <col min="4612" max="4612" width="13.5703125" customWidth="1"/>
    <col min="4613" max="4613" width="13.85546875" customWidth="1"/>
    <col min="4614" max="4614" width="13.140625" customWidth="1"/>
    <col min="4615" max="4615" width="14.85546875" bestFit="1" customWidth="1"/>
    <col min="4616" max="4616" width="2.7109375" customWidth="1"/>
    <col min="4617" max="4617" width="8.85546875"/>
    <col min="4618" max="4618" width="10.85546875" customWidth="1"/>
    <col min="4619" max="4619" width="7.85546875" customWidth="1"/>
    <col min="4620" max="4620" width="11.28515625" customWidth="1"/>
    <col min="4621" max="4861" width="8.85546875"/>
    <col min="4862" max="4862" width="11.5703125" customWidth="1"/>
    <col min="4863" max="4863" width="17" customWidth="1"/>
    <col min="4864" max="4864" width="8.85546875"/>
    <col min="4865" max="4865" width="2.85546875" customWidth="1"/>
    <col min="4866" max="4866" width="14.140625" customWidth="1"/>
    <col min="4867" max="4867" width="15.42578125" customWidth="1"/>
    <col min="4868" max="4868" width="13.5703125" customWidth="1"/>
    <col min="4869" max="4869" width="13.85546875" customWidth="1"/>
    <col min="4870" max="4870" width="13.140625" customWidth="1"/>
    <col min="4871" max="4871" width="14.85546875" bestFit="1" customWidth="1"/>
    <col min="4872" max="4872" width="2.7109375" customWidth="1"/>
    <col min="4873" max="4873" width="8.85546875"/>
    <col min="4874" max="4874" width="10.85546875" customWidth="1"/>
    <col min="4875" max="4875" width="7.85546875" customWidth="1"/>
    <col min="4876" max="4876" width="11.28515625" customWidth="1"/>
    <col min="4877" max="5117" width="8.85546875"/>
    <col min="5118" max="5118" width="11.5703125" customWidth="1"/>
    <col min="5119" max="5119" width="17" customWidth="1"/>
    <col min="5120" max="5120" width="8.85546875"/>
    <col min="5121" max="5121" width="2.85546875" customWidth="1"/>
    <col min="5122" max="5122" width="14.140625" customWidth="1"/>
    <col min="5123" max="5123" width="15.42578125" customWidth="1"/>
    <col min="5124" max="5124" width="13.5703125" customWidth="1"/>
    <col min="5125" max="5125" width="13.85546875" customWidth="1"/>
    <col min="5126" max="5126" width="13.140625" customWidth="1"/>
    <col min="5127" max="5127" width="14.85546875" bestFit="1" customWidth="1"/>
    <col min="5128" max="5128" width="2.7109375" customWidth="1"/>
    <col min="5129" max="5129" width="8.85546875"/>
    <col min="5130" max="5130" width="10.85546875" customWidth="1"/>
    <col min="5131" max="5131" width="7.85546875" customWidth="1"/>
    <col min="5132" max="5132" width="11.28515625" customWidth="1"/>
    <col min="5133" max="5373" width="8.85546875"/>
    <col min="5374" max="5374" width="11.5703125" customWidth="1"/>
    <col min="5375" max="5375" width="17" customWidth="1"/>
    <col min="5376" max="5376" width="8.85546875"/>
    <col min="5377" max="5377" width="2.85546875" customWidth="1"/>
    <col min="5378" max="5378" width="14.140625" customWidth="1"/>
    <col min="5379" max="5379" width="15.42578125" customWidth="1"/>
    <col min="5380" max="5380" width="13.5703125" customWidth="1"/>
    <col min="5381" max="5381" width="13.85546875" customWidth="1"/>
    <col min="5382" max="5382" width="13.140625" customWidth="1"/>
    <col min="5383" max="5383" width="14.85546875" bestFit="1" customWidth="1"/>
    <col min="5384" max="5384" width="2.7109375" customWidth="1"/>
    <col min="5385" max="5385" width="8.85546875"/>
    <col min="5386" max="5386" width="10.85546875" customWidth="1"/>
    <col min="5387" max="5387" width="7.85546875" customWidth="1"/>
    <col min="5388" max="5388" width="11.28515625" customWidth="1"/>
    <col min="5389" max="5629" width="8.85546875"/>
    <col min="5630" max="5630" width="11.5703125" customWidth="1"/>
    <col min="5631" max="5631" width="17" customWidth="1"/>
    <col min="5632" max="5632" width="8.85546875"/>
    <col min="5633" max="5633" width="2.85546875" customWidth="1"/>
    <col min="5634" max="5634" width="14.140625" customWidth="1"/>
    <col min="5635" max="5635" width="15.42578125" customWidth="1"/>
    <col min="5636" max="5636" width="13.5703125" customWidth="1"/>
    <col min="5637" max="5637" width="13.85546875" customWidth="1"/>
    <col min="5638" max="5638" width="13.140625" customWidth="1"/>
    <col min="5639" max="5639" width="14.85546875" bestFit="1" customWidth="1"/>
    <col min="5640" max="5640" width="2.7109375" customWidth="1"/>
    <col min="5641" max="5641" width="8.85546875"/>
    <col min="5642" max="5642" width="10.85546875" customWidth="1"/>
    <col min="5643" max="5643" width="7.85546875" customWidth="1"/>
    <col min="5644" max="5644" width="11.28515625" customWidth="1"/>
    <col min="5645" max="5885" width="8.85546875"/>
    <col min="5886" max="5886" width="11.5703125" customWidth="1"/>
    <col min="5887" max="5887" width="17" customWidth="1"/>
    <col min="5888" max="5888" width="8.85546875"/>
    <col min="5889" max="5889" width="2.85546875" customWidth="1"/>
    <col min="5890" max="5890" width="14.140625" customWidth="1"/>
    <col min="5891" max="5891" width="15.42578125" customWidth="1"/>
    <col min="5892" max="5892" width="13.5703125" customWidth="1"/>
    <col min="5893" max="5893" width="13.85546875" customWidth="1"/>
    <col min="5894" max="5894" width="13.140625" customWidth="1"/>
    <col min="5895" max="5895" width="14.85546875" bestFit="1" customWidth="1"/>
    <col min="5896" max="5896" width="2.7109375" customWidth="1"/>
    <col min="5897" max="5897" width="8.85546875"/>
    <col min="5898" max="5898" width="10.85546875" customWidth="1"/>
    <col min="5899" max="5899" width="7.85546875" customWidth="1"/>
    <col min="5900" max="5900" width="11.28515625" customWidth="1"/>
    <col min="5901" max="6141" width="8.85546875"/>
    <col min="6142" max="6142" width="11.5703125" customWidth="1"/>
    <col min="6143" max="6143" width="17" customWidth="1"/>
    <col min="6144" max="6144" width="8.85546875"/>
    <col min="6145" max="6145" width="2.85546875" customWidth="1"/>
    <col min="6146" max="6146" width="14.140625" customWidth="1"/>
    <col min="6147" max="6147" width="15.42578125" customWidth="1"/>
    <col min="6148" max="6148" width="13.5703125" customWidth="1"/>
    <col min="6149" max="6149" width="13.85546875" customWidth="1"/>
    <col min="6150" max="6150" width="13.140625" customWidth="1"/>
    <col min="6151" max="6151" width="14.85546875" bestFit="1" customWidth="1"/>
    <col min="6152" max="6152" width="2.7109375" customWidth="1"/>
    <col min="6153" max="6153" width="8.85546875"/>
    <col min="6154" max="6154" width="10.85546875" customWidth="1"/>
    <col min="6155" max="6155" width="7.85546875" customWidth="1"/>
    <col min="6156" max="6156" width="11.28515625" customWidth="1"/>
    <col min="6157" max="6397" width="8.85546875"/>
    <col min="6398" max="6398" width="11.5703125" customWidth="1"/>
    <col min="6399" max="6399" width="17" customWidth="1"/>
    <col min="6400" max="6400" width="8.85546875"/>
    <col min="6401" max="6401" width="2.85546875" customWidth="1"/>
    <col min="6402" max="6402" width="14.140625" customWidth="1"/>
    <col min="6403" max="6403" width="15.42578125" customWidth="1"/>
    <col min="6404" max="6404" width="13.5703125" customWidth="1"/>
    <col min="6405" max="6405" width="13.85546875" customWidth="1"/>
    <col min="6406" max="6406" width="13.140625" customWidth="1"/>
    <col min="6407" max="6407" width="14.85546875" bestFit="1" customWidth="1"/>
    <col min="6408" max="6408" width="2.7109375" customWidth="1"/>
    <col min="6409" max="6409" width="8.85546875"/>
    <col min="6410" max="6410" width="10.85546875" customWidth="1"/>
    <col min="6411" max="6411" width="7.85546875" customWidth="1"/>
    <col min="6412" max="6412" width="11.28515625" customWidth="1"/>
    <col min="6413" max="6653" width="8.85546875"/>
    <col min="6654" max="6654" width="11.5703125" customWidth="1"/>
    <col min="6655" max="6655" width="17" customWidth="1"/>
    <col min="6656" max="6656" width="8.85546875"/>
    <col min="6657" max="6657" width="2.85546875" customWidth="1"/>
    <col min="6658" max="6658" width="14.140625" customWidth="1"/>
    <col min="6659" max="6659" width="15.42578125" customWidth="1"/>
    <col min="6660" max="6660" width="13.5703125" customWidth="1"/>
    <col min="6661" max="6661" width="13.85546875" customWidth="1"/>
    <col min="6662" max="6662" width="13.140625" customWidth="1"/>
    <col min="6663" max="6663" width="14.85546875" bestFit="1" customWidth="1"/>
    <col min="6664" max="6664" width="2.7109375" customWidth="1"/>
    <col min="6665" max="6665" width="8.85546875"/>
    <col min="6666" max="6666" width="10.85546875" customWidth="1"/>
    <col min="6667" max="6667" width="7.85546875" customWidth="1"/>
    <col min="6668" max="6668" width="11.28515625" customWidth="1"/>
    <col min="6669" max="6909" width="8.85546875"/>
    <col min="6910" max="6910" width="11.5703125" customWidth="1"/>
    <col min="6911" max="6911" width="17" customWidth="1"/>
    <col min="6912" max="6912" width="8.85546875"/>
    <col min="6913" max="6913" width="2.85546875" customWidth="1"/>
    <col min="6914" max="6914" width="14.140625" customWidth="1"/>
    <col min="6915" max="6915" width="15.42578125" customWidth="1"/>
    <col min="6916" max="6916" width="13.5703125" customWidth="1"/>
    <col min="6917" max="6917" width="13.85546875" customWidth="1"/>
    <col min="6918" max="6918" width="13.140625" customWidth="1"/>
    <col min="6919" max="6919" width="14.85546875" bestFit="1" customWidth="1"/>
    <col min="6920" max="6920" width="2.7109375" customWidth="1"/>
    <col min="6921" max="6921" width="8.85546875"/>
    <col min="6922" max="6922" width="10.85546875" customWidth="1"/>
    <col min="6923" max="6923" width="7.85546875" customWidth="1"/>
    <col min="6924" max="6924" width="11.28515625" customWidth="1"/>
    <col min="6925" max="7165" width="8.85546875"/>
    <col min="7166" max="7166" width="11.5703125" customWidth="1"/>
    <col min="7167" max="7167" width="17" customWidth="1"/>
    <col min="7168" max="7168" width="8.85546875"/>
    <col min="7169" max="7169" width="2.85546875" customWidth="1"/>
    <col min="7170" max="7170" width="14.140625" customWidth="1"/>
    <col min="7171" max="7171" width="15.42578125" customWidth="1"/>
    <col min="7172" max="7172" width="13.5703125" customWidth="1"/>
    <col min="7173" max="7173" width="13.85546875" customWidth="1"/>
    <col min="7174" max="7174" width="13.140625" customWidth="1"/>
    <col min="7175" max="7175" width="14.85546875" bestFit="1" customWidth="1"/>
    <col min="7176" max="7176" width="2.7109375" customWidth="1"/>
    <col min="7177" max="7177" width="8.85546875"/>
    <col min="7178" max="7178" width="10.85546875" customWidth="1"/>
    <col min="7179" max="7179" width="7.85546875" customWidth="1"/>
    <col min="7180" max="7180" width="11.28515625" customWidth="1"/>
    <col min="7181" max="7421" width="8.85546875"/>
    <col min="7422" max="7422" width="11.5703125" customWidth="1"/>
    <col min="7423" max="7423" width="17" customWidth="1"/>
    <col min="7424" max="7424" width="8.85546875"/>
    <col min="7425" max="7425" width="2.85546875" customWidth="1"/>
    <col min="7426" max="7426" width="14.140625" customWidth="1"/>
    <col min="7427" max="7427" width="15.42578125" customWidth="1"/>
    <col min="7428" max="7428" width="13.5703125" customWidth="1"/>
    <col min="7429" max="7429" width="13.85546875" customWidth="1"/>
    <col min="7430" max="7430" width="13.140625" customWidth="1"/>
    <col min="7431" max="7431" width="14.85546875" bestFit="1" customWidth="1"/>
    <col min="7432" max="7432" width="2.7109375" customWidth="1"/>
    <col min="7433" max="7433" width="8.85546875"/>
    <col min="7434" max="7434" width="10.85546875" customWidth="1"/>
    <col min="7435" max="7435" width="7.85546875" customWidth="1"/>
    <col min="7436" max="7436" width="11.28515625" customWidth="1"/>
    <col min="7437" max="7677" width="8.85546875"/>
    <col min="7678" max="7678" width="11.5703125" customWidth="1"/>
    <col min="7679" max="7679" width="17" customWidth="1"/>
    <col min="7680" max="7680" width="8.85546875"/>
    <col min="7681" max="7681" width="2.85546875" customWidth="1"/>
    <col min="7682" max="7682" width="14.140625" customWidth="1"/>
    <col min="7683" max="7683" width="15.42578125" customWidth="1"/>
    <col min="7684" max="7684" width="13.5703125" customWidth="1"/>
    <col min="7685" max="7685" width="13.85546875" customWidth="1"/>
    <col min="7686" max="7686" width="13.140625" customWidth="1"/>
    <col min="7687" max="7687" width="14.85546875" bestFit="1" customWidth="1"/>
    <col min="7688" max="7688" width="2.7109375" customWidth="1"/>
    <col min="7689" max="7689" width="8.85546875"/>
    <col min="7690" max="7690" width="10.85546875" customWidth="1"/>
    <col min="7691" max="7691" width="7.85546875" customWidth="1"/>
    <col min="7692" max="7692" width="11.28515625" customWidth="1"/>
    <col min="7693" max="7933" width="8.85546875"/>
    <col min="7934" max="7934" width="11.5703125" customWidth="1"/>
    <col min="7935" max="7935" width="17" customWidth="1"/>
    <col min="7936" max="7936" width="8.85546875"/>
    <col min="7937" max="7937" width="2.85546875" customWidth="1"/>
    <col min="7938" max="7938" width="14.140625" customWidth="1"/>
    <col min="7939" max="7939" width="15.42578125" customWidth="1"/>
    <col min="7940" max="7940" width="13.5703125" customWidth="1"/>
    <col min="7941" max="7941" width="13.85546875" customWidth="1"/>
    <col min="7942" max="7942" width="13.140625" customWidth="1"/>
    <col min="7943" max="7943" width="14.85546875" bestFit="1" customWidth="1"/>
    <col min="7944" max="7944" width="2.7109375" customWidth="1"/>
    <col min="7945" max="7945" width="8.85546875"/>
    <col min="7946" max="7946" width="10.85546875" customWidth="1"/>
    <col min="7947" max="7947" width="7.85546875" customWidth="1"/>
    <col min="7948" max="7948" width="11.28515625" customWidth="1"/>
    <col min="7949" max="8189" width="8.85546875"/>
    <col min="8190" max="8190" width="11.5703125" customWidth="1"/>
    <col min="8191" max="8191" width="17" customWidth="1"/>
    <col min="8192" max="8192" width="8.85546875"/>
    <col min="8193" max="8193" width="2.85546875" customWidth="1"/>
    <col min="8194" max="8194" width="14.140625" customWidth="1"/>
    <col min="8195" max="8195" width="15.42578125" customWidth="1"/>
    <col min="8196" max="8196" width="13.5703125" customWidth="1"/>
    <col min="8197" max="8197" width="13.85546875" customWidth="1"/>
    <col min="8198" max="8198" width="13.140625" customWidth="1"/>
    <col min="8199" max="8199" width="14.85546875" bestFit="1" customWidth="1"/>
    <col min="8200" max="8200" width="2.7109375" customWidth="1"/>
    <col min="8201" max="8201" width="8.85546875"/>
    <col min="8202" max="8202" width="10.85546875" customWidth="1"/>
    <col min="8203" max="8203" width="7.85546875" customWidth="1"/>
    <col min="8204" max="8204" width="11.28515625" customWidth="1"/>
    <col min="8205" max="8445" width="8.85546875"/>
    <col min="8446" max="8446" width="11.5703125" customWidth="1"/>
    <col min="8447" max="8447" width="17" customWidth="1"/>
    <col min="8448" max="8448" width="8.85546875"/>
    <col min="8449" max="8449" width="2.85546875" customWidth="1"/>
    <col min="8450" max="8450" width="14.140625" customWidth="1"/>
    <col min="8451" max="8451" width="15.42578125" customWidth="1"/>
    <col min="8452" max="8452" width="13.5703125" customWidth="1"/>
    <col min="8453" max="8453" width="13.85546875" customWidth="1"/>
    <col min="8454" max="8454" width="13.140625" customWidth="1"/>
    <col min="8455" max="8455" width="14.85546875" bestFit="1" customWidth="1"/>
    <col min="8456" max="8456" width="2.7109375" customWidth="1"/>
    <col min="8457" max="8457" width="8.85546875"/>
    <col min="8458" max="8458" width="10.85546875" customWidth="1"/>
    <col min="8459" max="8459" width="7.85546875" customWidth="1"/>
    <col min="8460" max="8460" width="11.28515625" customWidth="1"/>
    <col min="8461" max="8701" width="8.85546875"/>
    <col min="8702" max="8702" width="11.5703125" customWidth="1"/>
    <col min="8703" max="8703" width="17" customWidth="1"/>
    <col min="8704" max="8704" width="8.85546875"/>
    <col min="8705" max="8705" width="2.85546875" customWidth="1"/>
    <col min="8706" max="8706" width="14.140625" customWidth="1"/>
    <col min="8707" max="8707" width="15.42578125" customWidth="1"/>
    <col min="8708" max="8708" width="13.5703125" customWidth="1"/>
    <col min="8709" max="8709" width="13.85546875" customWidth="1"/>
    <col min="8710" max="8710" width="13.140625" customWidth="1"/>
    <col min="8711" max="8711" width="14.85546875" bestFit="1" customWidth="1"/>
    <col min="8712" max="8712" width="2.7109375" customWidth="1"/>
    <col min="8713" max="8713" width="8.85546875"/>
    <col min="8714" max="8714" width="10.85546875" customWidth="1"/>
    <col min="8715" max="8715" width="7.85546875" customWidth="1"/>
    <col min="8716" max="8716" width="11.28515625" customWidth="1"/>
    <col min="8717" max="8957" width="8.85546875"/>
    <col min="8958" max="8958" width="11.5703125" customWidth="1"/>
    <col min="8959" max="8959" width="17" customWidth="1"/>
    <col min="8960" max="8960" width="8.85546875"/>
    <col min="8961" max="8961" width="2.85546875" customWidth="1"/>
    <col min="8962" max="8962" width="14.140625" customWidth="1"/>
    <col min="8963" max="8963" width="15.42578125" customWidth="1"/>
    <col min="8964" max="8964" width="13.5703125" customWidth="1"/>
    <col min="8965" max="8965" width="13.85546875" customWidth="1"/>
    <col min="8966" max="8966" width="13.140625" customWidth="1"/>
    <col min="8967" max="8967" width="14.85546875" bestFit="1" customWidth="1"/>
    <col min="8968" max="8968" width="2.7109375" customWidth="1"/>
    <col min="8969" max="8969" width="8.85546875"/>
    <col min="8970" max="8970" width="10.85546875" customWidth="1"/>
    <col min="8971" max="8971" width="7.85546875" customWidth="1"/>
    <col min="8972" max="8972" width="11.28515625" customWidth="1"/>
    <col min="8973" max="9213" width="8.85546875"/>
    <col min="9214" max="9214" width="11.5703125" customWidth="1"/>
    <col min="9215" max="9215" width="17" customWidth="1"/>
    <col min="9216" max="9216" width="8.85546875"/>
    <col min="9217" max="9217" width="2.85546875" customWidth="1"/>
    <col min="9218" max="9218" width="14.140625" customWidth="1"/>
    <col min="9219" max="9219" width="15.42578125" customWidth="1"/>
    <col min="9220" max="9220" width="13.5703125" customWidth="1"/>
    <col min="9221" max="9221" width="13.85546875" customWidth="1"/>
    <col min="9222" max="9222" width="13.140625" customWidth="1"/>
    <col min="9223" max="9223" width="14.85546875" bestFit="1" customWidth="1"/>
    <col min="9224" max="9224" width="2.7109375" customWidth="1"/>
    <col min="9225" max="9225" width="8.85546875"/>
    <col min="9226" max="9226" width="10.85546875" customWidth="1"/>
    <col min="9227" max="9227" width="7.85546875" customWidth="1"/>
    <col min="9228" max="9228" width="11.28515625" customWidth="1"/>
    <col min="9229" max="9469" width="8.85546875"/>
    <col min="9470" max="9470" width="11.5703125" customWidth="1"/>
    <col min="9471" max="9471" width="17" customWidth="1"/>
    <col min="9472" max="9472" width="8.85546875"/>
    <col min="9473" max="9473" width="2.85546875" customWidth="1"/>
    <col min="9474" max="9474" width="14.140625" customWidth="1"/>
    <col min="9475" max="9475" width="15.42578125" customWidth="1"/>
    <col min="9476" max="9476" width="13.5703125" customWidth="1"/>
    <col min="9477" max="9477" width="13.85546875" customWidth="1"/>
    <col min="9478" max="9478" width="13.140625" customWidth="1"/>
    <col min="9479" max="9479" width="14.85546875" bestFit="1" customWidth="1"/>
    <col min="9480" max="9480" width="2.7109375" customWidth="1"/>
    <col min="9481" max="9481" width="8.85546875"/>
    <col min="9482" max="9482" width="10.85546875" customWidth="1"/>
    <col min="9483" max="9483" width="7.85546875" customWidth="1"/>
    <col min="9484" max="9484" width="11.28515625" customWidth="1"/>
    <col min="9485" max="9725" width="8.85546875"/>
    <col min="9726" max="9726" width="11.5703125" customWidth="1"/>
    <col min="9727" max="9727" width="17" customWidth="1"/>
    <col min="9728" max="9728" width="8.85546875"/>
    <col min="9729" max="9729" width="2.85546875" customWidth="1"/>
    <col min="9730" max="9730" width="14.140625" customWidth="1"/>
    <col min="9731" max="9731" width="15.42578125" customWidth="1"/>
    <col min="9732" max="9732" width="13.5703125" customWidth="1"/>
    <col min="9733" max="9733" width="13.85546875" customWidth="1"/>
    <col min="9734" max="9734" width="13.140625" customWidth="1"/>
    <col min="9735" max="9735" width="14.85546875" bestFit="1" customWidth="1"/>
    <col min="9736" max="9736" width="2.7109375" customWidth="1"/>
    <col min="9737" max="9737" width="8.85546875"/>
    <col min="9738" max="9738" width="10.85546875" customWidth="1"/>
    <col min="9739" max="9739" width="7.85546875" customWidth="1"/>
    <col min="9740" max="9740" width="11.28515625" customWidth="1"/>
    <col min="9741" max="9981" width="8.85546875"/>
    <col min="9982" max="9982" width="11.5703125" customWidth="1"/>
    <col min="9983" max="9983" width="17" customWidth="1"/>
    <col min="9984" max="9984" width="8.85546875"/>
    <col min="9985" max="9985" width="2.85546875" customWidth="1"/>
    <col min="9986" max="9986" width="14.140625" customWidth="1"/>
    <col min="9987" max="9987" width="15.42578125" customWidth="1"/>
    <col min="9988" max="9988" width="13.5703125" customWidth="1"/>
    <col min="9989" max="9989" width="13.85546875" customWidth="1"/>
    <col min="9990" max="9990" width="13.140625" customWidth="1"/>
    <col min="9991" max="9991" width="14.85546875" bestFit="1" customWidth="1"/>
    <col min="9992" max="9992" width="2.7109375" customWidth="1"/>
    <col min="9993" max="9993" width="8.85546875"/>
    <col min="9994" max="9994" width="10.85546875" customWidth="1"/>
    <col min="9995" max="9995" width="7.85546875" customWidth="1"/>
    <col min="9996" max="9996" width="11.28515625" customWidth="1"/>
    <col min="9997" max="10237" width="8.85546875"/>
    <col min="10238" max="10238" width="11.5703125" customWidth="1"/>
    <col min="10239" max="10239" width="17" customWidth="1"/>
    <col min="10240" max="10240" width="8.85546875"/>
    <col min="10241" max="10241" width="2.85546875" customWidth="1"/>
    <col min="10242" max="10242" width="14.140625" customWidth="1"/>
    <col min="10243" max="10243" width="15.42578125" customWidth="1"/>
    <col min="10244" max="10244" width="13.5703125" customWidth="1"/>
    <col min="10245" max="10245" width="13.85546875" customWidth="1"/>
    <col min="10246" max="10246" width="13.140625" customWidth="1"/>
    <col min="10247" max="10247" width="14.85546875" bestFit="1" customWidth="1"/>
    <col min="10248" max="10248" width="2.7109375" customWidth="1"/>
    <col min="10249" max="10249" width="8.85546875"/>
    <col min="10250" max="10250" width="10.85546875" customWidth="1"/>
    <col min="10251" max="10251" width="7.85546875" customWidth="1"/>
    <col min="10252" max="10252" width="11.28515625" customWidth="1"/>
    <col min="10253" max="10493" width="8.85546875"/>
    <col min="10494" max="10494" width="11.5703125" customWidth="1"/>
    <col min="10495" max="10495" width="17" customWidth="1"/>
    <col min="10496" max="10496" width="8.85546875"/>
    <col min="10497" max="10497" width="2.85546875" customWidth="1"/>
    <col min="10498" max="10498" width="14.140625" customWidth="1"/>
    <col min="10499" max="10499" width="15.42578125" customWidth="1"/>
    <col min="10500" max="10500" width="13.5703125" customWidth="1"/>
    <col min="10501" max="10501" width="13.85546875" customWidth="1"/>
    <col min="10502" max="10502" width="13.140625" customWidth="1"/>
    <col min="10503" max="10503" width="14.85546875" bestFit="1" customWidth="1"/>
    <col min="10504" max="10504" width="2.7109375" customWidth="1"/>
    <col min="10505" max="10505" width="8.85546875"/>
    <col min="10506" max="10506" width="10.85546875" customWidth="1"/>
    <col min="10507" max="10507" width="7.85546875" customWidth="1"/>
    <col min="10508" max="10508" width="11.28515625" customWidth="1"/>
    <col min="10509" max="10749" width="8.85546875"/>
    <col min="10750" max="10750" width="11.5703125" customWidth="1"/>
    <col min="10751" max="10751" width="17" customWidth="1"/>
    <col min="10752" max="10752" width="8.85546875"/>
    <col min="10753" max="10753" width="2.85546875" customWidth="1"/>
    <col min="10754" max="10754" width="14.140625" customWidth="1"/>
    <col min="10755" max="10755" width="15.42578125" customWidth="1"/>
    <col min="10756" max="10756" width="13.5703125" customWidth="1"/>
    <col min="10757" max="10757" width="13.85546875" customWidth="1"/>
    <col min="10758" max="10758" width="13.140625" customWidth="1"/>
    <col min="10759" max="10759" width="14.85546875" bestFit="1" customWidth="1"/>
    <col min="10760" max="10760" width="2.7109375" customWidth="1"/>
    <col min="10761" max="10761" width="8.85546875"/>
    <col min="10762" max="10762" width="10.85546875" customWidth="1"/>
    <col min="10763" max="10763" width="7.85546875" customWidth="1"/>
    <col min="10764" max="10764" width="11.28515625" customWidth="1"/>
    <col min="10765" max="11005" width="8.85546875"/>
    <col min="11006" max="11006" width="11.5703125" customWidth="1"/>
    <col min="11007" max="11007" width="17" customWidth="1"/>
    <col min="11008" max="11008" width="8.85546875"/>
    <col min="11009" max="11009" width="2.85546875" customWidth="1"/>
    <col min="11010" max="11010" width="14.140625" customWidth="1"/>
    <col min="11011" max="11011" width="15.42578125" customWidth="1"/>
    <col min="11012" max="11012" width="13.5703125" customWidth="1"/>
    <col min="11013" max="11013" width="13.85546875" customWidth="1"/>
    <col min="11014" max="11014" width="13.140625" customWidth="1"/>
    <col min="11015" max="11015" width="14.85546875" bestFit="1" customWidth="1"/>
    <col min="11016" max="11016" width="2.7109375" customWidth="1"/>
    <col min="11017" max="11017" width="8.85546875"/>
    <col min="11018" max="11018" width="10.85546875" customWidth="1"/>
    <col min="11019" max="11019" width="7.85546875" customWidth="1"/>
    <col min="11020" max="11020" width="11.28515625" customWidth="1"/>
    <col min="11021" max="11261" width="8.85546875"/>
    <col min="11262" max="11262" width="11.5703125" customWidth="1"/>
    <col min="11263" max="11263" width="17" customWidth="1"/>
    <col min="11264" max="11264" width="8.85546875"/>
    <col min="11265" max="11265" width="2.85546875" customWidth="1"/>
    <col min="11266" max="11266" width="14.140625" customWidth="1"/>
    <col min="11267" max="11267" width="15.42578125" customWidth="1"/>
    <col min="11268" max="11268" width="13.5703125" customWidth="1"/>
    <col min="11269" max="11269" width="13.85546875" customWidth="1"/>
    <col min="11270" max="11270" width="13.140625" customWidth="1"/>
    <col min="11271" max="11271" width="14.85546875" bestFit="1" customWidth="1"/>
    <col min="11272" max="11272" width="2.7109375" customWidth="1"/>
    <col min="11273" max="11273" width="8.85546875"/>
    <col min="11274" max="11274" width="10.85546875" customWidth="1"/>
    <col min="11275" max="11275" width="7.85546875" customWidth="1"/>
    <col min="11276" max="11276" width="11.28515625" customWidth="1"/>
    <col min="11277" max="11517" width="8.85546875"/>
    <col min="11518" max="11518" width="11.5703125" customWidth="1"/>
    <col min="11519" max="11519" width="17" customWidth="1"/>
    <col min="11520" max="11520" width="8.85546875"/>
    <col min="11521" max="11521" width="2.85546875" customWidth="1"/>
    <col min="11522" max="11522" width="14.140625" customWidth="1"/>
    <col min="11523" max="11523" width="15.42578125" customWidth="1"/>
    <col min="11524" max="11524" width="13.5703125" customWidth="1"/>
    <col min="11525" max="11525" width="13.85546875" customWidth="1"/>
    <col min="11526" max="11526" width="13.140625" customWidth="1"/>
    <col min="11527" max="11527" width="14.85546875" bestFit="1" customWidth="1"/>
    <col min="11528" max="11528" width="2.7109375" customWidth="1"/>
    <col min="11529" max="11529" width="8.85546875"/>
    <col min="11530" max="11530" width="10.85546875" customWidth="1"/>
    <col min="11531" max="11531" width="7.85546875" customWidth="1"/>
    <col min="11532" max="11532" width="11.28515625" customWidth="1"/>
    <col min="11533" max="11773" width="8.85546875"/>
    <col min="11774" max="11774" width="11.5703125" customWidth="1"/>
    <col min="11775" max="11775" width="17" customWidth="1"/>
    <col min="11776" max="11776" width="8.85546875"/>
    <col min="11777" max="11777" width="2.85546875" customWidth="1"/>
    <col min="11778" max="11778" width="14.140625" customWidth="1"/>
    <col min="11779" max="11779" width="15.42578125" customWidth="1"/>
    <col min="11780" max="11780" width="13.5703125" customWidth="1"/>
    <col min="11781" max="11781" width="13.85546875" customWidth="1"/>
    <col min="11782" max="11782" width="13.140625" customWidth="1"/>
    <col min="11783" max="11783" width="14.85546875" bestFit="1" customWidth="1"/>
    <col min="11784" max="11784" width="2.7109375" customWidth="1"/>
    <col min="11785" max="11785" width="8.85546875"/>
    <col min="11786" max="11786" width="10.85546875" customWidth="1"/>
    <col min="11787" max="11787" width="7.85546875" customWidth="1"/>
    <col min="11788" max="11788" width="11.28515625" customWidth="1"/>
    <col min="11789" max="12029" width="8.85546875"/>
    <col min="12030" max="12030" width="11.5703125" customWidth="1"/>
    <col min="12031" max="12031" width="17" customWidth="1"/>
    <col min="12032" max="12032" width="8.85546875"/>
    <col min="12033" max="12033" width="2.85546875" customWidth="1"/>
    <col min="12034" max="12034" width="14.140625" customWidth="1"/>
    <col min="12035" max="12035" width="15.42578125" customWidth="1"/>
    <col min="12036" max="12036" width="13.5703125" customWidth="1"/>
    <col min="12037" max="12037" width="13.85546875" customWidth="1"/>
    <col min="12038" max="12038" width="13.140625" customWidth="1"/>
    <col min="12039" max="12039" width="14.85546875" bestFit="1" customWidth="1"/>
    <col min="12040" max="12040" width="2.7109375" customWidth="1"/>
    <col min="12041" max="12041" width="8.85546875"/>
    <col min="12042" max="12042" width="10.85546875" customWidth="1"/>
    <col min="12043" max="12043" width="7.85546875" customWidth="1"/>
    <col min="12044" max="12044" width="11.28515625" customWidth="1"/>
    <col min="12045" max="12285" width="8.85546875"/>
    <col min="12286" max="12286" width="11.5703125" customWidth="1"/>
    <col min="12287" max="12287" width="17" customWidth="1"/>
    <col min="12288" max="12288" width="8.85546875"/>
    <col min="12289" max="12289" width="2.85546875" customWidth="1"/>
    <col min="12290" max="12290" width="14.140625" customWidth="1"/>
    <col min="12291" max="12291" width="15.42578125" customWidth="1"/>
    <col min="12292" max="12292" width="13.5703125" customWidth="1"/>
    <col min="12293" max="12293" width="13.85546875" customWidth="1"/>
    <col min="12294" max="12294" width="13.140625" customWidth="1"/>
    <col min="12295" max="12295" width="14.85546875" bestFit="1" customWidth="1"/>
    <col min="12296" max="12296" width="2.7109375" customWidth="1"/>
    <col min="12297" max="12297" width="8.85546875"/>
    <col min="12298" max="12298" width="10.85546875" customWidth="1"/>
    <col min="12299" max="12299" width="7.85546875" customWidth="1"/>
    <col min="12300" max="12300" width="11.28515625" customWidth="1"/>
    <col min="12301" max="12541" width="8.85546875"/>
    <col min="12542" max="12542" width="11.5703125" customWidth="1"/>
    <col min="12543" max="12543" width="17" customWidth="1"/>
    <col min="12544" max="12544" width="8.85546875"/>
    <col min="12545" max="12545" width="2.85546875" customWidth="1"/>
    <col min="12546" max="12546" width="14.140625" customWidth="1"/>
    <col min="12547" max="12547" width="15.42578125" customWidth="1"/>
    <col min="12548" max="12548" width="13.5703125" customWidth="1"/>
    <col min="12549" max="12549" width="13.85546875" customWidth="1"/>
    <col min="12550" max="12550" width="13.140625" customWidth="1"/>
    <col min="12551" max="12551" width="14.85546875" bestFit="1" customWidth="1"/>
    <col min="12552" max="12552" width="2.7109375" customWidth="1"/>
    <col min="12553" max="12553" width="8.85546875"/>
    <col min="12554" max="12554" width="10.85546875" customWidth="1"/>
    <col min="12555" max="12555" width="7.85546875" customWidth="1"/>
    <col min="12556" max="12556" width="11.28515625" customWidth="1"/>
    <col min="12557" max="12797" width="8.85546875"/>
    <col min="12798" max="12798" width="11.5703125" customWidth="1"/>
    <col min="12799" max="12799" width="17" customWidth="1"/>
    <col min="12800" max="12800" width="8.85546875"/>
    <col min="12801" max="12801" width="2.85546875" customWidth="1"/>
    <col min="12802" max="12802" width="14.140625" customWidth="1"/>
    <col min="12803" max="12803" width="15.42578125" customWidth="1"/>
    <col min="12804" max="12804" width="13.5703125" customWidth="1"/>
    <col min="12805" max="12805" width="13.85546875" customWidth="1"/>
    <col min="12806" max="12806" width="13.140625" customWidth="1"/>
    <col min="12807" max="12807" width="14.85546875" bestFit="1" customWidth="1"/>
    <col min="12808" max="12808" width="2.7109375" customWidth="1"/>
    <col min="12809" max="12809" width="8.85546875"/>
    <col min="12810" max="12810" width="10.85546875" customWidth="1"/>
    <col min="12811" max="12811" width="7.85546875" customWidth="1"/>
    <col min="12812" max="12812" width="11.28515625" customWidth="1"/>
    <col min="12813" max="13053" width="8.85546875"/>
    <col min="13054" max="13054" width="11.5703125" customWidth="1"/>
    <col min="13055" max="13055" width="17" customWidth="1"/>
    <col min="13056" max="13056" width="8.85546875"/>
    <col min="13057" max="13057" width="2.85546875" customWidth="1"/>
    <col min="13058" max="13058" width="14.140625" customWidth="1"/>
    <col min="13059" max="13059" width="15.42578125" customWidth="1"/>
    <col min="13060" max="13060" width="13.5703125" customWidth="1"/>
    <col min="13061" max="13061" width="13.85546875" customWidth="1"/>
    <col min="13062" max="13062" width="13.140625" customWidth="1"/>
    <col min="13063" max="13063" width="14.85546875" bestFit="1" customWidth="1"/>
    <col min="13064" max="13064" width="2.7109375" customWidth="1"/>
    <col min="13065" max="13065" width="8.85546875"/>
    <col min="13066" max="13066" width="10.85546875" customWidth="1"/>
    <col min="13067" max="13067" width="7.85546875" customWidth="1"/>
    <col min="13068" max="13068" width="11.28515625" customWidth="1"/>
    <col min="13069" max="13309" width="8.85546875"/>
    <col min="13310" max="13310" width="11.5703125" customWidth="1"/>
    <col min="13311" max="13311" width="17" customWidth="1"/>
    <col min="13312" max="13312" width="8.85546875"/>
    <col min="13313" max="13313" width="2.85546875" customWidth="1"/>
    <col min="13314" max="13314" width="14.140625" customWidth="1"/>
    <col min="13315" max="13315" width="15.42578125" customWidth="1"/>
    <col min="13316" max="13316" width="13.5703125" customWidth="1"/>
    <col min="13317" max="13317" width="13.85546875" customWidth="1"/>
    <col min="13318" max="13318" width="13.140625" customWidth="1"/>
    <col min="13319" max="13319" width="14.85546875" bestFit="1" customWidth="1"/>
    <col min="13320" max="13320" width="2.7109375" customWidth="1"/>
    <col min="13321" max="13321" width="8.85546875"/>
    <col min="13322" max="13322" width="10.85546875" customWidth="1"/>
    <col min="13323" max="13323" width="7.85546875" customWidth="1"/>
    <col min="13324" max="13324" width="11.28515625" customWidth="1"/>
    <col min="13325" max="13565" width="8.85546875"/>
    <col min="13566" max="13566" width="11.5703125" customWidth="1"/>
    <col min="13567" max="13567" width="17" customWidth="1"/>
    <col min="13568" max="13568" width="8.85546875"/>
    <col min="13569" max="13569" width="2.85546875" customWidth="1"/>
    <col min="13570" max="13570" width="14.140625" customWidth="1"/>
    <col min="13571" max="13571" width="15.42578125" customWidth="1"/>
    <col min="13572" max="13572" width="13.5703125" customWidth="1"/>
    <col min="13573" max="13573" width="13.85546875" customWidth="1"/>
    <col min="13574" max="13574" width="13.140625" customWidth="1"/>
    <col min="13575" max="13575" width="14.85546875" bestFit="1" customWidth="1"/>
    <col min="13576" max="13576" width="2.7109375" customWidth="1"/>
    <col min="13577" max="13577" width="8.85546875"/>
    <col min="13578" max="13578" width="10.85546875" customWidth="1"/>
    <col min="13579" max="13579" width="7.85546875" customWidth="1"/>
    <col min="13580" max="13580" width="11.28515625" customWidth="1"/>
    <col min="13581" max="13821" width="8.85546875"/>
    <col min="13822" max="13822" width="11.5703125" customWidth="1"/>
    <col min="13823" max="13823" width="17" customWidth="1"/>
    <col min="13824" max="13824" width="8.85546875"/>
    <col min="13825" max="13825" width="2.85546875" customWidth="1"/>
    <col min="13826" max="13826" width="14.140625" customWidth="1"/>
    <col min="13827" max="13827" width="15.42578125" customWidth="1"/>
    <col min="13828" max="13828" width="13.5703125" customWidth="1"/>
    <col min="13829" max="13829" width="13.85546875" customWidth="1"/>
    <col min="13830" max="13830" width="13.140625" customWidth="1"/>
    <col min="13831" max="13831" width="14.85546875" bestFit="1" customWidth="1"/>
    <col min="13832" max="13832" width="2.7109375" customWidth="1"/>
    <col min="13833" max="13833" width="8.85546875"/>
    <col min="13834" max="13834" width="10.85546875" customWidth="1"/>
    <col min="13835" max="13835" width="7.85546875" customWidth="1"/>
    <col min="13836" max="13836" width="11.28515625" customWidth="1"/>
    <col min="13837" max="14077" width="8.85546875"/>
    <col min="14078" max="14078" width="11.5703125" customWidth="1"/>
    <col min="14079" max="14079" width="17" customWidth="1"/>
    <col min="14080" max="14080" width="8.85546875"/>
    <col min="14081" max="14081" width="2.85546875" customWidth="1"/>
    <col min="14082" max="14082" width="14.140625" customWidth="1"/>
    <col min="14083" max="14083" width="15.42578125" customWidth="1"/>
    <col min="14084" max="14084" width="13.5703125" customWidth="1"/>
    <col min="14085" max="14085" width="13.85546875" customWidth="1"/>
    <col min="14086" max="14086" width="13.140625" customWidth="1"/>
    <col min="14087" max="14087" width="14.85546875" bestFit="1" customWidth="1"/>
    <col min="14088" max="14088" width="2.7109375" customWidth="1"/>
    <col min="14089" max="14089" width="8.85546875"/>
    <col min="14090" max="14090" width="10.85546875" customWidth="1"/>
    <col min="14091" max="14091" width="7.85546875" customWidth="1"/>
    <col min="14092" max="14092" width="11.28515625" customWidth="1"/>
    <col min="14093" max="14333" width="8.85546875"/>
    <col min="14334" max="14334" width="11.5703125" customWidth="1"/>
    <col min="14335" max="14335" width="17" customWidth="1"/>
    <col min="14336" max="14336" width="8.85546875"/>
    <col min="14337" max="14337" width="2.85546875" customWidth="1"/>
    <col min="14338" max="14338" width="14.140625" customWidth="1"/>
    <col min="14339" max="14339" width="15.42578125" customWidth="1"/>
    <col min="14340" max="14340" width="13.5703125" customWidth="1"/>
    <col min="14341" max="14341" width="13.85546875" customWidth="1"/>
    <col min="14342" max="14342" width="13.140625" customWidth="1"/>
    <col min="14343" max="14343" width="14.85546875" bestFit="1" customWidth="1"/>
    <col min="14344" max="14344" width="2.7109375" customWidth="1"/>
    <col min="14345" max="14345" width="8.85546875"/>
    <col min="14346" max="14346" width="10.85546875" customWidth="1"/>
    <col min="14347" max="14347" width="7.85546875" customWidth="1"/>
    <col min="14348" max="14348" width="11.28515625" customWidth="1"/>
    <col min="14349" max="14589" width="8.85546875"/>
    <col min="14590" max="14590" width="11.5703125" customWidth="1"/>
    <col min="14591" max="14591" width="17" customWidth="1"/>
    <col min="14592" max="14592" width="8.85546875"/>
    <col min="14593" max="14593" width="2.85546875" customWidth="1"/>
    <col min="14594" max="14594" width="14.140625" customWidth="1"/>
    <col min="14595" max="14595" width="15.42578125" customWidth="1"/>
    <col min="14596" max="14596" width="13.5703125" customWidth="1"/>
    <col min="14597" max="14597" width="13.85546875" customWidth="1"/>
    <col min="14598" max="14598" width="13.140625" customWidth="1"/>
    <col min="14599" max="14599" width="14.85546875" bestFit="1" customWidth="1"/>
    <col min="14600" max="14600" width="2.7109375" customWidth="1"/>
    <col min="14601" max="14601" width="8.85546875"/>
    <col min="14602" max="14602" width="10.85546875" customWidth="1"/>
    <col min="14603" max="14603" width="7.85546875" customWidth="1"/>
    <col min="14604" max="14604" width="11.28515625" customWidth="1"/>
    <col min="14605" max="14845" width="8.85546875"/>
    <col min="14846" max="14846" width="11.5703125" customWidth="1"/>
    <col min="14847" max="14847" width="17" customWidth="1"/>
    <col min="14848" max="14848" width="8.85546875"/>
    <col min="14849" max="14849" width="2.85546875" customWidth="1"/>
    <col min="14850" max="14850" width="14.140625" customWidth="1"/>
    <col min="14851" max="14851" width="15.42578125" customWidth="1"/>
    <col min="14852" max="14852" width="13.5703125" customWidth="1"/>
    <col min="14853" max="14853" width="13.85546875" customWidth="1"/>
    <col min="14854" max="14854" width="13.140625" customWidth="1"/>
    <col min="14855" max="14855" width="14.85546875" bestFit="1" customWidth="1"/>
    <col min="14856" max="14856" width="2.7109375" customWidth="1"/>
    <col min="14857" max="14857" width="8.85546875"/>
    <col min="14858" max="14858" width="10.85546875" customWidth="1"/>
    <col min="14859" max="14859" width="7.85546875" customWidth="1"/>
    <col min="14860" max="14860" width="11.28515625" customWidth="1"/>
    <col min="14861" max="15101" width="8.85546875"/>
    <col min="15102" max="15102" width="11.5703125" customWidth="1"/>
    <col min="15103" max="15103" width="17" customWidth="1"/>
    <col min="15104" max="15104" width="8.85546875"/>
    <col min="15105" max="15105" width="2.85546875" customWidth="1"/>
    <col min="15106" max="15106" width="14.140625" customWidth="1"/>
    <col min="15107" max="15107" width="15.42578125" customWidth="1"/>
    <col min="15108" max="15108" width="13.5703125" customWidth="1"/>
    <col min="15109" max="15109" width="13.85546875" customWidth="1"/>
    <col min="15110" max="15110" width="13.140625" customWidth="1"/>
    <col min="15111" max="15111" width="14.85546875" bestFit="1" customWidth="1"/>
    <col min="15112" max="15112" width="2.7109375" customWidth="1"/>
    <col min="15113" max="15113" width="8.85546875"/>
    <col min="15114" max="15114" width="10.85546875" customWidth="1"/>
    <col min="15115" max="15115" width="7.85546875" customWidth="1"/>
    <col min="15116" max="15116" width="11.28515625" customWidth="1"/>
    <col min="15117" max="15357" width="8.85546875"/>
    <col min="15358" max="15358" width="11.5703125" customWidth="1"/>
    <col min="15359" max="15359" width="17" customWidth="1"/>
    <col min="15360" max="15360" width="8.85546875"/>
    <col min="15361" max="15361" width="2.85546875" customWidth="1"/>
    <col min="15362" max="15362" width="14.140625" customWidth="1"/>
    <col min="15363" max="15363" width="15.42578125" customWidth="1"/>
    <col min="15364" max="15364" width="13.5703125" customWidth="1"/>
    <col min="15365" max="15365" width="13.85546875" customWidth="1"/>
    <col min="15366" max="15366" width="13.140625" customWidth="1"/>
    <col min="15367" max="15367" width="14.85546875" bestFit="1" customWidth="1"/>
    <col min="15368" max="15368" width="2.7109375" customWidth="1"/>
    <col min="15369" max="15369" width="8.85546875"/>
    <col min="15370" max="15370" width="10.85546875" customWidth="1"/>
    <col min="15371" max="15371" width="7.85546875" customWidth="1"/>
    <col min="15372" max="15372" width="11.28515625" customWidth="1"/>
    <col min="15373" max="15613" width="8.85546875"/>
    <col min="15614" max="15614" width="11.5703125" customWidth="1"/>
    <col min="15615" max="15615" width="17" customWidth="1"/>
    <col min="15616" max="15616" width="8.85546875"/>
    <col min="15617" max="15617" width="2.85546875" customWidth="1"/>
    <col min="15618" max="15618" width="14.140625" customWidth="1"/>
    <col min="15619" max="15619" width="15.42578125" customWidth="1"/>
    <col min="15620" max="15620" width="13.5703125" customWidth="1"/>
    <col min="15621" max="15621" width="13.85546875" customWidth="1"/>
    <col min="15622" max="15622" width="13.140625" customWidth="1"/>
    <col min="15623" max="15623" width="14.85546875" bestFit="1" customWidth="1"/>
    <col min="15624" max="15624" width="2.7109375" customWidth="1"/>
    <col min="15625" max="15625" width="8.85546875"/>
    <col min="15626" max="15626" width="10.85546875" customWidth="1"/>
    <col min="15627" max="15627" width="7.85546875" customWidth="1"/>
    <col min="15628" max="15628" width="11.28515625" customWidth="1"/>
    <col min="15629" max="15869" width="8.85546875"/>
    <col min="15870" max="15870" width="11.5703125" customWidth="1"/>
    <col min="15871" max="15871" width="17" customWidth="1"/>
    <col min="15872" max="15872" width="8.85546875"/>
    <col min="15873" max="15873" width="2.85546875" customWidth="1"/>
    <col min="15874" max="15874" width="14.140625" customWidth="1"/>
    <col min="15875" max="15875" width="15.42578125" customWidth="1"/>
    <col min="15876" max="15876" width="13.5703125" customWidth="1"/>
    <col min="15877" max="15877" width="13.85546875" customWidth="1"/>
    <col min="15878" max="15878" width="13.140625" customWidth="1"/>
    <col min="15879" max="15879" width="14.85546875" bestFit="1" customWidth="1"/>
    <col min="15880" max="15880" width="2.7109375" customWidth="1"/>
    <col min="15881" max="15881" width="8.85546875"/>
    <col min="15882" max="15882" width="10.85546875" customWidth="1"/>
    <col min="15883" max="15883" width="7.85546875" customWidth="1"/>
    <col min="15884" max="15884" width="11.28515625" customWidth="1"/>
    <col min="15885" max="16125" width="8.85546875"/>
    <col min="16126" max="16126" width="11.5703125" customWidth="1"/>
    <col min="16127" max="16127" width="17" customWidth="1"/>
    <col min="16128" max="16128" width="8.85546875"/>
    <col min="16129" max="16129" width="2.85546875" customWidth="1"/>
    <col min="16130" max="16130" width="14.140625" customWidth="1"/>
    <col min="16131" max="16131" width="15.42578125" customWidth="1"/>
    <col min="16132" max="16132" width="13.5703125" customWidth="1"/>
    <col min="16133" max="16133" width="13.85546875" customWidth="1"/>
    <col min="16134" max="16134" width="13.140625" customWidth="1"/>
    <col min="16135" max="16135" width="14.85546875" bestFit="1" customWidth="1"/>
    <col min="16136" max="16136" width="2.7109375" customWidth="1"/>
    <col min="16137" max="16137" width="8.85546875"/>
    <col min="16138" max="16138" width="10.85546875" customWidth="1"/>
    <col min="16139" max="16139" width="7.85546875" customWidth="1"/>
    <col min="16140" max="16140" width="11.28515625" customWidth="1"/>
    <col min="16141" max="16384" width="8.85546875"/>
  </cols>
  <sheetData>
    <row r="1" spans="1:8" ht="23.25" x14ac:dyDescent="0.35">
      <c r="A1" s="65" t="s">
        <v>9</v>
      </c>
    </row>
    <row r="2" spans="1:8" hidden="1" x14ac:dyDescent="0.3"/>
    <row r="3" spans="1:8" ht="15" hidden="1" x14ac:dyDescent="0.25">
      <c r="A3" s="454">
        <f>+waarderingsrapport!B17</f>
        <v>0</v>
      </c>
      <c r="B3" s="455"/>
      <c r="C3" s="455"/>
      <c r="D3" s="66"/>
      <c r="E3" s="66"/>
      <c r="F3" s="66"/>
    </row>
    <row r="4" spans="1:8" x14ac:dyDescent="0.25">
      <c r="A4" s="66"/>
      <c r="B4" s="68"/>
      <c r="C4" s="70"/>
      <c r="D4" s="66"/>
      <c r="E4" s="66"/>
      <c r="F4" s="66"/>
    </row>
    <row r="5" spans="1:8" x14ac:dyDescent="0.25">
      <c r="A5" s="240" t="s">
        <v>35</v>
      </c>
      <c r="B5" s="74"/>
      <c r="C5" s="75"/>
      <c r="D5" s="76"/>
      <c r="E5" s="76"/>
      <c r="F5" s="76"/>
      <c r="G5" s="77"/>
      <c r="H5" s="77"/>
    </row>
    <row r="6" spans="1:8" ht="15.75" x14ac:dyDescent="0.25">
      <c r="B6"/>
    </row>
    <row r="7" spans="1:8" ht="15" x14ac:dyDescent="0.25">
      <c r="A7" s="457" t="s">
        <v>562</v>
      </c>
      <c r="B7" s="457"/>
      <c r="C7" s="457"/>
    </row>
    <row r="8" spans="1:8" ht="15" x14ac:dyDescent="0.25">
      <c r="A8" s="457" t="s">
        <v>563</v>
      </c>
      <c r="B8" s="457"/>
      <c r="C8" s="457"/>
    </row>
    <row r="9" spans="1:8" ht="15" x14ac:dyDescent="0.25">
      <c r="A9" s="448" t="s">
        <v>564</v>
      </c>
      <c r="B9" s="448"/>
      <c r="C9" s="448"/>
      <c r="D9" s="448"/>
      <c r="E9" s="448"/>
      <c r="F9" s="448"/>
      <c r="G9" s="448"/>
    </row>
    <row r="10" spans="1:8" ht="15" x14ac:dyDescent="0.25">
      <c r="A10" s="448"/>
      <c r="B10" s="448"/>
      <c r="C10" s="448"/>
      <c r="D10" s="448"/>
      <c r="E10" s="448"/>
      <c r="F10" s="448"/>
      <c r="G10" s="448"/>
    </row>
    <row r="11" spans="1:8" ht="15" x14ac:dyDescent="0.25">
      <c r="B11"/>
      <c r="C11"/>
    </row>
    <row r="12" spans="1:8" ht="15" x14ac:dyDescent="0.25">
      <c r="B12"/>
      <c r="C12"/>
    </row>
    <row r="13" spans="1:8" ht="15" x14ac:dyDescent="0.25">
      <c r="A13" t="s">
        <v>36</v>
      </c>
      <c r="B13"/>
      <c r="C13"/>
      <c r="D13" s="383">
        <v>785430774</v>
      </c>
    </row>
    <row r="14" spans="1:8" ht="15" x14ac:dyDescent="0.25">
      <c r="A14" t="s">
        <v>37</v>
      </c>
      <c r="B14"/>
      <c r="C14"/>
      <c r="D14" t="s">
        <v>565</v>
      </c>
    </row>
    <row r="15" spans="1:8" ht="15" x14ac:dyDescent="0.25">
      <c r="B15"/>
      <c r="C15"/>
    </row>
    <row r="17" spans="1:8" x14ac:dyDescent="0.3">
      <c r="A17" s="240" t="s">
        <v>38</v>
      </c>
      <c r="B17" s="73"/>
      <c r="C17" s="78"/>
      <c r="D17" s="77"/>
      <c r="E17" s="77"/>
      <c r="F17" s="77"/>
      <c r="G17" s="77"/>
      <c r="H17" s="77"/>
    </row>
    <row r="18" spans="1:8" x14ac:dyDescent="0.3">
      <c r="A18" s="80"/>
      <c r="B18" s="80"/>
      <c r="C18" s="81"/>
      <c r="D18" s="24"/>
      <c r="E18" s="24"/>
      <c r="F18" s="24"/>
      <c r="G18" s="24"/>
      <c r="H18" s="24"/>
    </row>
    <row r="19" spans="1:8" ht="30" customHeight="1" x14ac:dyDescent="0.25">
      <c r="A19" s="445" t="s">
        <v>39</v>
      </c>
      <c r="B19" s="446"/>
      <c r="C19" s="445" t="s">
        <v>40</v>
      </c>
      <c r="D19" s="445" t="s">
        <v>41</v>
      </c>
      <c r="E19" s="445" t="s">
        <v>42</v>
      </c>
      <c r="F19" s="445" t="s">
        <v>42</v>
      </c>
      <c r="G19" s="445" t="s">
        <v>580</v>
      </c>
      <c r="H19" s="445" t="s">
        <v>581</v>
      </c>
    </row>
    <row r="20" spans="1:8" ht="15" x14ac:dyDescent="0.25">
      <c r="A20" s="83">
        <v>1</v>
      </c>
      <c r="B20"/>
      <c r="C20" t="s">
        <v>567</v>
      </c>
      <c r="D20" s="83" t="s">
        <v>572</v>
      </c>
      <c r="E20" s="134">
        <f>G20/G50</f>
        <v>0.66666666666666663</v>
      </c>
      <c r="F20" s="134"/>
      <c r="G20" s="83">
        <v>4000</v>
      </c>
    </row>
    <row r="21" spans="1:8" ht="15" x14ac:dyDescent="0.25">
      <c r="A21" s="83"/>
      <c r="B21"/>
      <c r="C21"/>
      <c r="D21" s="83" t="s">
        <v>573</v>
      </c>
      <c r="E21" s="133"/>
      <c r="F21" s="133">
        <f>H21/H50</f>
        <v>0.47499999999999998</v>
      </c>
      <c r="G21" s="83" t="s">
        <v>582</v>
      </c>
      <c r="H21">
        <v>1900</v>
      </c>
    </row>
    <row r="22" spans="1:8" ht="15" x14ac:dyDescent="0.25">
      <c r="B22"/>
      <c r="C22" s="157" t="s">
        <v>568</v>
      </c>
    </row>
    <row r="23" spans="1:8" ht="15" x14ac:dyDescent="0.25">
      <c r="B23"/>
      <c r="C23" s="157" t="s">
        <v>569</v>
      </c>
      <c r="D23" s="83"/>
      <c r="E23" s="83"/>
      <c r="F23" s="83"/>
      <c r="G23" s="83"/>
    </row>
    <row r="24" spans="1:8" ht="15" x14ac:dyDescent="0.25">
      <c r="B24"/>
      <c r="C24"/>
      <c r="D24" s="83"/>
      <c r="E24" s="83"/>
      <c r="F24" s="83"/>
      <c r="G24" s="83"/>
    </row>
    <row r="25" spans="1:8" ht="15" x14ac:dyDescent="0.25">
      <c r="A25" s="166" t="s">
        <v>39</v>
      </c>
      <c r="B25" s="83"/>
      <c r="C25" s="166" t="s">
        <v>40</v>
      </c>
      <c r="D25" s="166" t="s">
        <v>44</v>
      </c>
      <c r="E25" s="166" t="s">
        <v>42</v>
      </c>
      <c r="F25" s="166" t="s">
        <v>42</v>
      </c>
      <c r="G25" s="166" t="s">
        <v>43</v>
      </c>
    </row>
    <row r="26" spans="1:8" ht="15" x14ac:dyDescent="0.25">
      <c r="A26" s="83">
        <v>2</v>
      </c>
      <c r="B26"/>
      <c r="C26" t="s">
        <v>570</v>
      </c>
      <c r="D26" s="83" t="s">
        <v>574</v>
      </c>
      <c r="E26" s="79">
        <f>G26/G50</f>
        <v>0.33333333333333331</v>
      </c>
      <c r="F26" s="79"/>
      <c r="G26" s="83">
        <v>2000</v>
      </c>
    </row>
    <row r="27" spans="1:8" ht="15" x14ac:dyDescent="0.25">
      <c r="B27"/>
      <c r="C27" s="184" t="s">
        <v>571</v>
      </c>
      <c r="D27" s="83"/>
      <c r="E27" s="83"/>
      <c r="F27" s="83"/>
      <c r="G27" s="83" t="s">
        <v>583</v>
      </c>
    </row>
    <row r="28" spans="1:8" ht="15" x14ac:dyDescent="0.25">
      <c r="B28"/>
      <c r="C28"/>
      <c r="D28" s="83"/>
      <c r="E28" s="83"/>
      <c r="F28" s="83"/>
      <c r="G28" s="83"/>
    </row>
    <row r="29" spans="1:8" ht="15" x14ac:dyDescent="0.25">
      <c r="B29"/>
      <c r="C29"/>
      <c r="D29" s="83"/>
      <c r="E29" s="83"/>
      <c r="F29" s="83"/>
      <c r="G29" s="83"/>
    </row>
    <row r="30" spans="1:8" ht="15" x14ac:dyDescent="0.25">
      <c r="A30" s="166" t="s">
        <v>39</v>
      </c>
      <c r="B30" s="83"/>
      <c r="C30" s="166" t="s">
        <v>40</v>
      </c>
      <c r="D30" s="166" t="s">
        <v>44</v>
      </c>
      <c r="E30" s="166" t="s">
        <v>42</v>
      </c>
      <c r="F30" s="166" t="s">
        <v>42</v>
      </c>
      <c r="G30" s="166" t="s">
        <v>43</v>
      </c>
    </row>
    <row r="31" spans="1:8" ht="15" x14ac:dyDescent="0.25">
      <c r="A31" s="83">
        <v>3</v>
      </c>
      <c r="B31"/>
      <c r="C31" t="s">
        <v>575</v>
      </c>
      <c r="D31" s="83" t="s">
        <v>576</v>
      </c>
      <c r="E31" s="79"/>
      <c r="F31" s="79">
        <f>H31/H50</f>
        <v>0.25</v>
      </c>
      <c r="G31" s="83"/>
      <c r="H31">
        <v>1000</v>
      </c>
    </row>
    <row r="32" spans="1:8" ht="15" x14ac:dyDescent="0.25">
      <c r="B32"/>
      <c r="C32"/>
      <c r="D32" s="83"/>
      <c r="E32" s="83"/>
      <c r="F32" s="83"/>
      <c r="G32" s="83"/>
    </row>
    <row r="33" spans="1:8" ht="15" x14ac:dyDescent="0.25">
      <c r="B33"/>
      <c r="C33"/>
      <c r="D33" s="83"/>
      <c r="E33" s="83"/>
      <c r="F33" s="83"/>
      <c r="G33" s="83"/>
    </row>
    <row r="34" spans="1:8" ht="15" x14ac:dyDescent="0.25">
      <c r="B34"/>
      <c r="C34"/>
      <c r="D34" s="83"/>
      <c r="E34" s="83"/>
      <c r="F34" s="83"/>
      <c r="G34" s="83"/>
    </row>
    <row r="35" spans="1:8" ht="15" x14ac:dyDescent="0.25">
      <c r="A35" s="166" t="s">
        <v>39</v>
      </c>
      <c r="B35" s="83"/>
      <c r="C35" s="166" t="s">
        <v>40</v>
      </c>
      <c r="D35" s="166" t="s">
        <v>44</v>
      </c>
      <c r="E35" s="166" t="s">
        <v>42</v>
      </c>
      <c r="F35" s="166" t="s">
        <v>42</v>
      </c>
      <c r="G35" s="166" t="s">
        <v>43</v>
      </c>
    </row>
    <row r="36" spans="1:8" ht="15" x14ac:dyDescent="0.25">
      <c r="A36" s="83">
        <v>4</v>
      </c>
      <c r="B36"/>
      <c r="C36" t="s">
        <v>577</v>
      </c>
      <c r="D36" s="83" t="s">
        <v>576</v>
      </c>
      <c r="E36" s="79"/>
      <c r="F36" s="79">
        <f>H36/H50</f>
        <v>0.25</v>
      </c>
      <c r="G36" s="83"/>
      <c r="H36">
        <v>1000</v>
      </c>
    </row>
    <row r="37" spans="1:8" ht="15" x14ac:dyDescent="0.25">
      <c r="B37"/>
      <c r="C37"/>
      <c r="D37" s="83"/>
      <c r="E37" s="83"/>
      <c r="F37" s="83"/>
      <c r="G37" s="83"/>
    </row>
    <row r="38" spans="1:8" ht="15" x14ac:dyDescent="0.25">
      <c r="B38"/>
      <c r="C38"/>
      <c r="D38" s="83"/>
      <c r="E38" s="83"/>
      <c r="F38" s="83"/>
      <c r="G38" s="83"/>
    </row>
    <row r="39" spans="1:8" ht="15" x14ac:dyDescent="0.25">
      <c r="B39"/>
      <c r="C39"/>
      <c r="D39" s="83"/>
      <c r="E39" s="83"/>
      <c r="F39" s="83"/>
      <c r="G39" s="83"/>
    </row>
    <row r="40" spans="1:8" ht="15" x14ac:dyDescent="0.25">
      <c r="A40" s="166" t="s">
        <v>39</v>
      </c>
      <c r="B40" s="83"/>
      <c r="C40" s="166" t="s">
        <v>40</v>
      </c>
      <c r="D40" s="166" t="s">
        <v>44</v>
      </c>
      <c r="E40" s="166" t="s">
        <v>42</v>
      </c>
      <c r="F40" s="166" t="s">
        <v>42</v>
      </c>
      <c r="G40" s="166" t="s">
        <v>43</v>
      </c>
    </row>
    <row r="41" spans="1:8" ht="15" x14ac:dyDescent="0.25">
      <c r="A41" s="83">
        <v>5</v>
      </c>
      <c r="B41"/>
      <c r="C41" t="s">
        <v>578</v>
      </c>
      <c r="D41" s="83" t="s">
        <v>579</v>
      </c>
      <c r="E41" s="79"/>
      <c r="F41" s="79">
        <f>H41/H50</f>
        <v>2.5000000000000001E-2</v>
      </c>
      <c r="G41" s="83"/>
      <c r="H41">
        <v>100</v>
      </c>
    </row>
    <row r="42" spans="1:8" ht="15" x14ac:dyDescent="0.25">
      <c r="B42"/>
      <c r="C42"/>
      <c r="D42" s="83"/>
      <c r="E42" s="83"/>
      <c r="F42" s="83"/>
      <c r="G42" s="83"/>
    </row>
    <row r="43" spans="1:8" ht="15" hidden="1" x14ac:dyDescent="0.25">
      <c r="B43"/>
      <c r="C43"/>
    </row>
    <row r="44" spans="1:8" ht="15" hidden="1" x14ac:dyDescent="0.25">
      <c r="B44"/>
      <c r="C44"/>
    </row>
    <row r="45" spans="1:8" ht="15" hidden="1" x14ac:dyDescent="0.25">
      <c r="A45" s="166" t="s">
        <v>39</v>
      </c>
      <c r="B45" s="83"/>
      <c r="C45" s="166" t="s">
        <v>40</v>
      </c>
      <c r="D45" s="166" t="s">
        <v>44</v>
      </c>
      <c r="E45" s="166" t="s">
        <v>42</v>
      </c>
      <c r="F45" s="166" t="s">
        <v>42</v>
      </c>
      <c r="G45" s="166" t="s">
        <v>43</v>
      </c>
    </row>
    <row r="46" spans="1:8" ht="15" hidden="1" x14ac:dyDescent="0.25">
      <c r="A46" s="83">
        <v>6</v>
      </c>
      <c r="B46"/>
      <c r="C46"/>
      <c r="D46" s="83"/>
      <c r="E46" s="79"/>
      <c r="F46" s="79"/>
      <c r="G46" s="83"/>
    </row>
    <row r="47" spans="1:8" ht="15" hidden="1" x14ac:dyDescent="0.25">
      <c r="B47"/>
      <c r="C47"/>
      <c r="D47" s="83"/>
      <c r="E47" s="83"/>
      <c r="F47" s="83"/>
      <c r="G47" s="83"/>
    </row>
    <row r="48" spans="1:8" ht="15" hidden="1" x14ac:dyDescent="0.25">
      <c r="B48"/>
      <c r="C48"/>
    </row>
    <row r="49" spans="1:8" ht="15" hidden="1" x14ac:dyDescent="0.25">
      <c r="B49"/>
      <c r="C49"/>
    </row>
    <row r="50" spans="1:8" ht="15" x14ac:dyDescent="0.25">
      <c r="B50"/>
      <c r="C50" s="4" t="s">
        <v>45</v>
      </c>
      <c r="D50" s="384"/>
      <c r="E50" s="401">
        <f>+E46+E41+E36+E31+E26+E20+E21</f>
        <v>1</v>
      </c>
      <c r="F50" s="401">
        <f>+F46+F41+F36+F31+F26+F20+F21</f>
        <v>1</v>
      </c>
      <c r="G50" s="384">
        <f>+G41+G36+G31+G26+G20+G46</f>
        <v>6000</v>
      </c>
      <c r="H50" s="384">
        <f>+H41+H36+H31+H26+H20+H46+H21</f>
        <v>4000</v>
      </c>
    </row>
    <row r="51" spans="1:8" ht="15" x14ac:dyDescent="0.25">
      <c r="B51"/>
      <c r="C51"/>
      <c r="G51" t="s">
        <v>584</v>
      </c>
    </row>
    <row r="52" spans="1:8" ht="15" x14ac:dyDescent="0.25">
      <c r="B52"/>
      <c r="C52"/>
    </row>
    <row r="53" spans="1:8" ht="15" x14ac:dyDescent="0.25">
      <c r="B53"/>
      <c r="C53"/>
    </row>
    <row r="54" spans="1:8" ht="15" x14ac:dyDescent="0.25">
      <c r="B54"/>
      <c r="C54"/>
    </row>
    <row r="55" spans="1:8" x14ac:dyDescent="0.3">
      <c r="A55" s="240" t="s">
        <v>46</v>
      </c>
      <c r="B55" s="73"/>
      <c r="C55" s="78"/>
      <c r="D55" s="77"/>
      <c r="E55" s="77"/>
      <c r="F55" s="77"/>
      <c r="G55" s="77"/>
      <c r="H55" s="77"/>
    </row>
    <row r="56" spans="1:8" ht="15" x14ac:dyDescent="0.25">
      <c r="B56"/>
      <c r="C56"/>
    </row>
    <row r="57" spans="1:8" ht="15" x14ac:dyDescent="0.25">
      <c r="B57"/>
      <c r="C57"/>
      <c r="G57" s="166" t="s">
        <v>47</v>
      </c>
      <c r="H57" s="166" t="s">
        <v>48</v>
      </c>
    </row>
    <row r="58" spans="1:8" ht="15" x14ac:dyDescent="0.25">
      <c r="A58" s="166" t="s">
        <v>39</v>
      </c>
      <c r="B58" s="83"/>
      <c r="C58" s="166" t="s">
        <v>40</v>
      </c>
      <c r="D58" s="458" t="s">
        <v>49</v>
      </c>
      <c r="E58" s="457"/>
      <c r="G58" s="458" t="s">
        <v>50</v>
      </c>
      <c r="H58" s="457"/>
    </row>
    <row r="59" spans="1:8" ht="15" x14ac:dyDescent="0.25">
      <c r="A59" s="83">
        <v>1</v>
      </c>
      <c r="B59"/>
      <c r="C59" t="str">
        <f>C20</f>
        <v>Crescendo MHP</v>
      </c>
      <c r="D59" s="456" t="s">
        <v>585</v>
      </c>
      <c r="E59" s="457"/>
      <c r="G59" s="82">
        <v>44679</v>
      </c>
    </row>
    <row r="60" spans="1:8" ht="15" x14ac:dyDescent="0.25">
      <c r="B60"/>
      <c r="C60"/>
    </row>
    <row r="61" spans="1:8" ht="15" x14ac:dyDescent="0.25">
      <c r="B61"/>
      <c r="C61" t="str">
        <f>C22</f>
        <v>- Dominic De Caluwé</v>
      </c>
    </row>
    <row r="62" spans="1:8" ht="15" x14ac:dyDescent="0.25">
      <c r="B62"/>
      <c r="C62" t="str">
        <f>C23</f>
        <v>- Hatem Sassi</v>
      </c>
    </row>
    <row r="63" spans="1:8" ht="15" x14ac:dyDescent="0.25">
      <c r="B63"/>
      <c r="C63"/>
    </row>
    <row r="64" spans="1:8" ht="15" x14ac:dyDescent="0.25">
      <c r="A64" s="83">
        <v>2</v>
      </c>
      <c r="B64"/>
      <c r="C64" t="str">
        <f>C26</f>
        <v>KVH Elektro</v>
      </c>
      <c r="D64" s="456" t="s">
        <v>585</v>
      </c>
      <c r="E64" s="457"/>
      <c r="G64" s="82">
        <v>44679</v>
      </c>
    </row>
    <row r="65" spans="1:8" ht="15" x14ac:dyDescent="0.25">
      <c r="B65"/>
      <c r="C65" t="str">
        <f>C27</f>
        <v>- Kristof Van Haeverbeke</v>
      </c>
    </row>
    <row r="66" spans="1:8" ht="15" x14ac:dyDescent="0.25">
      <c r="B66"/>
      <c r="C66"/>
    </row>
    <row r="68" spans="1:8" x14ac:dyDescent="0.3">
      <c r="A68" s="240" t="s">
        <v>51</v>
      </c>
      <c r="B68" s="73"/>
      <c r="C68" s="78"/>
      <c r="D68" s="77"/>
      <c r="E68" s="77"/>
      <c r="F68" s="77"/>
      <c r="G68" s="77"/>
      <c r="H68" s="77"/>
    </row>
    <row r="70" spans="1:8" ht="15" x14ac:dyDescent="0.25">
      <c r="A70" s="444" t="s">
        <v>52</v>
      </c>
      <c r="B70"/>
      <c r="C70"/>
    </row>
    <row r="71" spans="1:8" ht="15" x14ac:dyDescent="0.25">
      <c r="A71" s="447" t="s">
        <v>566</v>
      </c>
      <c r="B71" s="447"/>
      <c r="C71" s="447"/>
      <c r="D71" s="447"/>
      <c r="E71" s="447"/>
      <c r="F71" s="447"/>
      <c r="G71" s="447"/>
    </row>
    <row r="72" spans="1:8" ht="15" x14ac:dyDescent="0.25">
      <c r="A72" s="447"/>
      <c r="B72" s="447"/>
      <c r="C72" s="447"/>
      <c r="D72" s="447"/>
      <c r="E72" s="447"/>
      <c r="F72" s="447"/>
      <c r="G72" s="447"/>
    </row>
    <row r="73" spans="1:8" ht="15" x14ac:dyDescent="0.25">
      <c r="A73" s="447"/>
      <c r="B73" s="447"/>
      <c r="C73" s="447"/>
      <c r="D73" s="447"/>
      <c r="E73" s="447"/>
      <c r="F73" s="447"/>
      <c r="G73" s="447"/>
    </row>
    <row r="74" spans="1:8" ht="15" x14ac:dyDescent="0.25">
      <c r="A74" s="448"/>
      <c r="B74" s="448"/>
      <c r="C74" s="448"/>
      <c r="D74" s="448"/>
      <c r="E74" s="448"/>
      <c r="F74" s="448"/>
      <c r="G74" s="448"/>
      <c r="H74" s="353"/>
    </row>
    <row r="75" spans="1:8" ht="15" x14ac:dyDescent="0.25">
      <c r="A75" s="448"/>
      <c r="B75" s="448"/>
      <c r="C75" s="448"/>
      <c r="D75" s="448"/>
      <c r="E75" s="448"/>
      <c r="F75" s="448"/>
      <c r="G75" s="448"/>
    </row>
    <row r="76" spans="1:8" ht="15" x14ac:dyDescent="0.25">
      <c r="A76" s="448"/>
      <c r="B76" s="448"/>
      <c r="C76" s="448"/>
      <c r="D76" s="448"/>
      <c r="E76" s="448"/>
      <c r="F76" s="448"/>
      <c r="G76" s="448"/>
    </row>
    <row r="77" spans="1:8" ht="15" x14ac:dyDescent="0.25">
      <c r="A77" s="448"/>
      <c r="B77" s="448"/>
      <c r="C77" s="448"/>
      <c r="D77" s="448"/>
      <c r="E77" s="448"/>
      <c r="F77" s="448"/>
      <c r="G77" s="448"/>
    </row>
    <row r="78" spans="1:8" ht="15" x14ac:dyDescent="0.25">
      <c r="A78" s="448"/>
      <c r="B78" s="448"/>
      <c r="C78" s="448"/>
      <c r="D78" s="448"/>
      <c r="E78" s="448"/>
      <c r="F78" s="448"/>
      <c r="G78" s="448"/>
    </row>
    <row r="79" spans="1:8" ht="15" x14ac:dyDescent="0.25">
      <c r="A79" s="448"/>
      <c r="B79" s="448"/>
      <c r="C79" s="448"/>
      <c r="D79" s="448"/>
      <c r="E79" s="448"/>
      <c r="F79" s="448"/>
      <c r="G79" s="448"/>
    </row>
    <row r="80" spans="1:8" ht="15" x14ac:dyDescent="0.25">
      <c r="A80" s="448"/>
      <c r="B80" s="448"/>
      <c r="C80" s="448"/>
      <c r="D80" s="448"/>
      <c r="E80" s="448"/>
      <c r="F80" s="448"/>
      <c r="G80" s="448"/>
    </row>
    <row r="81" spans="1:7" ht="15" x14ac:dyDescent="0.25">
      <c r="A81" s="448"/>
      <c r="B81" s="448"/>
      <c r="C81" s="448"/>
      <c r="D81" s="448"/>
      <c r="E81" s="448"/>
      <c r="F81" s="448"/>
      <c r="G81" s="448"/>
    </row>
    <row r="82" spans="1:7" ht="15" x14ac:dyDescent="0.25">
      <c r="A82" s="448"/>
      <c r="B82" s="448"/>
      <c r="C82" s="448"/>
      <c r="D82" s="448"/>
      <c r="E82" s="448"/>
      <c r="F82" s="448"/>
      <c r="G82" s="448"/>
    </row>
    <row r="83" spans="1:7" ht="15" x14ac:dyDescent="0.25">
      <c r="A83" s="448"/>
      <c r="B83" s="448"/>
      <c r="C83" s="448"/>
      <c r="D83" s="448"/>
      <c r="E83" s="448"/>
      <c r="F83" s="448"/>
      <c r="G83" s="448"/>
    </row>
    <row r="84" spans="1:7" ht="15" x14ac:dyDescent="0.25">
      <c r="A84" s="448"/>
      <c r="B84" s="448"/>
      <c r="C84" s="448"/>
      <c r="D84" s="448"/>
      <c r="E84" s="448"/>
      <c r="F84" s="448"/>
      <c r="G84" s="448"/>
    </row>
    <row r="85" spans="1:7" ht="15" x14ac:dyDescent="0.25">
      <c r="A85" s="448"/>
      <c r="B85" s="448"/>
      <c r="C85" s="448"/>
      <c r="D85" s="448"/>
      <c r="E85" s="448"/>
      <c r="F85" s="448"/>
      <c r="G85" s="448"/>
    </row>
    <row r="86" spans="1:7" ht="15" x14ac:dyDescent="0.25">
      <c r="A86" s="448"/>
      <c r="B86" s="448"/>
      <c r="C86" s="448"/>
      <c r="D86" s="448"/>
      <c r="E86" s="448"/>
      <c r="F86" s="448"/>
      <c r="G86" s="448"/>
    </row>
    <row r="87" spans="1:7" ht="15" x14ac:dyDescent="0.25">
      <c r="A87" s="448"/>
      <c r="B87" s="448"/>
      <c r="C87" s="448"/>
      <c r="D87" s="448"/>
      <c r="E87" s="448"/>
      <c r="F87" s="448"/>
      <c r="G87" s="448"/>
    </row>
    <row r="88" spans="1:7" ht="15" x14ac:dyDescent="0.25">
      <c r="A88" s="448"/>
      <c r="B88" s="448"/>
      <c r="C88" s="448"/>
      <c r="D88" s="448"/>
      <c r="E88" s="448"/>
      <c r="F88" s="448"/>
      <c r="G88" s="448"/>
    </row>
    <row r="89" spans="1:7" x14ac:dyDescent="0.3">
      <c r="A89" t="s">
        <v>586</v>
      </c>
    </row>
  </sheetData>
  <mergeCells count="9">
    <mergeCell ref="D64:E64"/>
    <mergeCell ref="A9:G10"/>
    <mergeCell ref="A71:G88"/>
    <mergeCell ref="D59:E59"/>
    <mergeCell ref="A3:C3"/>
    <mergeCell ref="A7:C7"/>
    <mergeCell ref="A8:C8"/>
    <mergeCell ref="G58:H58"/>
    <mergeCell ref="D58:E58"/>
  </mergeCell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&amp;LSisu BV&amp;CWaardering
&amp;R&amp;D</oddHeader>
  </headerFooter>
  <rowBreaks count="1" manualBreakCount="1">
    <brk id="5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7000-CC19-413B-A493-90F8E48E4426}">
  <dimension ref="A1:K13"/>
  <sheetViews>
    <sheetView workbookViewId="0">
      <selection activeCell="G22" sqref="G22"/>
    </sheetView>
  </sheetViews>
  <sheetFormatPr defaultRowHeight="15" x14ac:dyDescent="0.25"/>
  <cols>
    <col min="5" max="5" width="6.7109375" bestFit="1" customWidth="1"/>
    <col min="6" max="6" width="24" style="165" bestFit="1" customWidth="1"/>
    <col min="7" max="7" width="11" style="165" bestFit="1" customWidth="1"/>
    <col min="8" max="8" width="12.5703125" style="165" bestFit="1" customWidth="1"/>
    <col min="9" max="11" width="9.140625" style="165"/>
  </cols>
  <sheetData>
    <row r="1" spans="1:9" x14ac:dyDescent="0.25">
      <c r="A1" t="s">
        <v>534</v>
      </c>
    </row>
    <row r="3" spans="1:9" x14ac:dyDescent="0.25">
      <c r="G3" s="165">
        <v>450000</v>
      </c>
      <c r="H3" s="165">
        <f>EBITDA!E53</f>
        <v>2004023.169816504</v>
      </c>
    </row>
    <row r="4" spans="1:9" x14ac:dyDescent="0.25">
      <c r="B4" t="s">
        <v>539</v>
      </c>
      <c r="C4" t="s">
        <v>538</v>
      </c>
      <c r="E4" t="s">
        <v>537</v>
      </c>
      <c r="F4" s="165" t="s">
        <v>540</v>
      </c>
    </row>
    <row r="5" spans="1:9" x14ac:dyDescent="0.25">
      <c r="A5" t="s">
        <v>535</v>
      </c>
      <c r="B5">
        <v>150000</v>
      </c>
      <c r="C5">
        <v>6000</v>
      </c>
      <c r="D5" s="237">
        <v>0.6</v>
      </c>
      <c r="E5">
        <f>B5/C5</f>
        <v>25</v>
      </c>
      <c r="F5" s="434">
        <v>0.2</v>
      </c>
      <c r="G5" s="165">
        <f>B5*F5</f>
        <v>30000</v>
      </c>
      <c r="H5" s="165">
        <f>H3*0.25</f>
        <v>501005.792454126</v>
      </c>
      <c r="I5" s="165">
        <f>H5/6000</f>
        <v>83.500965409021006</v>
      </c>
    </row>
    <row r="6" spans="1:9" x14ac:dyDescent="0.25">
      <c r="A6" t="s">
        <v>536</v>
      </c>
      <c r="B6">
        <v>300000</v>
      </c>
      <c r="C6">
        <v>4000</v>
      </c>
      <c r="D6" s="237">
        <v>0.4</v>
      </c>
      <c r="E6">
        <f>B6/C6</f>
        <v>75</v>
      </c>
      <c r="F6" s="434">
        <v>0.1</v>
      </c>
      <c r="G6" s="165">
        <f>B6*F6</f>
        <v>30000</v>
      </c>
      <c r="H6" s="165">
        <f>H3*0.75</f>
        <v>1503017.3773623779</v>
      </c>
      <c r="I6" s="165">
        <f>H6/4000</f>
        <v>375.75434434059446</v>
      </c>
    </row>
    <row r="8" spans="1:9" x14ac:dyDescent="0.25">
      <c r="B8">
        <f>SUM(B5:B7)</f>
        <v>450000</v>
      </c>
      <c r="D8">
        <v>100</v>
      </c>
    </row>
    <row r="9" spans="1:9" x14ac:dyDescent="0.25">
      <c r="F9"/>
      <c r="G9"/>
    </row>
    <row r="10" spans="1:9" x14ac:dyDescent="0.25">
      <c r="F10"/>
      <c r="G10"/>
    </row>
    <row r="11" spans="1:9" x14ac:dyDescent="0.25">
      <c r="F11"/>
      <c r="G11" s="237"/>
    </row>
    <row r="12" spans="1:9" x14ac:dyDescent="0.25">
      <c r="F12"/>
      <c r="G12" s="237"/>
    </row>
    <row r="13" spans="1:9" x14ac:dyDescent="0.25">
      <c r="F13"/>
      <c r="G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P138"/>
  <sheetViews>
    <sheetView view="pageLayout" topLeftCell="B78" zoomScaleNormal="100" workbookViewId="0">
      <selection activeCell="J82" sqref="J82"/>
    </sheetView>
  </sheetViews>
  <sheetFormatPr defaultRowHeight="15" x14ac:dyDescent="0.25"/>
  <cols>
    <col min="1" max="1" width="6.5703125" customWidth="1"/>
    <col min="2" max="2" width="12.5703125" customWidth="1"/>
    <col min="3" max="3" width="16.140625" customWidth="1"/>
    <col min="4" max="4" width="6.28515625" customWidth="1"/>
    <col min="5" max="5" width="7.7109375" style="83" bestFit="1" customWidth="1"/>
    <col min="6" max="6" width="11.5703125" hidden="1" customWidth="1"/>
    <col min="7" max="7" width="12.85546875" hidden="1" customWidth="1"/>
    <col min="8" max="8" width="12.85546875" bestFit="1" customWidth="1"/>
    <col min="9" max="9" width="12.7109375" bestFit="1" customWidth="1"/>
    <col min="10" max="10" width="13.5703125" customWidth="1"/>
    <col min="11" max="11" width="11.85546875" customWidth="1"/>
    <col min="12" max="12" width="6.42578125" customWidth="1"/>
    <col min="13" max="13" width="8.7109375" bestFit="1" customWidth="1"/>
    <col min="14" max="14" width="15.140625" customWidth="1"/>
    <col min="15" max="15" width="12.140625" customWidth="1"/>
    <col min="16" max="256" width="8.85546875"/>
    <col min="257" max="257" width="11.5703125" customWidth="1"/>
    <col min="258" max="258" width="17" customWidth="1"/>
    <col min="259" max="259" width="8.85546875"/>
    <col min="260" max="260" width="2.85546875" customWidth="1"/>
    <col min="261" max="261" width="14.140625" customWidth="1"/>
    <col min="262" max="262" width="15.42578125" customWidth="1"/>
    <col min="263" max="263" width="13.5703125" customWidth="1"/>
    <col min="264" max="264" width="13.85546875" customWidth="1"/>
    <col min="265" max="265" width="13.140625" customWidth="1"/>
    <col min="266" max="266" width="14.85546875" bestFit="1" customWidth="1"/>
    <col min="267" max="267" width="2.7109375" customWidth="1"/>
    <col min="268" max="268" width="8.85546875"/>
    <col min="269" max="269" width="10.85546875" customWidth="1"/>
    <col min="270" max="270" width="7.85546875" customWidth="1"/>
    <col min="271" max="271" width="11.28515625" customWidth="1"/>
    <col min="272" max="512" width="8.85546875"/>
    <col min="513" max="513" width="11.5703125" customWidth="1"/>
    <col min="514" max="514" width="17" customWidth="1"/>
    <col min="515" max="515" width="8.85546875"/>
    <col min="516" max="516" width="2.85546875" customWidth="1"/>
    <col min="517" max="517" width="14.140625" customWidth="1"/>
    <col min="518" max="518" width="15.42578125" customWidth="1"/>
    <col min="519" max="519" width="13.5703125" customWidth="1"/>
    <col min="520" max="520" width="13.85546875" customWidth="1"/>
    <col min="521" max="521" width="13.140625" customWidth="1"/>
    <col min="522" max="522" width="14.85546875" bestFit="1" customWidth="1"/>
    <col min="523" max="523" width="2.7109375" customWidth="1"/>
    <col min="524" max="524" width="8.85546875"/>
    <col min="525" max="525" width="10.85546875" customWidth="1"/>
    <col min="526" max="526" width="7.85546875" customWidth="1"/>
    <col min="527" max="527" width="11.28515625" customWidth="1"/>
    <col min="528" max="768" width="8.85546875"/>
    <col min="769" max="769" width="11.5703125" customWidth="1"/>
    <col min="770" max="770" width="17" customWidth="1"/>
    <col min="771" max="771" width="8.85546875"/>
    <col min="772" max="772" width="2.85546875" customWidth="1"/>
    <col min="773" max="773" width="14.140625" customWidth="1"/>
    <col min="774" max="774" width="15.42578125" customWidth="1"/>
    <col min="775" max="775" width="13.5703125" customWidth="1"/>
    <col min="776" max="776" width="13.85546875" customWidth="1"/>
    <col min="777" max="777" width="13.140625" customWidth="1"/>
    <col min="778" max="778" width="14.85546875" bestFit="1" customWidth="1"/>
    <col min="779" max="779" width="2.7109375" customWidth="1"/>
    <col min="780" max="780" width="8.85546875"/>
    <col min="781" max="781" width="10.85546875" customWidth="1"/>
    <col min="782" max="782" width="7.85546875" customWidth="1"/>
    <col min="783" max="783" width="11.28515625" customWidth="1"/>
    <col min="784" max="1024" width="8.85546875"/>
    <col min="1025" max="1025" width="11.5703125" customWidth="1"/>
    <col min="1026" max="1026" width="17" customWidth="1"/>
    <col min="1027" max="1027" width="8.85546875"/>
    <col min="1028" max="1028" width="2.85546875" customWidth="1"/>
    <col min="1029" max="1029" width="14.140625" customWidth="1"/>
    <col min="1030" max="1030" width="15.42578125" customWidth="1"/>
    <col min="1031" max="1031" width="13.5703125" customWidth="1"/>
    <col min="1032" max="1032" width="13.85546875" customWidth="1"/>
    <col min="1033" max="1033" width="13.140625" customWidth="1"/>
    <col min="1034" max="1034" width="14.85546875" bestFit="1" customWidth="1"/>
    <col min="1035" max="1035" width="2.7109375" customWidth="1"/>
    <col min="1036" max="1036" width="8.85546875"/>
    <col min="1037" max="1037" width="10.85546875" customWidth="1"/>
    <col min="1038" max="1038" width="7.85546875" customWidth="1"/>
    <col min="1039" max="1039" width="11.28515625" customWidth="1"/>
    <col min="1040" max="1280" width="8.85546875"/>
    <col min="1281" max="1281" width="11.5703125" customWidth="1"/>
    <col min="1282" max="1282" width="17" customWidth="1"/>
    <col min="1283" max="1283" width="8.85546875"/>
    <col min="1284" max="1284" width="2.85546875" customWidth="1"/>
    <col min="1285" max="1285" width="14.140625" customWidth="1"/>
    <col min="1286" max="1286" width="15.42578125" customWidth="1"/>
    <col min="1287" max="1287" width="13.5703125" customWidth="1"/>
    <col min="1288" max="1288" width="13.85546875" customWidth="1"/>
    <col min="1289" max="1289" width="13.140625" customWidth="1"/>
    <col min="1290" max="1290" width="14.85546875" bestFit="1" customWidth="1"/>
    <col min="1291" max="1291" width="2.7109375" customWidth="1"/>
    <col min="1292" max="1292" width="8.85546875"/>
    <col min="1293" max="1293" width="10.85546875" customWidth="1"/>
    <col min="1294" max="1294" width="7.85546875" customWidth="1"/>
    <col min="1295" max="1295" width="11.28515625" customWidth="1"/>
    <col min="1296" max="1536" width="8.85546875"/>
    <col min="1537" max="1537" width="11.5703125" customWidth="1"/>
    <col min="1538" max="1538" width="17" customWidth="1"/>
    <col min="1539" max="1539" width="8.85546875"/>
    <col min="1540" max="1540" width="2.85546875" customWidth="1"/>
    <col min="1541" max="1541" width="14.140625" customWidth="1"/>
    <col min="1542" max="1542" width="15.42578125" customWidth="1"/>
    <col min="1543" max="1543" width="13.5703125" customWidth="1"/>
    <col min="1544" max="1544" width="13.85546875" customWidth="1"/>
    <col min="1545" max="1545" width="13.140625" customWidth="1"/>
    <col min="1546" max="1546" width="14.85546875" bestFit="1" customWidth="1"/>
    <col min="1547" max="1547" width="2.7109375" customWidth="1"/>
    <col min="1548" max="1548" width="8.85546875"/>
    <col min="1549" max="1549" width="10.85546875" customWidth="1"/>
    <col min="1550" max="1550" width="7.85546875" customWidth="1"/>
    <col min="1551" max="1551" width="11.28515625" customWidth="1"/>
    <col min="1552" max="1792" width="8.85546875"/>
    <col min="1793" max="1793" width="11.5703125" customWidth="1"/>
    <col min="1794" max="1794" width="17" customWidth="1"/>
    <col min="1795" max="1795" width="8.85546875"/>
    <col min="1796" max="1796" width="2.85546875" customWidth="1"/>
    <col min="1797" max="1797" width="14.140625" customWidth="1"/>
    <col min="1798" max="1798" width="15.42578125" customWidth="1"/>
    <col min="1799" max="1799" width="13.5703125" customWidth="1"/>
    <col min="1800" max="1800" width="13.85546875" customWidth="1"/>
    <col min="1801" max="1801" width="13.140625" customWidth="1"/>
    <col min="1802" max="1802" width="14.85546875" bestFit="1" customWidth="1"/>
    <col min="1803" max="1803" width="2.7109375" customWidth="1"/>
    <col min="1804" max="1804" width="8.85546875"/>
    <col min="1805" max="1805" width="10.85546875" customWidth="1"/>
    <col min="1806" max="1806" width="7.85546875" customWidth="1"/>
    <col min="1807" max="1807" width="11.28515625" customWidth="1"/>
    <col min="1808" max="2048" width="8.85546875"/>
    <col min="2049" max="2049" width="11.5703125" customWidth="1"/>
    <col min="2050" max="2050" width="17" customWidth="1"/>
    <col min="2051" max="2051" width="8.85546875"/>
    <col min="2052" max="2052" width="2.85546875" customWidth="1"/>
    <col min="2053" max="2053" width="14.140625" customWidth="1"/>
    <col min="2054" max="2054" width="15.42578125" customWidth="1"/>
    <col min="2055" max="2055" width="13.5703125" customWidth="1"/>
    <col min="2056" max="2056" width="13.85546875" customWidth="1"/>
    <col min="2057" max="2057" width="13.140625" customWidth="1"/>
    <col min="2058" max="2058" width="14.85546875" bestFit="1" customWidth="1"/>
    <col min="2059" max="2059" width="2.7109375" customWidth="1"/>
    <col min="2060" max="2060" width="8.85546875"/>
    <col min="2061" max="2061" width="10.85546875" customWidth="1"/>
    <col min="2062" max="2062" width="7.85546875" customWidth="1"/>
    <col min="2063" max="2063" width="11.28515625" customWidth="1"/>
    <col min="2064" max="2304" width="8.85546875"/>
    <col min="2305" max="2305" width="11.5703125" customWidth="1"/>
    <col min="2306" max="2306" width="17" customWidth="1"/>
    <col min="2307" max="2307" width="8.85546875"/>
    <col min="2308" max="2308" width="2.85546875" customWidth="1"/>
    <col min="2309" max="2309" width="14.140625" customWidth="1"/>
    <col min="2310" max="2310" width="15.42578125" customWidth="1"/>
    <col min="2311" max="2311" width="13.5703125" customWidth="1"/>
    <col min="2312" max="2312" width="13.85546875" customWidth="1"/>
    <col min="2313" max="2313" width="13.140625" customWidth="1"/>
    <col min="2314" max="2314" width="14.85546875" bestFit="1" customWidth="1"/>
    <col min="2315" max="2315" width="2.7109375" customWidth="1"/>
    <col min="2316" max="2316" width="8.85546875"/>
    <col min="2317" max="2317" width="10.85546875" customWidth="1"/>
    <col min="2318" max="2318" width="7.85546875" customWidth="1"/>
    <col min="2319" max="2319" width="11.28515625" customWidth="1"/>
    <col min="2320" max="2560" width="8.85546875"/>
    <col min="2561" max="2561" width="11.5703125" customWidth="1"/>
    <col min="2562" max="2562" width="17" customWidth="1"/>
    <col min="2563" max="2563" width="8.85546875"/>
    <col min="2564" max="2564" width="2.85546875" customWidth="1"/>
    <col min="2565" max="2565" width="14.140625" customWidth="1"/>
    <col min="2566" max="2566" width="15.42578125" customWidth="1"/>
    <col min="2567" max="2567" width="13.5703125" customWidth="1"/>
    <col min="2568" max="2568" width="13.85546875" customWidth="1"/>
    <col min="2569" max="2569" width="13.140625" customWidth="1"/>
    <col min="2570" max="2570" width="14.85546875" bestFit="1" customWidth="1"/>
    <col min="2571" max="2571" width="2.7109375" customWidth="1"/>
    <col min="2572" max="2572" width="8.85546875"/>
    <col min="2573" max="2573" width="10.85546875" customWidth="1"/>
    <col min="2574" max="2574" width="7.85546875" customWidth="1"/>
    <col min="2575" max="2575" width="11.28515625" customWidth="1"/>
    <col min="2576" max="2816" width="8.85546875"/>
    <col min="2817" max="2817" width="11.5703125" customWidth="1"/>
    <col min="2818" max="2818" width="17" customWidth="1"/>
    <col min="2819" max="2819" width="8.85546875"/>
    <col min="2820" max="2820" width="2.85546875" customWidth="1"/>
    <col min="2821" max="2821" width="14.140625" customWidth="1"/>
    <col min="2822" max="2822" width="15.42578125" customWidth="1"/>
    <col min="2823" max="2823" width="13.5703125" customWidth="1"/>
    <col min="2824" max="2824" width="13.85546875" customWidth="1"/>
    <col min="2825" max="2825" width="13.140625" customWidth="1"/>
    <col min="2826" max="2826" width="14.85546875" bestFit="1" customWidth="1"/>
    <col min="2827" max="2827" width="2.7109375" customWidth="1"/>
    <col min="2828" max="2828" width="8.85546875"/>
    <col min="2829" max="2829" width="10.85546875" customWidth="1"/>
    <col min="2830" max="2830" width="7.85546875" customWidth="1"/>
    <col min="2831" max="2831" width="11.28515625" customWidth="1"/>
    <col min="2832" max="3072" width="8.85546875"/>
    <col min="3073" max="3073" width="11.5703125" customWidth="1"/>
    <col min="3074" max="3074" width="17" customWidth="1"/>
    <col min="3075" max="3075" width="8.85546875"/>
    <col min="3076" max="3076" width="2.85546875" customWidth="1"/>
    <col min="3077" max="3077" width="14.140625" customWidth="1"/>
    <col min="3078" max="3078" width="15.42578125" customWidth="1"/>
    <col min="3079" max="3079" width="13.5703125" customWidth="1"/>
    <col min="3080" max="3080" width="13.85546875" customWidth="1"/>
    <col min="3081" max="3081" width="13.140625" customWidth="1"/>
    <col min="3082" max="3082" width="14.85546875" bestFit="1" customWidth="1"/>
    <col min="3083" max="3083" width="2.7109375" customWidth="1"/>
    <col min="3084" max="3084" width="8.85546875"/>
    <col min="3085" max="3085" width="10.85546875" customWidth="1"/>
    <col min="3086" max="3086" width="7.85546875" customWidth="1"/>
    <col min="3087" max="3087" width="11.28515625" customWidth="1"/>
    <col min="3088" max="3328" width="8.85546875"/>
    <col min="3329" max="3329" width="11.5703125" customWidth="1"/>
    <col min="3330" max="3330" width="17" customWidth="1"/>
    <col min="3331" max="3331" width="8.85546875"/>
    <col min="3332" max="3332" width="2.85546875" customWidth="1"/>
    <col min="3333" max="3333" width="14.140625" customWidth="1"/>
    <col min="3334" max="3334" width="15.42578125" customWidth="1"/>
    <col min="3335" max="3335" width="13.5703125" customWidth="1"/>
    <col min="3336" max="3336" width="13.85546875" customWidth="1"/>
    <col min="3337" max="3337" width="13.140625" customWidth="1"/>
    <col min="3338" max="3338" width="14.85546875" bestFit="1" customWidth="1"/>
    <col min="3339" max="3339" width="2.7109375" customWidth="1"/>
    <col min="3340" max="3340" width="8.85546875"/>
    <col min="3341" max="3341" width="10.85546875" customWidth="1"/>
    <col min="3342" max="3342" width="7.85546875" customWidth="1"/>
    <col min="3343" max="3343" width="11.28515625" customWidth="1"/>
    <col min="3344" max="3584" width="8.85546875"/>
    <col min="3585" max="3585" width="11.5703125" customWidth="1"/>
    <col min="3586" max="3586" width="17" customWidth="1"/>
    <col min="3587" max="3587" width="8.85546875"/>
    <col min="3588" max="3588" width="2.85546875" customWidth="1"/>
    <col min="3589" max="3589" width="14.140625" customWidth="1"/>
    <col min="3590" max="3590" width="15.42578125" customWidth="1"/>
    <col min="3591" max="3591" width="13.5703125" customWidth="1"/>
    <col min="3592" max="3592" width="13.85546875" customWidth="1"/>
    <col min="3593" max="3593" width="13.140625" customWidth="1"/>
    <col min="3594" max="3594" width="14.85546875" bestFit="1" customWidth="1"/>
    <col min="3595" max="3595" width="2.7109375" customWidth="1"/>
    <col min="3596" max="3596" width="8.85546875"/>
    <col min="3597" max="3597" width="10.85546875" customWidth="1"/>
    <col min="3598" max="3598" width="7.85546875" customWidth="1"/>
    <col min="3599" max="3599" width="11.28515625" customWidth="1"/>
    <col min="3600" max="3840" width="8.85546875"/>
    <col min="3841" max="3841" width="11.5703125" customWidth="1"/>
    <col min="3842" max="3842" width="17" customWidth="1"/>
    <col min="3843" max="3843" width="8.85546875"/>
    <col min="3844" max="3844" width="2.85546875" customWidth="1"/>
    <col min="3845" max="3845" width="14.140625" customWidth="1"/>
    <col min="3846" max="3846" width="15.42578125" customWidth="1"/>
    <col min="3847" max="3847" width="13.5703125" customWidth="1"/>
    <col min="3848" max="3848" width="13.85546875" customWidth="1"/>
    <col min="3849" max="3849" width="13.140625" customWidth="1"/>
    <col min="3850" max="3850" width="14.85546875" bestFit="1" customWidth="1"/>
    <col min="3851" max="3851" width="2.7109375" customWidth="1"/>
    <col min="3852" max="3852" width="8.85546875"/>
    <col min="3853" max="3853" width="10.85546875" customWidth="1"/>
    <col min="3854" max="3854" width="7.85546875" customWidth="1"/>
    <col min="3855" max="3855" width="11.28515625" customWidth="1"/>
    <col min="3856" max="4096" width="8.85546875"/>
    <col min="4097" max="4097" width="11.5703125" customWidth="1"/>
    <col min="4098" max="4098" width="17" customWidth="1"/>
    <col min="4099" max="4099" width="8.85546875"/>
    <col min="4100" max="4100" width="2.85546875" customWidth="1"/>
    <col min="4101" max="4101" width="14.140625" customWidth="1"/>
    <col min="4102" max="4102" width="15.42578125" customWidth="1"/>
    <col min="4103" max="4103" width="13.5703125" customWidth="1"/>
    <col min="4104" max="4104" width="13.85546875" customWidth="1"/>
    <col min="4105" max="4105" width="13.140625" customWidth="1"/>
    <col min="4106" max="4106" width="14.85546875" bestFit="1" customWidth="1"/>
    <col min="4107" max="4107" width="2.7109375" customWidth="1"/>
    <col min="4108" max="4108" width="8.85546875"/>
    <col min="4109" max="4109" width="10.85546875" customWidth="1"/>
    <col min="4110" max="4110" width="7.85546875" customWidth="1"/>
    <col min="4111" max="4111" width="11.28515625" customWidth="1"/>
    <col min="4112" max="4352" width="8.85546875"/>
    <col min="4353" max="4353" width="11.5703125" customWidth="1"/>
    <col min="4354" max="4354" width="17" customWidth="1"/>
    <col min="4355" max="4355" width="8.85546875"/>
    <col min="4356" max="4356" width="2.85546875" customWidth="1"/>
    <col min="4357" max="4357" width="14.140625" customWidth="1"/>
    <col min="4358" max="4358" width="15.42578125" customWidth="1"/>
    <col min="4359" max="4359" width="13.5703125" customWidth="1"/>
    <col min="4360" max="4360" width="13.85546875" customWidth="1"/>
    <col min="4361" max="4361" width="13.140625" customWidth="1"/>
    <col min="4362" max="4362" width="14.85546875" bestFit="1" customWidth="1"/>
    <col min="4363" max="4363" width="2.7109375" customWidth="1"/>
    <col min="4364" max="4364" width="8.85546875"/>
    <col min="4365" max="4365" width="10.85546875" customWidth="1"/>
    <col min="4366" max="4366" width="7.85546875" customWidth="1"/>
    <col min="4367" max="4367" width="11.28515625" customWidth="1"/>
    <col min="4368" max="4608" width="8.85546875"/>
    <col min="4609" max="4609" width="11.5703125" customWidth="1"/>
    <col min="4610" max="4610" width="17" customWidth="1"/>
    <col min="4611" max="4611" width="8.85546875"/>
    <col min="4612" max="4612" width="2.85546875" customWidth="1"/>
    <col min="4613" max="4613" width="14.140625" customWidth="1"/>
    <col min="4614" max="4614" width="15.42578125" customWidth="1"/>
    <col min="4615" max="4615" width="13.5703125" customWidth="1"/>
    <col min="4616" max="4616" width="13.85546875" customWidth="1"/>
    <col min="4617" max="4617" width="13.140625" customWidth="1"/>
    <col min="4618" max="4618" width="14.85546875" bestFit="1" customWidth="1"/>
    <col min="4619" max="4619" width="2.7109375" customWidth="1"/>
    <col min="4620" max="4620" width="8.85546875"/>
    <col min="4621" max="4621" width="10.85546875" customWidth="1"/>
    <col min="4622" max="4622" width="7.85546875" customWidth="1"/>
    <col min="4623" max="4623" width="11.28515625" customWidth="1"/>
    <col min="4624" max="4864" width="8.85546875"/>
    <col min="4865" max="4865" width="11.5703125" customWidth="1"/>
    <col min="4866" max="4866" width="17" customWidth="1"/>
    <col min="4867" max="4867" width="8.85546875"/>
    <col min="4868" max="4868" width="2.85546875" customWidth="1"/>
    <col min="4869" max="4869" width="14.140625" customWidth="1"/>
    <col min="4870" max="4870" width="15.42578125" customWidth="1"/>
    <col min="4871" max="4871" width="13.5703125" customWidth="1"/>
    <col min="4872" max="4872" width="13.85546875" customWidth="1"/>
    <col min="4873" max="4873" width="13.140625" customWidth="1"/>
    <col min="4874" max="4874" width="14.85546875" bestFit="1" customWidth="1"/>
    <col min="4875" max="4875" width="2.7109375" customWidth="1"/>
    <col min="4876" max="4876" width="8.85546875"/>
    <col min="4877" max="4877" width="10.85546875" customWidth="1"/>
    <col min="4878" max="4878" width="7.85546875" customWidth="1"/>
    <col min="4879" max="4879" width="11.28515625" customWidth="1"/>
    <col min="4880" max="5120" width="8.85546875"/>
    <col min="5121" max="5121" width="11.5703125" customWidth="1"/>
    <col min="5122" max="5122" width="17" customWidth="1"/>
    <col min="5123" max="5123" width="8.85546875"/>
    <col min="5124" max="5124" width="2.85546875" customWidth="1"/>
    <col min="5125" max="5125" width="14.140625" customWidth="1"/>
    <col min="5126" max="5126" width="15.42578125" customWidth="1"/>
    <col min="5127" max="5127" width="13.5703125" customWidth="1"/>
    <col min="5128" max="5128" width="13.85546875" customWidth="1"/>
    <col min="5129" max="5129" width="13.140625" customWidth="1"/>
    <col min="5130" max="5130" width="14.85546875" bestFit="1" customWidth="1"/>
    <col min="5131" max="5131" width="2.7109375" customWidth="1"/>
    <col min="5132" max="5132" width="8.85546875"/>
    <col min="5133" max="5133" width="10.85546875" customWidth="1"/>
    <col min="5134" max="5134" width="7.85546875" customWidth="1"/>
    <col min="5135" max="5135" width="11.28515625" customWidth="1"/>
    <col min="5136" max="5376" width="8.85546875"/>
    <col min="5377" max="5377" width="11.5703125" customWidth="1"/>
    <col min="5378" max="5378" width="17" customWidth="1"/>
    <col min="5379" max="5379" width="8.85546875"/>
    <col min="5380" max="5380" width="2.85546875" customWidth="1"/>
    <col min="5381" max="5381" width="14.140625" customWidth="1"/>
    <col min="5382" max="5382" width="15.42578125" customWidth="1"/>
    <col min="5383" max="5383" width="13.5703125" customWidth="1"/>
    <col min="5384" max="5384" width="13.85546875" customWidth="1"/>
    <col min="5385" max="5385" width="13.140625" customWidth="1"/>
    <col min="5386" max="5386" width="14.85546875" bestFit="1" customWidth="1"/>
    <col min="5387" max="5387" width="2.7109375" customWidth="1"/>
    <col min="5388" max="5388" width="8.85546875"/>
    <col min="5389" max="5389" width="10.85546875" customWidth="1"/>
    <col min="5390" max="5390" width="7.85546875" customWidth="1"/>
    <col min="5391" max="5391" width="11.28515625" customWidth="1"/>
    <col min="5392" max="5632" width="8.85546875"/>
    <col min="5633" max="5633" width="11.5703125" customWidth="1"/>
    <col min="5634" max="5634" width="17" customWidth="1"/>
    <col min="5635" max="5635" width="8.85546875"/>
    <col min="5636" max="5636" width="2.85546875" customWidth="1"/>
    <col min="5637" max="5637" width="14.140625" customWidth="1"/>
    <col min="5638" max="5638" width="15.42578125" customWidth="1"/>
    <col min="5639" max="5639" width="13.5703125" customWidth="1"/>
    <col min="5640" max="5640" width="13.85546875" customWidth="1"/>
    <col min="5641" max="5641" width="13.140625" customWidth="1"/>
    <col min="5642" max="5642" width="14.85546875" bestFit="1" customWidth="1"/>
    <col min="5643" max="5643" width="2.7109375" customWidth="1"/>
    <col min="5644" max="5644" width="8.85546875"/>
    <col min="5645" max="5645" width="10.85546875" customWidth="1"/>
    <col min="5646" max="5646" width="7.85546875" customWidth="1"/>
    <col min="5647" max="5647" width="11.28515625" customWidth="1"/>
    <col min="5648" max="5888" width="8.85546875"/>
    <col min="5889" max="5889" width="11.5703125" customWidth="1"/>
    <col min="5890" max="5890" width="17" customWidth="1"/>
    <col min="5891" max="5891" width="8.85546875"/>
    <col min="5892" max="5892" width="2.85546875" customWidth="1"/>
    <col min="5893" max="5893" width="14.140625" customWidth="1"/>
    <col min="5894" max="5894" width="15.42578125" customWidth="1"/>
    <col min="5895" max="5895" width="13.5703125" customWidth="1"/>
    <col min="5896" max="5896" width="13.85546875" customWidth="1"/>
    <col min="5897" max="5897" width="13.140625" customWidth="1"/>
    <col min="5898" max="5898" width="14.85546875" bestFit="1" customWidth="1"/>
    <col min="5899" max="5899" width="2.7109375" customWidth="1"/>
    <col min="5900" max="5900" width="8.85546875"/>
    <col min="5901" max="5901" width="10.85546875" customWidth="1"/>
    <col min="5902" max="5902" width="7.85546875" customWidth="1"/>
    <col min="5903" max="5903" width="11.28515625" customWidth="1"/>
    <col min="5904" max="6144" width="8.85546875"/>
    <col min="6145" max="6145" width="11.5703125" customWidth="1"/>
    <col min="6146" max="6146" width="17" customWidth="1"/>
    <col min="6147" max="6147" width="8.85546875"/>
    <col min="6148" max="6148" width="2.85546875" customWidth="1"/>
    <col min="6149" max="6149" width="14.140625" customWidth="1"/>
    <col min="6150" max="6150" width="15.42578125" customWidth="1"/>
    <col min="6151" max="6151" width="13.5703125" customWidth="1"/>
    <col min="6152" max="6152" width="13.85546875" customWidth="1"/>
    <col min="6153" max="6153" width="13.140625" customWidth="1"/>
    <col min="6154" max="6154" width="14.85546875" bestFit="1" customWidth="1"/>
    <col min="6155" max="6155" width="2.7109375" customWidth="1"/>
    <col min="6156" max="6156" width="8.85546875"/>
    <col min="6157" max="6157" width="10.85546875" customWidth="1"/>
    <col min="6158" max="6158" width="7.85546875" customWidth="1"/>
    <col min="6159" max="6159" width="11.28515625" customWidth="1"/>
    <col min="6160" max="6400" width="8.85546875"/>
    <col min="6401" max="6401" width="11.5703125" customWidth="1"/>
    <col min="6402" max="6402" width="17" customWidth="1"/>
    <col min="6403" max="6403" width="8.85546875"/>
    <col min="6404" max="6404" width="2.85546875" customWidth="1"/>
    <col min="6405" max="6405" width="14.140625" customWidth="1"/>
    <col min="6406" max="6406" width="15.42578125" customWidth="1"/>
    <col min="6407" max="6407" width="13.5703125" customWidth="1"/>
    <col min="6408" max="6408" width="13.85546875" customWidth="1"/>
    <col min="6409" max="6409" width="13.140625" customWidth="1"/>
    <col min="6410" max="6410" width="14.85546875" bestFit="1" customWidth="1"/>
    <col min="6411" max="6411" width="2.7109375" customWidth="1"/>
    <col min="6412" max="6412" width="8.85546875"/>
    <col min="6413" max="6413" width="10.85546875" customWidth="1"/>
    <col min="6414" max="6414" width="7.85546875" customWidth="1"/>
    <col min="6415" max="6415" width="11.28515625" customWidth="1"/>
    <col min="6416" max="6656" width="8.85546875"/>
    <col min="6657" max="6657" width="11.5703125" customWidth="1"/>
    <col min="6658" max="6658" width="17" customWidth="1"/>
    <col min="6659" max="6659" width="8.85546875"/>
    <col min="6660" max="6660" width="2.85546875" customWidth="1"/>
    <col min="6661" max="6661" width="14.140625" customWidth="1"/>
    <col min="6662" max="6662" width="15.42578125" customWidth="1"/>
    <col min="6663" max="6663" width="13.5703125" customWidth="1"/>
    <col min="6664" max="6664" width="13.85546875" customWidth="1"/>
    <col min="6665" max="6665" width="13.140625" customWidth="1"/>
    <col min="6666" max="6666" width="14.85546875" bestFit="1" customWidth="1"/>
    <col min="6667" max="6667" width="2.7109375" customWidth="1"/>
    <col min="6668" max="6668" width="8.85546875"/>
    <col min="6669" max="6669" width="10.85546875" customWidth="1"/>
    <col min="6670" max="6670" width="7.85546875" customWidth="1"/>
    <col min="6671" max="6671" width="11.28515625" customWidth="1"/>
    <col min="6672" max="6912" width="8.85546875"/>
    <col min="6913" max="6913" width="11.5703125" customWidth="1"/>
    <col min="6914" max="6914" width="17" customWidth="1"/>
    <col min="6915" max="6915" width="8.85546875"/>
    <col min="6916" max="6916" width="2.85546875" customWidth="1"/>
    <col min="6917" max="6917" width="14.140625" customWidth="1"/>
    <col min="6918" max="6918" width="15.42578125" customWidth="1"/>
    <col min="6919" max="6919" width="13.5703125" customWidth="1"/>
    <col min="6920" max="6920" width="13.85546875" customWidth="1"/>
    <col min="6921" max="6921" width="13.140625" customWidth="1"/>
    <col min="6922" max="6922" width="14.85546875" bestFit="1" customWidth="1"/>
    <col min="6923" max="6923" width="2.7109375" customWidth="1"/>
    <col min="6924" max="6924" width="8.85546875"/>
    <col min="6925" max="6925" width="10.85546875" customWidth="1"/>
    <col min="6926" max="6926" width="7.85546875" customWidth="1"/>
    <col min="6927" max="6927" width="11.28515625" customWidth="1"/>
    <col min="6928" max="7168" width="8.85546875"/>
    <col min="7169" max="7169" width="11.5703125" customWidth="1"/>
    <col min="7170" max="7170" width="17" customWidth="1"/>
    <col min="7171" max="7171" width="8.85546875"/>
    <col min="7172" max="7172" width="2.85546875" customWidth="1"/>
    <col min="7173" max="7173" width="14.140625" customWidth="1"/>
    <col min="7174" max="7174" width="15.42578125" customWidth="1"/>
    <col min="7175" max="7175" width="13.5703125" customWidth="1"/>
    <col min="7176" max="7176" width="13.85546875" customWidth="1"/>
    <col min="7177" max="7177" width="13.140625" customWidth="1"/>
    <col min="7178" max="7178" width="14.85546875" bestFit="1" customWidth="1"/>
    <col min="7179" max="7179" width="2.7109375" customWidth="1"/>
    <col min="7180" max="7180" width="8.85546875"/>
    <col min="7181" max="7181" width="10.85546875" customWidth="1"/>
    <col min="7182" max="7182" width="7.85546875" customWidth="1"/>
    <col min="7183" max="7183" width="11.28515625" customWidth="1"/>
    <col min="7184" max="7424" width="8.85546875"/>
    <col min="7425" max="7425" width="11.5703125" customWidth="1"/>
    <col min="7426" max="7426" width="17" customWidth="1"/>
    <col min="7427" max="7427" width="8.85546875"/>
    <col min="7428" max="7428" width="2.85546875" customWidth="1"/>
    <col min="7429" max="7429" width="14.140625" customWidth="1"/>
    <col min="7430" max="7430" width="15.42578125" customWidth="1"/>
    <col min="7431" max="7431" width="13.5703125" customWidth="1"/>
    <col min="7432" max="7432" width="13.85546875" customWidth="1"/>
    <col min="7433" max="7433" width="13.140625" customWidth="1"/>
    <col min="7434" max="7434" width="14.85546875" bestFit="1" customWidth="1"/>
    <col min="7435" max="7435" width="2.7109375" customWidth="1"/>
    <col min="7436" max="7436" width="8.85546875"/>
    <col min="7437" max="7437" width="10.85546875" customWidth="1"/>
    <col min="7438" max="7438" width="7.85546875" customWidth="1"/>
    <col min="7439" max="7439" width="11.28515625" customWidth="1"/>
    <col min="7440" max="7680" width="8.85546875"/>
    <col min="7681" max="7681" width="11.5703125" customWidth="1"/>
    <col min="7682" max="7682" width="17" customWidth="1"/>
    <col min="7683" max="7683" width="8.85546875"/>
    <col min="7684" max="7684" width="2.85546875" customWidth="1"/>
    <col min="7685" max="7685" width="14.140625" customWidth="1"/>
    <col min="7686" max="7686" width="15.42578125" customWidth="1"/>
    <col min="7687" max="7687" width="13.5703125" customWidth="1"/>
    <col min="7688" max="7688" width="13.85546875" customWidth="1"/>
    <col min="7689" max="7689" width="13.140625" customWidth="1"/>
    <col min="7690" max="7690" width="14.85546875" bestFit="1" customWidth="1"/>
    <col min="7691" max="7691" width="2.7109375" customWidth="1"/>
    <col min="7692" max="7692" width="8.85546875"/>
    <col min="7693" max="7693" width="10.85546875" customWidth="1"/>
    <col min="7694" max="7694" width="7.85546875" customWidth="1"/>
    <col min="7695" max="7695" width="11.28515625" customWidth="1"/>
    <col min="7696" max="7936" width="8.85546875"/>
    <col min="7937" max="7937" width="11.5703125" customWidth="1"/>
    <col min="7938" max="7938" width="17" customWidth="1"/>
    <col min="7939" max="7939" width="8.85546875"/>
    <col min="7940" max="7940" width="2.85546875" customWidth="1"/>
    <col min="7941" max="7941" width="14.140625" customWidth="1"/>
    <col min="7942" max="7942" width="15.42578125" customWidth="1"/>
    <col min="7943" max="7943" width="13.5703125" customWidth="1"/>
    <col min="7944" max="7944" width="13.85546875" customWidth="1"/>
    <col min="7945" max="7945" width="13.140625" customWidth="1"/>
    <col min="7946" max="7946" width="14.85546875" bestFit="1" customWidth="1"/>
    <col min="7947" max="7947" width="2.7109375" customWidth="1"/>
    <col min="7948" max="7948" width="8.85546875"/>
    <col min="7949" max="7949" width="10.85546875" customWidth="1"/>
    <col min="7950" max="7950" width="7.85546875" customWidth="1"/>
    <col min="7951" max="7951" width="11.28515625" customWidth="1"/>
    <col min="7952" max="8192" width="8.85546875"/>
    <col min="8193" max="8193" width="11.5703125" customWidth="1"/>
    <col min="8194" max="8194" width="17" customWidth="1"/>
    <col min="8195" max="8195" width="8.85546875"/>
    <col min="8196" max="8196" width="2.85546875" customWidth="1"/>
    <col min="8197" max="8197" width="14.140625" customWidth="1"/>
    <col min="8198" max="8198" width="15.42578125" customWidth="1"/>
    <col min="8199" max="8199" width="13.5703125" customWidth="1"/>
    <col min="8200" max="8200" width="13.85546875" customWidth="1"/>
    <col min="8201" max="8201" width="13.140625" customWidth="1"/>
    <col min="8202" max="8202" width="14.85546875" bestFit="1" customWidth="1"/>
    <col min="8203" max="8203" width="2.7109375" customWidth="1"/>
    <col min="8204" max="8204" width="8.85546875"/>
    <col min="8205" max="8205" width="10.85546875" customWidth="1"/>
    <col min="8206" max="8206" width="7.85546875" customWidth="1"/>
    <col min="8207" max="8207" width="11.28515625" customWidth="1"/>
    <col min="8208" max="8448" width="8.85546875"/>
    <col min="8449" max="8449" width="11.5703125" customWidth="1"/>
    <col min="8450" max="8450" width="17" customWidth="1"/>
    <col min="8451" max="8451" width="8.85546875"/>
    <col min="8452" max="8452" width="2.85546875" customWidth="1"/>
    <col min="8453" max="8453" width="14.140625" customWidth="1"/>
    <col min="8454" max="8454" width="15.42578125" customWidth="1"/>
    <col min="8455" max="8455" width="13.5703125" customWidth="1"/>
    <col min="8456" max="8456" width="13.85546875" customWidth="1"/>
    <col min="8457" max="8457" width="13.140625" customWidth="1"/>
    <col min="8458" max="8458" width="14.85546875" bestFit="1" customWidth="1"/>
    <col min="8459" max="8459" width="2.7109375" customWidth="1"/>
    <col min="8460" max="8460" width="8.85546875"/>
    <col min="8461" max="8461" width="10.85546875" customWidth="1"/>
    <col min="8462" max="8462" width="7.85546875" customWidth="1"/>
    <col min="8463" max="8463" width="11.28515625" customWidth="1"/>
    <col min="8464" max="8704" width="8.85546875"/>
    <col min="8705" max="8705" width="11.5703125" customWidth="1"/>
    <col min="8706" max="8706" width="17" customWidth="1"/>
    <col min="8707" max="8707" width="8.85546875"/>
    <col min="8708" max="8708" width="2.85546875" customWidth="1"/>
    <col min="8709" max="8709" width="14.140625" customWidth="1"/>
    <col min="8710" max="8710" width="15.42578125" customWidth="1"/>
    <col min="8711" max="8711" width="13.5703125" customWidth="1"/>
    <col min="8712" max="8712" width="13.85546875" customWidth="1"/>
    <col min="8713" max="8713" width="13.140625" customWidth="1"/>
    <col min="8714" max="8714" width="14.85546875" bestFit="1" customWidth="1"/>
    <col min="8715" max="8715" width="2.7109375" customWidth="1"/>
    <col min="8716" max="8716" width="8.85546875"/>
    <col min="8717" max="8717" width="10.85546875" customWidth="1"/>
    <col min="8718" max="8718" width="7.85546875" customWidth="1"/>
    <col min="8719" max="8719" width="11.28515625" customWidth="1"/>
    <col min="8720" max="8960" width="8.85546875"/>
    <col min="8961" max="8961" width="11.5703125" customWidth="1"/>
    <col min="8962" max="8962" width="17" customWidth="1"/>
    <col min="8963" max="8963" width="8.85546875"/>
    <col min="8964" max="8964" width="2.85546875" customWidth="1"/>
    <col min="8965" max="8965" width="14.140625" customWidth="1"/>
    <col min="8966" max="8966" width="15.42578125" customWidth="1"/>
    <col min="8967" max="8967" width="13.5703125" customWidth="1"/>
    <col min="8968" max="8968" width="13.85546875" customWidth="1"/>
    <col min="8969" max="8969" width="13.140625" customWidth="1"/>
    <col min="8970" max="8970" width="14.85546875" bestFit="1" customWidth="1"/>
    <col min="8971" max="8971" width="2.7109375" customWidth="1"/>
    <col min="8972" max="8972" width="8.85546875"/>
    <col min="8973" max="8973" width="10.85546875" customWidth="1"/>
    <col min="8974" max="8974" width="7.85546875" customWidth="1"/>
    <col min="8975" max="8975" width="11.28515625" customWidth="1"/>
    <col min="8976" max="9216" width="8.85546875"/>
    <col min="9217" max="9217" width="11.5703125" customWidth="1"/>
    <col min="9218" max="9218" width="17" customWidth="1"/>
    <col min="9219" max="9219" width="8.85546875"/>
    <col min="9220" max="9220" width="2.85546875" customWidth="1"/>
    <col min="9221" max="9221" width="14.140625" customWidth="1"/>
    <col min="9222" max="9222" width="15.42578125" customWidth="1"/>
    <col min="9223" max="9223" width="13.5703125" customWidth="1"/>
    <col min="9224" max="9224" width="13.85546875" customWidth="1"/>
    <col min="9225" max="9225" width="13.140625" customWidth="1"/>
    <col min="9226" max="9226" width="14.85546875" bestFit="1" customWidth="1"/>
    <col min="9227" max="9227" width="2.7109375" customWidth="1"/>
    <col min="9228" max="9228" width="8.85546875"/>
    <col min="9229" max="9229" width="10.85546875" customWidth="1"/>
    <col min="9230" max="9230" width="7.85546875" customWidth="1"/>
    <col min="9231" max="9231" width="11.28515625" customWidth="1"/>
    <col min="9232" max="9472" width="8.85546875"/>
    <col min="9473" max="9473" width="11.5703125" customWidth="1"/>
    <col min="9474" max="9474" width="17" customWidth="1"/>
    <col min="9475" max="9475" width="8.85546875"/>
    <col min="9476" max="9476" width="2.85546875" customWidth="1"/>
    <col min="9477" max="9477" width="14.140625" customWidth="1"/>
    <col min="9478" max="9478" width="15.42578125" customWidth="1"/>
    <col min="9479" max="9479" width="13.5703125" customWidth="1"/>
    <col min="9480" max="9480" width="13.85546875" customWidth="1"/>
    <col min="9481" max="9481" width="13.140625" customWidth="1"/>
    <col min="9482" max="9482" width="14.85546875" bestFit="1" customWidth="1"/>
    <col min="9483" max="9483" width="2.7109375" customWidth="1"/>
    <col min="9484" max="9484" width="8.85546875"/>
    <col min="9485" max="9485" width="10.85546875" customWidth="1"/>
    <col min="9486" max="9486" width="7.85546875" customWidth="1"/>
    <col min="9487" max="9487" width="11.28515625" customWidth="1"/>
    <col min="9488" max="9728" width="8.85546875"/>
    <col min="9729" max="9729" width="11.5703125" customWidth="1"/>
    <col min="9730" max="9730" width="17" customWidth="1"/>
    <col min="9731" max="9731" width="8.85546875"/>
    <col min="9732" max="9732" width="2.85546875" customWidth="1"/>
    <col min="9733" max="9733" width="14.140625" customWidth="1"/>
    <col min="9734" max="9734" width="15.42578125" customWidth="1"/>
    <col min="9735" max="9735" width="13.5703125" customWidth="1"/>
    <col min="9736" max="9736" width="13.85546875" customWidth="1"/>
    <col min="9737" max="9737" width="13.140625" customWidth="1"/>
    <col min="9738" max="9738" width="14.85546875" bestFit="1" customWidth="1"/>
    <col min="9739" max="9739" width="2.7109375" customWidth="1"/>
    <col min="9740" max="9740" width="8.85546875"/>
    <col min="9741" max="9741" width="10.85546875" customWidth="1"/>
    <col min="9742" max="9742" width="7.85546875" customWidth="1"/>
    <col min="9743" max="9743" width="11.28515625" customWidth="1"/>
    <col min="9744" max="9984" width="8.85546875"/>
    <col min="9985" max="9985" width="11.5703125" customWidth="1"/>
    <col min="9986" max="9986" width="17" customWidth="1"/>
    <col min="9987" max="9987" width="8.85546875"/>
    <col min="9988" max="9988" width="2.85546875" customWidth="1"/>
    <col min="9989" max="9989" width="14.140625" customWidth="1"/>
    <col min="9990" max="9990" width="15.42578125" customWidth="1"/>
    <col min="9991" max="9991" width="13.5703125" customWidth="1"/>
    <col min="9992" max="9992" width="13.85546875" customWidth="1"/>
    <col min="9993" max="9993" width="13.140625" customWidth="1"/>
    <col min="9994" max="9994" width="14.85546875" bestFit="1" customWidth="1"/>
    <col min="9995" max="9995" width="2.7109375" customWidth="1"/>
    <col min="9996" max="9996" width="8.85546875"/>
    <col min="9997" max="9997" width="10.85546875" customWidth="1"/>
    <col min="9998" max="9998" width="7.85546875" customWidth="1"/>
    <col min="9999" max="9999" width="11.28515625" customWidth="1"/>
    <col min="10000" max="10240" width="8.85546875"/>
    <col min="10241" max="10241" width="11.5703125" customWidth="1"/>
    <col min="10242" max="10242" width="17" customWidth="1"/>
    <col min="10243" max="10243" width="8.85546875"/>
    <col min="10244" max="10244" width="2.85546875" customWidth="1"/>
    <col min="10245" max="10245" width="14.140625" customWidth="1"/>
    <col min="10246" max="10246" width="15.42578125" customWidth="1"/>
    <col min="10247" max="10247" width="13.5703125" customWidth="1"/>
    <col min="10248" max="10248" width="13.85546875" customWidth="1"/>
    <col min="10249" max="10249" width="13.140625" customWidth="1"/>
    <col min="10250" max="10250" width="14.85546875" bestFit="1" customWidth="1"/>
    <col min="10251" max="10251" width="2.7109375" customWidth="1"/>
    <col min="10252" max="10252" width="8.85546875"/>
    <col min="10253" max="10253" width="10.85546875" customWidth="1"/>
    <col min="10254" max="10254" width="7.85546875" customWidth="1"/>
    <col min="10255" max="10255" width="11.28515625" customWidth="1"/>
    <col min="10256" max="10496" width="8.85546875"/>
    <col min="10497" max="10497" width="11.5703125" customWidth="1"/>
    <col min="10498" max="10498" width="17" customWidth="1"/>
    <col min="10499" max="10499" width="8.85546875"/>
    <col min="10500" max="10500" width="2.85546875" customWidth="1"/>
    <col min="10501" max="10501" width="14.140625" customWidth="1"/>
    <col min="10502" max="10502" width="15.42578125" customWidth="1"/>
    <col min="10503" max="10503" width="13.5703125" customWidth="1"/>
    <col min="10504" max="10504" width="13.85546875" customWidth="1"/>
    <col min="10505" max="10505" width="13.140625" customWidth="1"/>
    <col min="10506" max="10506" width="14.85546875" bestFit="1" customWidth="1"/>
    <col min="10507" max="10507" width="2.7109375" customWidth="1"/>
    <col min="10508" max="10508" width="8.85546875"/>
    <col min="10509" max="10509" width="10.85546875" customWidth="1"/>
    <col min="10510" max="10510" width="7.85546875" customWidth="1"/>
    <col min="10511" max="10511" width="11.28515625" customWidth="1"/>
    <col min="10512" max="10752" width="8.85546875"/>
    <col min="10753" max="10753" width="11.5703125" customWidth="1"/>
    <col min="10754" max="10754" width="17" customWidth="1"/>
    <col min="10755" max="10755" width="8.85546875"/>
    <col min="10756" max="10756" width="2.85546875" customWidth="1"/>
    <col min="10757" max="10757" width="14.140625" customWidth="1"/>
    <col min="10758" max="10758" width="15.42578125" customWidth="1"/>
    <col min="10759" max="10759" width="13.5703125" customWidth="1"/>
    <col min="10760" max="10760" width="13.85546875" customWidth="1"/>
    <col min="10761" max="10761" width="13.140625" customWidth="1"/>
    <col min="10762" max="10762" width="14.85546875" bestFit="1" customWidth="1"/>
    <col min="10763" max="10763" width="2.7109375" customWidth="1"/>
    <col min="10764" max="10764" width="8.85546875"/>
    <col min="10765" max="10765" width="10.85546875" customWidth="1"/>
    <col min="10766" max="10766" width="7.85546875" customWidth="1"/>
    <col min="10767" max="10767" width="11.28515625" customWidth="1"/>
    <col min="10768" max="11008" width="8.85546875"/>
    <col min="11009" max="11009" width="11.5703125" customWidth="1"/>
    <col min="11010" max="11010" width="17" customWidth="1"/>
    <col min="11011" max="11011" width="8.85546875"/>
    <col min="11012" max="11012" width="2.85546875" customWidth="1"/>
    <col min="11013" max="11013" width="14.140625" customWidth="1"/>
    <col min="11014" max="11014" width="15.42578125" customWidth="1"/>
    <col min="11015" max="11015" width="13.5703125" customWidth="1"/>
    <col min="11016" max="11016" width="13.85546875" customWidth="1"/>
    <col min="11017" max="11017" width="13.140625" customWidth="1"/>
    <col min="11018" max="11018" width="14.85546875" bestFit="1" customWidth="1"/>
    <col min="11019" max="11019" width="2.7109375" customWidth="1"/>
    <col min="11020" max="11020" width="8.85546875"/>
    <col min="11021" max="11021" width="10.85546875" customWidth="1"/>
    <col min="11022" max="11022" width="7.85546875" customWidth="1"/>
    <col min="11023" max="11023" width="11.28515625" customWidth="1"/>
    <col min="11024" max="11264" width="8.85546875"/>
    <col min="11265" max="11265" width="11.5703125" customWidth="1"/>
    <col min="11266" max="11266" width="17" customWidth="1"/>
    <col min="11267" max="11267" width="8.85546875"/>
    <col min="11268" max="11268" width="2.85546875" customWidth="1"/>
    <col min="11269" max="11269" width="14.140625" customWidth="1"/>
    <col min="11270" max="11270" width="15.42578125" customWidth="1"/>
    <col min="11271" max="11271" width="13.5703125" customWidth="1"/>
    <col min="11272" max="11272" width="13.85546875" customWidth="1"/>
    <col min="11273" max="11273" width="13.140625" customWidth="1"/>
    <col min="11274" max="11274" width="14.85546875" bestFit="1" customWidth="1"/>
    <col min="11275" max="11275" width="2.7109375" customWidth="1"/>
    <col min="11276" max="11276" width="8.85546875"/>
    <col min="11277" max="11277" width="10.85546875" customWidth="1"/>
    <col min="11278" max="11278" width="7.85546875" customWidth="1"/>
    <col min="11279" max="11279" width="11.28515625" customWidth="1"/>
    <col min="11280" max="11520" width="8.85546875"/>
    <col min="11521" max="11521" width="11.5703125" customWidth="1"/>
    <col min="11522" max="11522" width="17" customWidth="1"/>
    <col min="11523" max="11523" width="8.85546875"/>
    <col min="11524" max="11524" width="2.85546875" customWidth="1"/>
    <col min="11525" max="11525" width="14.140625" customWidth="1"/>
    <col min="11526" max="11526" width="15.42578125" customWidth="1"/>
    <col min="11527" max="11527" width="13.5703125" customWidth="1"/>
    <col min="11528" max="11528" width="13.85546875" customWidth="1"/>
    <col min="11529" max="11529" width="13.140625" customWidth="1"/>
    <col min="11530" max="11530" width="14.85546875" bestFit="1" customWidth="1"/>
    <col min="11531" max="11531" width="2.7109375" customWidth="1"/>
    <col min="11532" max="11532" width="8.85546875"/>
    <col min="11533" max="11533" width="10.85546875" customWidth="1"/>
    <col min="11534" max="11534" width="7.85546875" customWidth="1"/>
    <col min="11535" max="11535" width="11.28515625" customWidth="1"/>
    <col min="11536" max="11776" width="8.85546875"/>
    <col min="11777" max="11777" width="11.5703125" customWidth="1"/>
    <col min="11778" max="11778" width="17" customWidth="1"/>
    <col min="11779" max="11779" width="8.85546875"/>
    <col min="11780" max="11780" width="2.85546875" customWidth="1"/>
    <col min="11781" max="11781" width="14.140625" customWidth="1"/>
    <col min="11782" max="11782" width="15.42578125" customWidth="1"/>
    <col min="11783" max="11783" width="13.5703125" customWidth="1"/>
    <col min="11784" max="11784" width="13.85546875" customWidth="1"/>
    <col min="11785" max="11785" width="13.140625" customWidth="1"/>
    <col min="11786" max="11786" width="14.85546875" bestFit="1" customWidth="1"/>
    <col min="11787" max="11787" width="2.7109375" customWidth="1"/>
    <col min="11788" max="11788" width="8.85546875"/>
    <col min="11789" max="11789" width="10.85546875" customWidth="1"/>
    <col min="11790" max="11790" width="7.85546875" customWidth="1"/>
    <col min="11791" max="11791" width="11.28515625" customWidth="1"/>
    <col min="11792" max="12032" width="8.85546875"/>
    <col min="12033" max="12033" width="11.5703125" customWidth="1"/>
    <col min="12034" max="12034" width="17" customWidth="1"/>
    <col min="12035" max="12035" width="8.85546875"/>
    <col min="12036" max="12036" width="2.85546875" customWidth="1"/>
    <col min="12037" max="12037" width="14.140625" customWidth="1"/>
    <col min="12038" max="12038" width="15.42578125" customWidth="1"/>
    <col min="12039" max="12039" width="13.5703125" customWidth="1"/>
    <col min="12040" max="12040" width="13.85546875" customWidth="1"/>
    <col min="12041" max="12041" width="13.140625" customWidth="1"/>
    <col min="12042" max="12042" width="14.85546875" bestFit="1" customWidth="1"/>
    <col min="12043" max="12043" width="2.7109375" customWidth="1"/>
    <col min="12044" max="12044" width="8.85546875"/>
    <col min="12045" max="12045" width="10.85546875" customWidth="1"/>
    <col min="12046" max="12046" width="7.85546875" customWidth="1"/>
    <col min="12047" max="12047" width="11.28515625" customWidth="1"/>
    <col min="12048" max="12288" width="8.85546875"/>
    <col min="12289" max="12289" width="11.5703125" customWidth="1"/>
    <col min="12290" max="12290" width="17" customWidth="1"/>
    <col min="12291" max="12291" width="8.85546875"/>
    <col min="12292" max="12292" width="2.85546875" customWidth="1"/>
    <col min="12293" max="12293" width="14.140625" customWidth="1"/>
    <col min="12294" max="12294" width="15.42578125" customWidth="1"/>
    <col min="12295" max="12295" width="13.5703125" customWidth="1"/>
    <col min="12296" max="12296" width="13.85546875" customWidth="1"/>
    <col min="12297" max="12297" width="13.140625" customWidth="1"/>
    <col min="12298" max="12298" width="14.85546875" bestFit="1" customWidth="1"/>
    <col min="12299" max="12299" width="2.7109375" customWidth="1"/>
    <col min="12300" max="12300" width="8.85546875"/>
    <col min="12301" max="12301" width="10.85546875" customWidth="1"/>
    <col min="12302" max="12302" width="7.85546875" customWidth="1"/>
    <col min="12303" max="12303" width="11.28515625" customWidth="1"/>
    <col min="12304" max="12544" width="8.85546875"/>
    <col min="12545" max="12545" width="11.5703125" customWidth="1"/>
    <col min="12546" max="12546" width="17" customWidth="1"/>
    <col min="12547" max="12547" width="8.85546875"/>
    <col min="12548" max="12548" width="2.85546875" customWidth="1"/>
    <col min="12549" max="12549" width="14.140625" customWidth="1"/>
    <col min="12550" max="12550" width="15.42578125" customWidth="1"/>
    <col min="12551" max="12551" width="13.5703125" customWidth="1"/>
    <col min="12552" max="12552" width="13.85546875" customWidth="1"/>
    <col min="12553" max="12553" width="13.140625" customWidth="1"/>
    <col min="12554" max="12554" width="14.85546875" bestFit="1" customWidth="1"/>
    <col min="12555" max="12555" width="2.7109375" customWidth="1"/>
    <col min="12556" max="12556" width="8.85546875"/>
    <col min="12557" max="12557" width="10.85546875" customWidth="1"/>
    <col min="12558" max="12558" width="7.85546875" customWidth="1"/>
    <col min="12559" max="12559" width="11.28515625" customWidth="1"/>
    <col min="12560" max="12800" width="8.85546875"/>
    <col min="12801" max="12801" width="11.5703125" customWidth="1"/>
    <col min="12802" max="12802" width="17" customWidth="1"/>
    <col min="12803" max="12803" width="8.85546875"/>
    <col min="12804" max="12804" width="2.85546875" customWidth="1"/>
    <col min="12805" max="12805" width="14.140625" customWidth="1"/>
    <col min="12806" max="12806" width="15.42578125" customWidth="1"/>
    <col min="12807" max="12807" width="13.5703125" customWidth="1"/>
    <col min="12808" max="12808" width="13.85546875" customWidth="1"/>
    <col min="12809" max="12809" width="13.140625" customWidth="1"/>
    <col min="12810" max="12810" width="14.85546875" bestFit="1" customWidth="1"/>
    <col min="12811" max="12811" width="2.7109375" customWidth="1"/>
    <col min="12812" max="12812" width="8.85546875"/>
    <col min="12813" max="12813" width="10.85546875" customWidth="1"/>
    <col min="12814" max="12814" width="7.85546875" customWidth="1"/>
    <col min="12815" max="12815" width="11.28515625" customWidth="1"/>
    <col min="12816" max="13056" width="8.85546875"/>
    <col min="13057" max="13057" width="11.5703125" customWidth="1"/>
    <col min="13058" max="13058" width="17" customWidth="1"/>
    <col min="13059" max="13059" width="8.85546875"/>
    <col min="13060" max="13060" width="2.85546875" customWidth="1"/>
    <col min="13061" max="13061" width="14.140625" customWidth="1"/>
    <col min="13062" max="13062" width="15.42578125" customWidth="1"/>
    <col min="13063" max="13063" width="13.5703125" customWidth="1"/>
    <col min="13064" max="13064" width="13.85546875" customWidth="1"/>
    <col min="13065" max="13065" width="13.140625" customWidth="1"/>
    <col min="13066" max="13066" width="14.85546875" bestFit="1" customWidth="1"/>
    <col min="13067" max="13067" width="2.7109375" customWidth="1"/>
    <col min="13068" max="13068" width="8.85546875"/>
    <col min="13069" max="13069" width="10.85546875" customWidth="1"/>
    <col min="13070" max="13070" width="7.85546875" customWidth="1"/>
    <col min="13071" max="13071" width="11.28515625" customWidth="1"/>
    <col min="13072" max="13312" width="8.85546875"/>
    <col min="13313" max="13313" width="11.5703125" customWidth="1"/>
    <col min="13314" max="13314" width="17" customWidth="1"/>
    <col min="13315" max="13315" width="8.85546875"/>
    <col min="13316" max="13316" width="2.85546875" customWidth="1"/>
    <col min="13317" max="13317" width="14.140625" customWidth="1"/>
    <col min="13318" max="13318" width="15.42578125" customWidth="1"/>
    <col min="13319" max="13319" width="13.5703125" customWidth="1"/>
    <col min="13320" max="13320" width="13.85546875" customWidth="1"/>
    <col min="13321" max="13321" width="13.140625" customWidth="1"/>
    <col min="13322" max="13322" width="14.85546875" bestFit="1" customWidth="1"/>
    <col min="13323" max="13323" width="2.7109375" customWidth="1"/>
    <col min="13324" max="13324" width="8.85546875"/>
    <col min="13325" max="13325" width="10.85546875" customWidth="1"/>
    <col min="13326" max="13326" width="7.85546875" customWidth="1"/>
    <col min="13327" max="13327" width="11.28515625" customWidth="1"/>
    <col min="13328" max="13568" width="8.85546875"/>
    <col min="13569" max="13569" width="11.5703125" customWidth="1"/>
    <col min="13570" max="13570" width="17" customWidth="1"/>
    <col min="13571" max="13571" width="8.85546875"/>
    <col min="13572" max="13572" width="2.85546875" customWidth="1"/>
    <col min="13573" max="13573" width="14.140625" customWidth="1"/>
    <col min="13574" max="13574" width="15.42578125" customWidth="1"/>
    <col min="13575" max="13575" width="13.5703125" customWidth="1"/>
    <col min="13576" max="13576" width="13.85546875" customWidth="1"/>
    <col min="13577" max="13577" width="13.140625" customWidth="1"/>
    <col min="13578" max="13578" width="14.85546875" bestFit="1" customWidth="1"/>
    <col min="13579" max="13579" width="2.7109375" customWidth="1"/>
    <col min="13580" max="13580" width="8.85546875"/>
    <col min="13581" max="13581" width="10.85546875" customWidth="1"/>
    <col min="13582" max="13582" width="7.85546875" customWidth="1"/>
    <col min="13583" max="13583" width="11.28515625" customWidth="1"/>
    <col min="13584" max="13824" width="8.85546875"/>
    <col min="13825" max="13825" width="11.5703125" customWidth="1"/>
    <col min="13826" max="13826" width="17" customWidth="1"/>
    <col min="13827" max="13827" width="8.85546875"/>
    <col min="13828" max="13828" width="2.85546875" customWidth="1"/>
    <col min="13829" max="13829" width="14.140625" customWidth="1"/>
    <col min="13830" max="13830" width="15.42578125" customWidth="1"/>
    <col min="13831" max="13831" width="13.5703125" customWidth="1"/>
    <col min="13832" max="13832" width="13.85546875" customWidth="1"/>
    <col min="13833" max="13833" width="13.140625" customWidth="1"/>
    <col min="13834" max="13834" width="14.85546875" bestFit="1" customWidth="1"/>
    <col min="13835" max="13835" width="2.7109375" customWidth="1"/>
    <col min="13836" max="13836" width="8.85546875"/>
    <col min="13837" max="13837" width="10.85546875" customWidth="1"/>
    <col min="13838" max="13838" width="7.85546875" customWidth="1"/>
    <col min="13839" max="13839" width="11.28515625" customWidth="1"/>
    <col min="13840" max="14080" width="8.85546875"/>
    <col min="14081" max="14081" width="11.5703125" customWidth="1"/>
    <col min="14082" max="14082" width="17" customWidth="1"/>
    <col min="14083" max="14083" width="8.85546875"/>
    <col min="14084" max="14084" width="2.85546875" customWidth="1"/>
    <col min="14085" max="14085" width="14.140625" customWidth="1"/>
    <col min="14086" max="14086" width="15.42578125" customWidth="1"/>
    <col min="14087" max="14087" width="13.5703125" customWidth="1"/>
    <col min="14088" max="14088" width="13.85546875" customWidth="1"/>
    <col min="14089" max="14089" width="13.140625" customWidth="1"/>
    <col min="14090" max="14090" width="14.85546875" bestFit="1" customWidth="1"/>
    <col min="14091" max="14091" width="2.7109375" customWidth="1"/>
    <col min="14092" max="14092" width="8.85546875"/>
    <col min="14093" max="14093" width="10.85546875" customWidth="1"/>
    <col min="14094" max="14094" width="7.85546875" customWidth="1"/>
    <col min="14095" max="14095" width="11.28515625" customWidth="1"/>
    <col min="14096" max="14336" width="8.85546875"/>
    <col min="14337" max="14337" width="11.5703125" customWidth="1"/>
    <col min="14338" max="14338" width="17" customWidth="1"/>
    <col min="14339" max="14339" width="8.85546875"/>
    <col min="14340" max="14340" width="2.85546875" customWidth="1"/>
    <col min="14341" max="14341" width="14.140625" customWidth="1"/>
    <col min="14342" max="14342" width="15.42578125" customWidth="1"/>
    <col min="14343" max="14343" width="13.5703125" customWidth="1"/>
    <col min="14344" max="14344" width="13.85546875" customWidth="1"/>
    <col min="14345" max="14345" width="13.140625" customWidth="1"/>
    <col min="14346" max="14346" width="14.85546875" bestFit="1" customWidth="1"/>
    <col min="14347" max="14347" width="2.7109375" customWidth="1"/>
    <col min="14348" max="14348" width="8.85546875"/>
    <col min="14349" max="14349" width="10.85546875" customWidth="1"/>
    <col min="14350" max="14350" width="7.85546875" customWidth="1"/>
    <col min="14351" max="14351" width="11.28515625" customWidth="1"/>
    <col min="14352" max="14592" width="8.85546875"/>
    <col min="14593" max="14593" width="11.5703125" customWidth="1"/>
    <col min="14594" max="14594" width="17" customWidth="1"/>
    <col min="14595" max="14595" width="8.85546875"/>
    <col min="14596" max="14596" width="2.85546875" customWidth="1"/>
    <col min="14597" max="14597" width="14.140625" customWidth="1"/>
    <col min="14598" max="14598" width="15.42578125" customWidth="1"/>
    <col min="14599" max="14599" width="13.5703125" customWidth="1"/>
    <col min="14600" max="14600" width="13.85546875" customWidth="1"/>
    <col min="14601" max="14601" width="13.140625" customWidth="1"/>
    <col min="14602" max="14602" width="14.85546875" bestFit="1" customWidth="1"/>
    <col min="14603" max="14603" width="2.7109375" customWidth="1"/>
    <col min="14604" max="14604" width="8.85546875"/>
    <col min="14605" max="14605" width="10.85546875" customWidth="1"/>
    <col min="14606" max="14606" width="7.85546875" customWidth="1"/>
    <col min="14607" max="14607" width="11.28515625" customWidth="1"/>
    <col min="14608" max="14848" width="8.85546875"/>
    <col min="14849" max="14849" width="11.5703125" customWidth="1"/>
    <col min="14850" max="14850" width="17" customWidth="1"/>
    <col min="14851" max="14851" width="8.85546875"/>
    <col min="14852" max="14852" width="2.85546875" customWidth="1"/>
    <col min="14853" max="14853" width="14.140625" customWidth="1"/>
    <col min="14854" max="14854" width="15.42578125" customWidth="1"/>
    <col min="14855" max="14855" width="13.5703125" customWidth="1"/>
    <col min="14856" max="14856" width="13.85546875" customWidth="1"/>
    <col min="14857" max="14857" width="13.140625" customWidth="1"/>
    <col min="14858" max="14858" width="14.85546875" bestFit="1" customWidth="1"/>
    <col min="14859" max="14859" width="2.7109375" customWidth="1"/>
    <col min="14860" max="14860" width="8.85546875"/>
    <col min="14861" max="14861" width="10.85546875" customWidth="1"/>
    <col min="14862" max="14862" width="7.85546875" customWidth="1"/>
    <col min="14863" max="14863" width="11.28515625" customWidth="1"/>
    <col min="14864" max="15104" width="8.85546875"/>
    <col min="15105" max="15105" width="11.5703125" customWidth="1"/>
    <col min="15106" max="15106" width="17" customWidth="1"/>
    <col min="15107" max="15107" width="8.85546875"/>
    <col min="15108" max="15108" width="2.85546875" customWidth="1"/>
    <col min="15109" max="15109" width="14.140625" customWidth="1"/>
    <col min="15110" max="15110" width="15.42578125" customWidth="1"/>
    <col min="15111" max="15111" width="13.5703125" customWidth="1"/>
    <col min="15112" max="15112" width="13.85546875" customWidth="1"/>
    <col min="15113" max="15113" width="13.140625" customWidth="1"/>
    <col min="15114" max="15114" width="14.85546875" bestFit="1" customWidth="1"/>
    <col min="15115" max="15115" width="2.7109375" customWidth="1"/>
    <col min="15116" max="15116" width="8.85546875"/>
    <col min="15117" max="15117" width="10.85546875" customWidth="1"/>
    <col min="15118" max="15118" width="7.85546875" customWidth="1"/>
    <col min="15119" max="15119" width="11.28515625" customWidth="1"/>
    <col min="15120" max="15360" width="8.85546875"/>
    <col min="15361" max="15361" width="11.5703125" customWidth="1"/>
    <col min="15362" max="15362" width="17" customWidth="1"/>
    <col min="15363" max="15363" width="8.85546875"/>
    <col min="15364" max="15364" width="2.85546875" customWidth="1"/>
    <col min="15365" max="15365" width="14.140625" customWidth="1"/>
    <col min="15366" max="15366" width="15.42578125" customWidth="1"/>
    <col min="15367" max="15367" width="13.5703125" customWidth="1"/>
    <col min="15368" max="15368" width="13.85546875" customWidth="1"/>
    <col min="15369" max="15369" width="13.140625" customWidth="1"/>
    <col min="15370" max="15370" width="14.85546875" bestFit="1" customWidth="1"/>
    <col min="15371" max="15371" width="2.7109375" customWidth="1"/>
    <col min="15372" max="15372" width="8.85546875"/>
    <col min="15373" max="15373" width="10.85546875" customWidth="1"/>
    <col min="15374" max="15374" width="7.85546875" customWidth="1"/>
    <col min="15375" max="15375" width="11.28515625" customWidth="1"/>
    <col min="15376" max="15616" width="8.85546875"/>
    <col min="15617" max="15617" width="11.5703125" customWidth="1"/>
    <col min="15618" max="15618" width="17" customWidth="1"/>
    <col min="15619" max="15619" width="8.85546875"/>
    <col min="15620" max="15620" width="2.85546875" customWidth="1"/>
    <col min="15621" max="15621" width="14.140625" customWidth="1"/>
    <col min="15622" max="15622" width="15.42578125" customWidth="1"/>
    <col min="15623" max="15623" width="13.5703125" customWidth="1"/>
    <col min="15624" max="15624" width="13.85546875" customWidth="1"/>
    <col min="15625" max="15625" width="13.140625" customWidth="1"/>
    <col min="15626" max="15626" width="14.85546875" bestFit="1" customWidth="1"/>
    <col min="15627" max="15627" width="2.7109375" customWidth="1"/>
    <col min="15628" max="15628" width="8.85546875"/>
    <col min="15629" max="15629" width="10.85546875" customWidth="1"/>
    <col min="15630" max="15630" width="7.85546875" customWidth="1"/>
    <col min="15631" max="15631" width="11.28515625" customWidth="1"/>
    <col min="15632" max="15872" width="8.85546875"/>
    <col min="15873" max="15873" width="11.5703125" customWidth="1"/>
    <col min="15874" max="15874" width="17" customWidth="1"/>
    <col min="15875" max="15875" width="8.85546875"/>
    <col min="15876" max="15876" width="2.85546875" customWidth="1"/>
    <col min="15877" max="15877" width="14.140625" customWidth="1"/>
    <col min="15878" max="15878" width="15.42578125" customWidth="1"/>
    <col min="15879" max="15879" width="13.5703125" customWidth="1"/>
    <col min="15880" max="15880" width="13.85546875" customWidth="1"/>
    <col min="15881" max="15881" width="13.140625" customWidth="1"/>
    <col min="15882" max="15882" width="14.85546875" bestFit="1" customWidth="1"/>
    <col min="15883" max="15883" width="2.7109375" customWidth="1"/>
    <col min="15884" max="15884" width="8.85546875"/>
    <col min="15885" max="15885" width="10.85546875" customWidth="1"/>
    <col min="15886" max="15886" width="7.85546875" customWidth="1"/>
    <col min="15887" max="15887" width="11.28515625" customWidth="1"/>
    <col min="15888" max="16128" width="8.85546875"/>
    <col min="16129" max="16129" width="11.5703125" customWidth="1"/>
    <col min="16130" max="16130" width="17" customWidth="1"/>
    <col min="16131" max="16131" width="8.85546875"/>
    <col min="16132" max="16132" width="2.85546875" customWidth="1"/>
    <col min="16133" max="16133" width="14.140625" customWidth="1"/>
    <col min="16134" max="16134" width="15.42578125" customWidth="1"/>
    <col min="16135" max="16135" width="13.5703125" customWidth="1"/>
    <col min="16136" max="16136" width="13.85546875" customWidth="1"/>
    <col min="16137" max="16137" width="13.140625" customWidth="1"/>
    <col min="16138" max="16138" width="14.85546875" bestFit="1" customWidth="1"/>
    <col min="16139" max="16139" width="2.7109375" customWidth="1"/>
    <col min="16140" max="16140" width="8.85546875"/>
    <col min="16141" max="16141" width="10.85546875" customWidth="1"/>
    <col min="16142" max="16142" width="7.85546875" customWidth="1"/>
    <col min="16143" max="16143" width="11.28515625" customWidth="1"/>
    <col min="16144" max="16384" width="8.85546875"/>
  </cols>
  <sheetData>
    <row r="1" spans="1:16" ht="15" customHeight="1" x14ac:dyDescent="0.25"/>
    <row r="2" spans="1:16" ht="15" customHeight="1" x14ac:dyDescent="0.25">
      <c r="A2" s="459" t="s">
        <v>53</v>
      </c>
      <c r="B2" s="460"/>
      <c r="C2" s="460"/>
      <c r="D2" s="461"/>
      <c r="E2" s="14" t="s">
        <v>54</v>
      </c>
      <c r="F2" s="14">
        <v>2013</v>
      </c>
      <c r="G2" s="329">
        <v>45291</v>
      </c>
      <c r="H2" s="329">
        <v>45657</v>
      </c>
      <c r="I2" s="329">
        <v>45838</v>
      </c>
      <c r="J2" s="16"/>
    </row>
    <row r="3" spans="1:16" ht="15" customHeight="1" x14ac:dyDescent="0.25">
      <c r="A3" s="12"/>
      <c r="B3" s="13"/>
      <c r="C3" s="13"/>
      <c r="D3" s="13"/>
      <c r="E3" s="100"/>
      <c r="F3" s="101"/>
      <c r="G3" s="187"/>
      <c r="H3" s="187"/>
      <c r="I3" s="188"/>
      <c r="J3" s="16"/>
    </row>
    <row r="4" spans="1:16" ht="15" customHeight="1" x14ac:dyDescent="0.25">
      <c r="A4" s="10" t="s">
        <v>55</v>
      </c>
      <c r="B4" t="s">
        <v>56</v>
      </c>
      <c r="E4" s="104">
        <v>20</v>
      </c>
      <c r="F4" s="185">
        <v>0</v>
      </c>
      <c r="G4" s="185">
        <v>0</v>
      </c>
      <c r="H4" s="185">
        <v>0</v>
      </c>
      <c r="I4" s="185">
        <v>0</v>
      </c>
      <c r="J4" s="23"/>
    </row>
    <row r="5" spans="1:16" ht="15" customHeight="1" x14ac:dyDescent="0.25">
      <c r="A5" s="10"/>
      <c r="E5" s="95"/>
      <c r="F5" s="195"/>
      <c r="G5" s="195"/>
      <c r="H5" s="195"/>
      <c r="I5" s="195"/>
      <c r="J5" s="23"/>
    </row>
    <row r="6" spans="1:16" ht="15" customHeight="1" x14ac:dyDescent="0.25">
      <c r="A6" s="10" t="s">
        <v>57</v>
      </c>
      <c r="B6" t="s">
        <v>58</v>
      </c>
      <c r="E6" s="103">
        <v>21</v>
      </c>
      <c r="F6" s="185">
        <v>0</v>
      </c>
      <c r="G6" s="185">
        <v>0</v>
      </c>
      <c r="H6" s="185">
        <v>0</v>
      </c>
      <c r="I6" s="185">
        <v>9500</v>
      </c>
      <c r="J6" s="2"/>
    </row>
    <row r="7" spans="1:16" ht="15" customHeight="1" x14ac:dyDescent="0.25">
      <c r="A7" s="10"/>
      <c r="E7" s="96"/>
      <c r="F7" s="195"/>
      <c r="G7" s="277"/>
      <c r="H7" s="277"/>
      <c r="I7" s="195"/>
      <c r="J7" s="2"/>
      <c r="M7" s="199"/>
      <c r="N7" s="199"/>
      <c r="O7" s="199"/>
    </row>
    <row r="8" spans="1:16" ht="15" customHeight="1" x14ac:dyDescent="0.25">
      <c r="A8" s="10" t="s">
        <v>59</v>
      </c>
      <c r="B8" t="s">
        <v>60</v>
      </c>
      <c r="E8" s="102" t="s">
        <v>61</v>
      </c>
      <c r="F8" s="185">
        <f>SUM(F9:F14)</f>
        <v>0</v>
      </c>
      <c r="G8" s="185">
        <f>SUM(G9:G14)</f>
        <v>0</v>
      </c>
      <c r="H8" s="185">
        <f>SUM(H9:H14)</f>
        <v>1387663.8900000001</v>
      </c>
      <c r="I8" s="185">
        <f>SUM(I9:I14)</f>
        <v>1394990.19</v>
      </c>
      <c r="J8" s="2"/>
      <c r="M8" s="199"/>
      <c r="N8" s="199"/>
      <c r="O8" s="199"/>
    </row>
    <row r="9" spans="1:16" ht="15" customHeight="1" x14ac:dyDescent="0.25">
      <c r="A9" s="94" t="s">
        <v>62</v>
      </c>
      <c r="B9" t="s">
        <v>63</v>
      </c>
      <c r="E9" s="96">
        <v>22</v>
      </c>
      <c r="F9" s="195">
        <v>0</v>
      </c>
      <c r="G9" s="277">
        <v>0</v>
      </c>
      <c r="H9" s="277">
        <v>1350255.36</v>
      </c>
      <c r="I9" s="195">
        <v>1335175.92</v>
      </c>
      <c r="J9" s="2"/>
      <c r="M9" s="199"/>
      <c r="N9" s="199"/>
      <c r="O9" s="199"/>
    </row>
    <row r="10" spans="1:16" ht="15" customHeight="1" x14ac:dyDescent="0.25">
      <c r="A10" s="94" t="s">
        <v>64</v>
      </c>
      <c r="B10" s="24" t="s">
        <v>65</v>
      </c>
      <c r="E10" s="96">
        <v>23</v>
      </c>
      <c r="F10" s="195">
        <v>0</v>
      </c>
      <c r="G10" s="277">
        <v>0</v>
      </c>
      <c r="H10" s="277">
        <v>33501.410000000003</v>
      </c>
      <c r="I10" s="195">
        <v>52054.18</v>
      </c>
      <c r="J10" s="2"/>
      <c r="M10" s="199"/>
      <c r="N10" s="199"/>
      <c r="O10" s="199"/>
      <c r="P10" s="199"/>
    </row>
    <row r="11" spans="1:16" ht="15" customHeight="1" x14ac:dyDescent="0.25">
      <c r="A11" s="94" t="s">
        <v>66</v>
      </c>
      <c r="B11" s="24" t="s">
        <v>67</v>
      </c>
      <c r="E11" s="96">
        <v>24</v>
      </c>
      <c r="F11" s="195">
        <v>0</v>
      </c>
      <c r="G11" s="277">
        <v>0</v>
      </c>
      <c r="H11" s="277">
        <v>3907.12</v>
      </c>
      <c r="I11" s="195">
        <v>7760.09</v>
      </c>
      <c r="J11" s="2"/>
      <c r="M11" s="199"/>
      <c r="N11" s="199"/>
      <c r="O11" s="199"/>
      <c r="P11" s="199"/>
    </row>
    <row r="12" spans="1:16" ht="15" customHeight="1" x14ac:dyDescent="0.25">
      <c r="A12" s="94" t="s">
        <v>68</v>
      </c>
      <c r="B12" s="24" t="s">
        <v>69</v>
      </c>
      <c r="E12" s="96">
        <v>25</v>
      </c>
      <c r="F12" s="195">
        <v>0</v>
      </c>
      <c r="G12" s="277">
        <v>0</v>
      </c>
      <c r="H12" s="277">
        <v>0</v>
      </c>
      <c r="I12" s="195">
        <v>0</v>
      </c>
      <c r="J12" s="2"/>
      <c r="M12" s="199"/>
      <c r="N12" s="199"/>
      <c r="O12" s="199"/>
      <c r="P12" s="199"/>
    </row>
    <row r="13" spans="1:16" ht="15" customHeight="1" x14ac:dyDescent="0.25">
      <c r="A13" s="94" t="s">
        <v>70</v>
      </c>
      <c r="B13" s="24" t="s">
        <v>71</v>
      </c>
      <c r="E13" s="96">
        <v>26</v>
      </c>
      <c r="F13" s="195">
        <v>0</v>
      </c>
      <c r="G13" s="277">
        <v>0</v>
      </c>
      <c r="H13" s="277">
        <v>0</v>
      </c>
      <c r="I13" s="195">
        <v>0</v>
      </c>
      <c r="J13" s="2"/>
      <c r="M13" s="199"/>
      <c r="N13" s="199"/>
      <c r="O13" s="199"/>
      <c r="P13" s="199"/>
    </row>
    <row r="14" spans="1:16" ht="15" customHeight="1" x14ac:dyDescent="0.25">
      <c r="A14" s="94" t="s">
        <v>72</v>
      </c>
      <c r="B14" s="24" t="s">
        <v>73</v>
      </c>
      <c r="E14" s="96">
        <v>27</v>
      </c>
      <c r="F14" s="195">
        <v>0</v>
      </c>
      <c r="G14" s="277"/>
      <c r="H14" s="277"/>
      <c r="I14" s="195"/>
      <c r="J14" s="2"/>
      <c r="M14" s="199"/>
      <c r="N14" s="199"/>
      <c r="O14" s="199"/>
      <c r="P14" s="199"/>
    </row>
    <row r="15" spans="1:16" ht="15" customHeight="1" x14ac:dyDescent="0.25">
      <c r="A15" s="10"/>
      <c r="B15" s="24"/>
      <c r="E15" s="96"/>
      <c r="F15" s="195"/>
      <c r="G15" s="277"/>
      <c r="H15" s="277"/>
      <c r="I15" s="195"/>
      <c r="J15" s="2"/>
      <c r="M15" s="199"/>
      <c r="N15" s="199"/>
      <c r="O15" s="199"/>
      <c r="P15" s="199"/>
    </row>
    <row r="16" spans="1:16" ht="15" customHeight="1" x14ac:dyDescent="0.25">
      <c r="A16" s="10" t="s">
        <v>74</v>
      </c>
      <c r="B16" s="24" t="s">
        <v>75</v>
      </c>
      <c r="E16" s="103">
        <v>28</v>
      </c>
      <c r="F16" s="185">
        <f>SUM(F17:F19)</f>
        <v>0</v>
      </c>
      <c r="G16" s="185">
        <f>SUM(G17:G19)</f>
        <v>0</v>
      </c>
      <c r="H16" s="185">
        <f>SUM(H17:H19)</f>
        <v>0</v>
      </c>
      <c r="I16" s="185">
        <f>SUM(I17:I19)</f>
        <v>0</v>
      </c>
      <c r="J16" s="2"/>
      <c r="M16" s="199"/>
      <c r="N16" s="199"/>
      <c r="O16" s="199"/>
      <c r="P16" s="199"/>
    </row>
    <row r="17" spans="1:16" ht="15" customHeight="1" x14ac:dyDescent="0.25">
      <c r="A17" s="94" t="s">
        <v>62</v>
      </c>
      <c r="B17" s="24" t="s">
        <v>76</v>
      </c>
      <c r="E17" s="96">
        <v>280</v>
      </c>
      <c r="F17" s="195">
        <v>0</v>
      </c>
      <c r="G17" s="277">
        <v>0</v>
      </c>
      <c r="H17" s="277">
        <v>0</v>
      </c>
      <c r="I17" s="195">
        <v>0</v>
      </c>
      <c r="J17" s="2"/>
      <c r="M17" s="199"/>
      <c r="N17" s="199"/>
      <c r="O17" s="199"/>
      <c r="P17" s="199"/>
    </row>
    <row r="18" spans="1:16" x14ac:dyDescent="0.25">
      <c r="A18" s="94" t="s">
        <v>64</v>
      </c>
      <c r="B18" s="24" t="s">
        <v>77</v>
      </c>
      <c r="E18" s="98">
        <v>282</v>
      </c>
      <c r="F18" s="277">
        <v>0</v>
      </c>
      <c r="G18" s="282">
        <v>0</v>
      </c>
      <c r="H18" s="282">
        <v>0</v>
      </c>
      <c r="I18" s="277">
        <v>0</v>
      </c>
      <c r="J18" s="57"/>
      <c r="M18" s="199"/>
      <c r="N18" s="199"/>
      <c r="O18" s="199"/>
      <c r="P18" s="199"/>
    </row>
    <row r="19" spans="1:16" ht="15" customHeight="1" x14ac:dyDescent="0.25">
      <c r="A19" s="94" t="s">
        <v>66</v>
      </c>
      <c r="B19" s="24" t="s">
        <v>78</v>
      </c>
      <c r="E19" s="96">
        <v>284</v>
      </c>
      <c r="F19" s="195"/>
      <c r="G19" s="277">
        <v>0</v>
      </c>
      <c r="H19" s="277">
        <v>0</v>
      </c>
      <c r="I19" s="195">
        <v>0</v>
      </c>
      <c r="J19" s="2"/>
      <c r="M19" s="199"/>
      <c r="N19" s="199"/>
      <c r="O19" s="199"/>
      <c r="P19" s="199"/>
    </row>
    <row r="20" spans="1:16" ht="15" customHeight="1" x14ac:dyDescent="0.25">
      <c r="A20" s="94"/>
      <c r="B20" s="24"/>
      <c r="E20" s="96"/>
      <c r="F20" s="195"/>
      <c r="G20" s="277"/>
      <c r="H20" s="277"/>
      <c r="I20" s="195"/>
      <c r="J20" s="2"/>
      <c r="M20" s="199"/>
      <c r="N20" s="199"/>
      <c r="O20" s="199"/>
      <c r="P20" s="199"/>
    </row>
    <row r="21" spans="1:16" x14ac:dyDescent="0.25">
      <c r="A21" s="10" t="s">
        <v>79</v>
      </c>
      <c r="B21" t="s">
        <v>80</v>
      </c>
      <c r="E21" s="103">
        <v>29</v>
      </c>
      <c r="F21" s="185">
        <f>SUM(F22:F23)</f>
        <v>0</v>
      </c>
      <c r="G21" s="185">
        <f>SUM(G22:G23)</f>
        <v>0</v>
      </c>
      <c r="H21" s="185">
        <f>SUM(H22:H23)</f>
        <v>0</v>
      </c>
      <c r="I21" s="185">
        <f>SUM(I22:I23)</f>
        <v>0</v>
      </c>
      <c r="J21" s="2"/>
      <c r="M21" s="199"/>
      <c r="N21" s="199"/>
      <c r="O21" s="199"/>
      <c r="P21" s="199"/>
    </row>
    <row r="22" spans="1:16" ht="15" customHeight="1" x14ac:dyDescent="0.25">
      <c r="A22" s="94" t="s">
        <v>62</v>
      </c>
      <c r="B22" s="24" t="s">
        <v>81</v>
      </c>
      <c r="E22" s="96">
        <v>290</v>
      </c>
      <c r="F22" s="195">
        <v>0</v>
      </c>
      <c r="G22" s="277">
        <v>0</v>
      </c>
      <c r="H22" s="277">
        <v>0</v>
      </c>
      <c r="I22" s="195">
        <v>0</v>
      </c>
      <c r="J22" s="2"/>
      <c r="M22" s="199"/>
      <c r="N22" s="199"/>
      <c r="O22" s="199"/>
      <c r="P22" s="199"/>
    </row>
    <row r="23" spans="1:16" ht="15" customHeight="1" x14ac:dyDescent="0.25">
      <c r="A23" s="94" t="s">
        <v>64</v>
      </c>
      <c r="B23" t="s">
        <v>82</v>
      </c>
      <c r="E23" s="96">
        <v>291</v>
      </c>
      <c r="F23" s="195">
        <v>0</v>
      </c>
      <c r="G23" s="277">
        <v>0</v>
      </c>
      <c r="H23" s="277">
        <v>0</v>
      </c>
      <c r="I23" s="195">
        <v>0</v>
      </c>
      <c r="J23" s="2"/>
      <c r="M23" s="199"/>
      <c r="N23" s="199"/>
      <c r="O23" s="199"/>
      <c r="P23" s="199"/>
    </row>
    <row r="24" spans="1:16" ht="15" customHeight="1" x14ac:dyDescent="0.25">
      <c r="A24" s="10"/>
      <c r="E24" s="96"/>
      <c r="F24" s="195"/>
      <c r="G24" s="277"/>
      <c r="H24" s="277"/>
      <c r="I24" s="195"/>
      <c r="J24" s="2"/>
      <c r="M24" s="199"/>
      <c r="N24" s="199"/>
      <c r="O24" s="199"/>
      <c r="P24" s="199"/>
    </row>
    <row r="25" spans="1:16" ht="15" customHeight="1" x14ac:dyDescent="0.25">
      <c r="A25" s="10" t="s">
        <v>83</v>
      </c>
      <c r="B25" t="s">
        <v>84</v>
      </c>
      <c r="E25" s="103">
        <v>3</v>
      </c>
      <c r="F25" s="185">
        <f>SUM(F26:F27)</f>
        <v>0</v>
      </c>
      <c r="G25" s="185">
        <f>SUM(G26:G27)</f>
        <v>0</v>
      </c>
      <c r="H25" s="185">
        <f>SUM(H26:H27)</f>
        <v>0</v>
      </c>
      <c r="I25" s="185">
        <f>SUM(I26:I27)</f>
        <v>0</v>
      </c>
      <c r="J25" s="2"/>
      <c r="M25" s="199"/>
      <c r="N25" s="199"/>
      <c r="O25" s="199"/>
      <c r="P25" s="199"/>
    </row>
    <row r="26" spans="1:16" ht="15" customHeight="1" x14ac:dyDescent="0.25">
      <c r="A26" s="94" t="s">
        <v>62</v>
      </c>
      <c r="B26" t="s">
        <v>85</v>
      </c>
      <c r="E26" s="97" t="s">
        <v>86</v>
      </c>
      <c r="F26" s="195">
        <v>0</v>
      </c>
      <c r="G26" s="195">
        <v>0</v>
      </c>
      <c r="H26" s="195">
        <v>0</v>
      </c>
      <c r="I26" s="195">
        <v>0</v>
      </c>
      <c r="J26" s="2"/>
      <c r="M26" s="199"/>
      <c r="N26" s="199"/>
      <c r="O26" s="199"/>
      <c r="P26" s="199"/>
    </row>
    <row r="27" spans="1:16" ht="15" customHeight="1" x14ac:dyDescent="0.25">
      <c r="A27" s="94" t="s">
        <v>64</v>
      </c>
      <c r="B27" t="s">
        <v>87</v>
      </c>
      <c r="E27" s="96">
        <v>37</v>
      </c>
      <c r="F27" s="195"/>
      <c r="G27" s="195">
        <v>0</v>
      </c>
      <c r="H27" s="195">
        <v>0</v>
      </c>
      <c r="I27" s="195">
        <v>0</v>
      </c>
      <c r="J27" s="2"/>
      <c r="M27" s="199"/>
      <c r="N27" s="199"/>
      <c r="O27" s="199"/>
      <c r="P27" s="199"/>
    </row>
    <row r="28" spans="1:16" ht="15" customHeight="1" x14ac:dyDescent="0.25">
      <c r="A28" s="10"/>
      <c r="E28" s="96"/>
      <c r="F28" s="195"/>
      <c r="G28" s="195"/>
      <c r="H28" s="195"/>
      <c r="I28" s="195"/>
      <c r="J28" s="2"/>
      <c r="M28" s="199"/>
      <c r="N28" s="199"/>
      <c r="O28" s="199"/>
      <c r="P28" s="199"/>
    </row>
    <row r="29" spans="1:16" ht="15" customHeight="1" x14ac:dyDescent="0.25">
      <c r="A29" s="10" t="s">
        <v>88</v>
      </c>
      <c r="B29" t="s">
        <v>89</v>
      </c>
      <c r="E29" s="102" t="s">
        <v>90</v>
      </c>
      <c r="F29" s="185">
        <f>SUM(F30:F31)</f>
        <v>0</v>
      </c>
      <c r="G29" s="185">
        <f>SUM(G30:G31)</f>
        <v>0</v>
      </c>
      <c r="H29" s="185">
        <f>SUM(H30:H31)</f>
        <v>143270</v>
      </c>
      <c r="I29" s="185">
        <f>SUM(I30:I31)</f>
        <v>47219.58</v>
      </c>
      <c r="J29" s="2"/>
      <c r="M29" s="199"/>
      <c r="N29" s="199"/>
      <c r="O29" s="199"/>
      <c r="P29" s="199"/>
    </row>
    <row r="30" spans="1:16" ht="15" customHeight="1" x14ac:dyDescent="0.25">
      <c r="A30" s="94" t="s">
        <v>62</v>
      </c>
      <c r="B30" t="s">
        <v>81</v>
      </c>
      <c r="E30" s="97">
        <v>40</v>
      </c>
      <c r="F30" s="195">
        <v>0</v>
      </c>
      <c r="G30" s="195">
        <v>0</v>
      </c>
      <c r="H30" s="195">
        <v>142982</v>
      </c>
      <c r="I30" s="195">
        <v>6104.19</v>
      </c>
      <c r="J30" s="2"/>
      <c r="M30" s="199"/>
      <c r="N30" s="199"/>
      <c r="O30" s="199"/>
      <c r="P30" s="199"/>
    </row>
    <row r="31" spans="1:16" ht="15" customHeight="1" x14ac:dyDescent="0.25">
      <c r="A31" s="94" t="s">
        <v>64</v>
      </c>
      <c r="B31" t="s">
        <v>82</v>
      </c>
      <c r="E31" s="97">
        <v>41</v>
      </c>
      <c r="F31" s="195">
        <v>0</v>
      </c>
      <c r="G31" s="195">
        <v>0</v>
      </c>
      <c r="H31" s="195">
        <v>288</v>
      </c>
      <c r="I31" s="195">
        <v>41115.39</v>
      </c>
      <c r="J31" s="2"/>
      <c r="M31" s="199"/>
      <c r="N31" s="199"/>
      <c r="O31" s="199"/>
      <c r="P31" s="199"/>
    </row>
    <row r="32" spans="1:16" ht="15" customHeight="1" x14ac:dyDescent="0.25">
      <c r="A32" s="10"/>
      <c r="E32" s="97"/>
      <c r="F32" s="195"/>
      <c r="G32" s="195"/>
      <c r="H32" s="195"/>
      <c r="I32" s="195"/>
      <c r="J32" s="2"/>
      <c r="M32" s="199"/>
      <c r="N32" s="199"/>
      <c r="O32" s="199"/>
      <c r="P32" s="199"/>
    </row>
    <row r="33" spans="1:16" ht="15" customHeight="1" x14ac:dyDescent="0.25">
      <c r="A33" s="10" t="s">
        <v>91</v>
      </c>
      <c r="B33" t="s">
        <v>92</v>
      </c>
      <c r="E33" s="102" t="s">
        <v>93</v>
      </c>
      <c r="F33" s="185">
        <v>0</v>
      </c>
      <c r="G33" s="185">
        <v>0</v>
      </c>
      <c r="H33" s="185">
        <v>0</v>
      </c>
      <c r="I33" s="185">
        <v>0</v>
      </c>
      <c r="J33" s="2"/>
      <c r="M33" s="199"/>
      <c r="N33" s="199"/>
      <c r="O33" s="199"/>
      <c r="P33" s="199"/>
    </row>
    <row r="34" spans="1:16" ht="15" customHeight="1" x14ac:dyDescent="0.25">
      <c r="A34" s="10"/>
      <c r="E34" s="97"/>
      <c r="F34" s="195"/>
      <c r="G34" s="195"/>
      <c r="H34" s="195"/>
      <c r="I34" s="195"/>
      <c r="J34" s="2"/>
      <c r="M34" s="199"/>
      <c r="N34" s="199"/>
      <c r="O34" s="199"/>
      <c r="P34" s="199"/>
    </row>
    <row r="35" spans="1:16" ht="15" customHeight="1" x14ac:dyDescent="0.25">
      <c r="A35" s="10" t="s">
        <v>94</v>
      </c>
      <c r="B35" t="s">
        <v>95</v>
      </c>
      <c r="E35" s="102" t="s">
        <v>96</v>
      </c>
      <c r="F35" s="185">
        <v>0</v>
      </c>
      <c r="G35" s="185">
        <v>0</v>
      </c>
      <c r="H35" s="185">
        <v>51044.9</v>
      </c>
      <c r="I35" s="185">
        <v>8844.27</v>
      </c>
      <c r="J35" s="2"/>
      <c r="M35" s="199"/>
      <c r="N35" s="199"/>
      <c r="O35" s="199"/>
      <c r="P35" s="199"/>
    </row>
    <row r="36" spans="1:16" ht="15" customHeight="1" x14ac:dyDescent="0.25">
      <c r="A36" s="10"/>
      <c r="E36" s="97"/>
      <c r="F36" s="195"/>
      <c r="G36" s="195"/>
      <c r="H36" s="195"/>
      <c r="I36" s="195"/>
      <c r="J36" s="2"/>
      <c r="M36" s="199"/>
      <c r="N36" s="199"/>
      <c r="O36" s="199"/>
      <c r="P36" s="199"/>
    </row>
    <row r="37" spans="1:16" ht="15" customHeight="1" x14ac:dyDescent="0.25">
      <c r="A37" s="10" t="s">
        <v>97</v>
      </c>
      <c r="B37" t="s">
        <v>98</v>
      </c>
      <c r="E37" s="102" t="s">
        <v>99</v>
      </c>
      <c r="F37" s="185">
        <v>0</v>
      </c>
      <c r="G37" s="185">
        <v>0</v>
      </c>
      <c r="H37" s="185">
        <v>53.84</v>
      </c>
      <c r="I37" s="185">
        <f>1842.48+5296.51</f>
        <v>7138.99</v>
      </c>
      <c r="J37" s="2"/>
      <c r="M37" s="199"/>
      <c r="N37" s="199"/>
      <c r="O37" s="199"/>
      <c r="P37" s="199"/>
    </row>
    <row r="38" spans="1:16" ht="15" customHeight="1" x14ac:dyDescent="0.25">
      <c r="A38" s="10"/>
      <c r="E38" s="96"/>
      <c r="F38" s="195"/>
      <c r="G38" s="195"/>
      <c r="H38" s="195"/>
      <c r="I38" s="195"/>
      <c r="J38" s="2"/>
      <c r="M38" s="199"/>
      <c r="N38" s="199"/>
      <c r="O38" s="199"/>
      <c r="P38" s="199"/>
    </row>
    <row r="39" spans="1:16" s="27" customFormat="1" ht="15" customHeight="1" x14ac:dyDescent="0.25">
      <c r="A39" s="110" t="s">
        <v>100</v>
      </c>
      <c r="B39" s="111"/>
      <c r="C39" s="111"/>
      <c r="D39" s="111"/>
      <c r="E39" s="112"/>
      <c r="F39" s="275">
        <f>+F37+F35+F29+F25+F21+F16+F8+F6+F4</f>
        <v>0</v>
      </c>
      <c r="G39" s="275">
        <f>+G37+G35+G29+G25+G21+G16+G8+G6+G4+G33</f>
        <v>0</v>
      </c>
      <c r="H39" s="275">
        <f>+H37+H35+H29+H25+H21+H16+H8+H6+H4+H33</f>
        <v>1582032.6300000001</v>
      </c>
      <c r="I39" s="275">
        <f>+I37+I35+I29+I25+I21+I16+I8+I6+I4+I33</f>
        <v>1467693.03</v>
      </c>
      <c r="J39" s="113"/>
      <c r="M39" s="199"/>
      <c r="N39" s="199"/>
      <c r="O39" s="199"/>
      <c r="P39" s="199"/>
    </row>
    <row r="40" spans="1:16" s="27" customFormat="1" ht="15" customHeight="1" x14ac:dyDescent="0.25">
      <c r="E40" s="99"/>
      <c r="F40" s="28"/>
      <c r="G40" s="28"/>
      <c r="H40" s="28"/>
      <c r="I40" s="28"/>
      <c r="J40" s="28"/>
      <c r="M40" s="199"/>
      <c r="N40" s="199"/>
      <c r="O40" s="199"/>
      <c r="P40" s="199"/>
    </row>
    <row r="41" spans="1:16" s="27" customFormat="1" ht="15" customHeight="1" x14ac:dyDescent="0.2">
      <c r="A41" s="64"/>
      <c r="B41" s="66"/>
      <c r="C41" s="66"/>
      <c r="E41" s="99"/>
      <c r="F41" s="28"/>
      <c r="G41" s="28"/>
      <c r="H41" s="28"/>
      <c r="I41" s="28"/>
      <c r="J41" s="28"/>
    </row>
    <row r="42" spans="1:16" ht="15" customHeight="1" x14ac:dyDescent="0.25">
      <c r="A42" s="459" t="s">
        <v>101</v>
      </c>
      <c r="B42" s="460"/>
      <c r="C42" s="460"/>
      <c r="D42" s="461"/>
      <c r="E42" s="14" t="s">
        <v>54</v>
      </c>
      <c r="F42" s="14" t="s">
        <v>102</v>
      </c>
      <c r="G42" s="329">
        <f>+G2</f>
        <v>45291</v>
      </c>
      <c r="H42" s="329">
        <f>+H2</f>
        <v>45657</v>
      </c>
      <c r="I42" s="329">
        <f>+I2</f>
        <v>45838</v>
      </c>
      <c r="J42" s="16"/>
    </row>
    <row r="43" spans="1:16" ht="15" customHeight="1" x14ac:dyDescent="0.25">
      <c r="A43" s="12"/>
      <c r="B43" s="13"/>
      <c r="C43" s="13"/>
      <c r="D43" s="13"/>
      <c r="E43" s="100"/>
      <c r="F43" s="41"/>
      <c r="G43" s="41"/>
      <c r="H43" s="41"/>
      <c r="I43" s="105"/>
      <c r="J43" s="105"/>
    </row>
    <row r="44" spans="1:16" ht="15" customHeight="1" x14ac:dyDescent="0.25">
      <c r="A44" s="10" t="s">
        <v>103</v>
      </c>
      <c r="B44" t="s">
        <v>104</v>
      </c>
      <c r="E44" s="104">
        <v>10</v>
      </c>
      <c r="F44" s="185">
        <f>SUM(F45:F46)</f>
        <v>0</v>
      </c>
      <c r="G44" s="185">
        <f>SUM(G45:G46)</f>
        <v>0</v>
      </c>
      <c r="H44" s="185">
        <f>SUM(H45:H46)</f>
        <v>425000</v>
      </c>
      <c r="I44" s="185">
        <f>SUM(I45:I46)</f>
        <v>425000</v>
      </c>
      <c r="J44" s="30"/>
    </row>
    <row r="45" spans="1:16" ht="15" customHeight="1" x14ac:dyDescent="0.25">
      <c r="A45" s="94" t="s">
        <v>62</v>
      </c>
      <c r="B45" t="s">
        <v>105</v>
      </c>
      <c r="E45" s="95">
        <v>100</v>
      </c>
      <c r="F45" s="195">
        <v>0</v>
      </c>
      <c r="G45" s="195">
        <v>0</v>
      </c>
      <c r="H45" s="195">
        <v>425000</v>
      </c>
      <c r="I45" s="195">
        <v>425000</v>
      </c>
      <c r="J45" s="30"/>
    </row>
    <row r="46" spans="1:16" ht="15" customHeight="1" x14ac:dyDescent="0.25">
      <c r="A46" s="94" t="s">
        <v>64</v>
      </c>
      <c r="B46" t="s">
        <v>106</v>
      </c>
      <c r="E46" s="95">
        <v>101</v>
      </c>
      <c r="F46" s="195">
        <v>0</v>
      </c>
      <c r="G46" s="195">
        <v>0</v>
      </c>
      <c r="H46" s="195">
        <v>0</v>
      </c>
      <c r="I46" s="195">
        <v>0</v>
      </c>
      <c r="J46" s="30"/>
    </row>
    <row r="47" spans="1:16" ht="15" customHeight="1" x14ac:dyDescent="0.25">
      <c r="A47" s="10"/>
      <c r="E47" s="95"/>
      <c r="F47" s="195"/>
      <c r="G47" s="195"/>
      <c r="H47" s="195"/>
      <c r="I47" s="195"/>
      <c r="J47" s="30"/>
    </row>
    <row r="48" spans="1:16" ht="15" customHeight="1" x14ac:dyDescent="0.25">
      <c r="A48" s="10" t="s">
        <v>107</v>
      </c>
      <c r="B48" t="s">
        <v>108</v>
      </c>
      <c r="E48" s="104">
        <v>11</v>
      </c>
      <c r="F48" s="185">
        <v>0</v>
      </c>
      <c r="G48" s="185">
        <v>0</v>
      </c>
      <c r="H48" s="185">
        <v>0</v>
      </c>
      <c r="I48" s="185">
        <v>0</v>
      </c>
      <c r="J48" s="30"/>
    </row>
    <row r="49" spans="1:10" ht="15" customHeight="1" x14ac:dyDescent="0.25">
      <c r="A49" s="10"/>
      <c r="E49" s="95"/>
      <c r="F49" s="195"/>
      <c r="G49" s="195"/>
      <c r="H49" s="195"/>
      <c r="I49" s="195"/>
      <c r="J49" s="30"/>
    </row>
    <row r="50" spans="1:10" ht="15" customHeight="1" x14ac:dyDescent="0.25">
      <c r="A50" s="10" t="s">
        <v>109</v>
      </c>
      <c r="B50" t="s">
        <v>110</v>
      </c>
      <c r="E50" s="104">
        <v>12</v>
      </c>
      <c r="F50" s="185">
        <v>0</v>
      </c>
      <c r="G50" s="185">
        <v>0</v>
      </c>
      <c r="H50" s="185">
        <v>0</v>
      </c>
      <c r="I50" s="185">
        <v>0</v>
      </c>
      <c r="J50" s="30"/>
    </row>
    <row r="51" spans="1:10" ht="15" customHeight="1" x14ac:dyDescent="0.25">
      <c r="A51" s="10"/>
      <c r="E51" s="95"/>
      <c r="F51" s="195"/>
      <c r="G51" s="195"/>
      <c r="H51" s="195"/>
      <c r="I51" s="195"/>
      <c r="J51" s="30"/>
    </row>
    <row r="52" spans="1:10" ht="15" customHeight="1" x14ac:dyDescent="0.25">
      <c r="A52" s="10" t="s">
        <v>111</v>
      </c>
      <c r="B52" t="s">
        <v>112</v>
      </c>
      <c r="E52" s="104">
        <v>13</v>
      </c>
      <c r="F52" s="185">
        <f>SUM(F53:F56)</f>
        <v>0</v>
      </c>
      <c r="G52" s="185">
        <f>SUM(G53:G56)</f>
        <v>0</v>
      </c>
      <c r="H52" s="185">
        <f>SUM(H53:H56)</f>
        <v>0</v>
      </c>
      <c r="I52" s="185">
        <f>SUM(I53:I56)</f>
        <v>0</v>
      </c>
      <c r="J52" s="30"/>
    </row>
    <row r="53" spans="1:10" ht="15" customHeight="1" x14ac:dyDescent="0.25">
      <c r="A53" s="94" t="s">
        <v>113</v>
      </c>
      <c r="B53" t="s">
        <v>114</v>
      </c>
      <c r="E53" s="95">
        <v>130</v>
      </c>
      <c r="F53" s="195">
        <v>0</v>
      </c>
      <c r="G53" s="195">
        <v>0</v>
      </c>
      <c r="H53" s="195">
        <v>0</v>
      </c>
      <c r="I53" s="195">
        <v>0</v>
      </c>
      <c r="J53" s="30"/>
    </row>
    <row r="54" spans="1:10" ht="15" customHeight="1" x14ac:dyDescent="0.25">
      <c r="A54" s="94" t="s">
        <v>115</v>
      </c>
      <c r="B54" t="s">
        <v>116</v>
      </c>
      <c r="E54" s="95">
        <v>131</v>
      </c>
      <c r="F54" s="195">
        <v>0</v>
      </c>
      <c r="G54" s="195"/>
      <c r="H54" s="195"/>
      <c r="I54" s="195"/>
      <c r="J54" s="30"/>
    </row>
    <row r="55" spans="1:10" ht="15" customHeight="1" x14ac:dyDescent="0.25">
      <c r="A55" s="94" t="s">
        <v>117</v>
      </c>
      <c r="B55" t="s">
        <v>118</v>
      </c>
      <c r="E55" s="95">
        <v>132</v>
      </c>
      <c r="F55" s="195"/>
      <c r="G55" s="195">
        <v>0</v>
      </c>
      <c r="H55" s="195">
        <v>0</v>
      </c>
      <c r="I55" s="195">
        <v>0</v>
      </c>
      <c r="J55" s="30"/>
    </row>
    <row r="56" spans="1:10" ht="15" customHeight="1" x14ac:dyDescent="0.25">
      <c r="A56" s="94" t="s">
        <v>119</v>
      </c>
      <c r="B56" t="s">
        <v>120</v>
      </c>
      <c r="E56" s="95">
        <v>133</v>
      </c>
      <c r="F56" s="195">
        <v>0</v>
      </c>
      <c r="G56" s="195">
        <v>0</v>
      </c>
      <c r="H56" s="195">
        <v>0</v>
      </c>
      <c r="I56" s="195">
        <v>0</v>
      </c>
      <c r="J56" s="30"/>
    </row>
    <row r="57" spans="1:10" ht="15" customHeight="1" x14ac:dyDescent="0.25">
      <c r="A57" s="94"/>
      <c r="E57" s="95"/>
      <c r="F57" s="195"/>
      <c r="G57" s="195"/>
      <c r="H57" s="195"/>
      <c r="I57" s="195"/>
      <c r="J57" s="30"/>
    </row>
    <row r="58" spans="1:10" ht="15" customHeight="1" x14ac:dyDescent="0.25">
      <c r="A58" s="94" t="s">
        <v>121</v>
      </c>
      <c r="B58" t="s">
        <v>122</v>
      </c>
      <c r="E58" s="104">
        <v>14</v>
      </c>
      <c r="F58" s="185">
        <v>0</v>
      </c>
      <c r="G58" s="185">
        <v>0</v>
      </c>
      <c r="H58" s="185">
        <v>84260.160000000003</v>
      </c>
      <c r="I58" s="185">
        <f>I134</f>
        <v>63871.450000000012</v>
      </c>
      <c r="J58" s="30"/>
    </row>
    <row r="59" spans="1:10" ht="15" customHeight="1" x14ac:dyDescent="0.25">
      <c r="A59" s="94"/>
      <c r="E59" s="95"/>
      <c r="F59" s="195"/>
      <c r="G59" s="195"/>
      <c r="H59" s="195"/>
      <c r="I59" s="195"/>
      <c r="J59" s="30"/>
    </row>
    <row r="60" spans="1:10" ht="15" customHeight="1" x14ac:dyDescent="0.25">
      <c r="A60" s="94" t="s">
        <v>123</v>
      </c>
      <c r="B60" t="s">
        <v>124</v>
      </c>
      <c r="E60" s="104">
        <v>15</v>
      </c>
      <c r="F60" s="185"/>
      <c r="G60" s="185"/>
      <c r="H60" s="185"/>
      <c r="I60" s="185"/>
      <c r="J60" s="30"/>
    </row>
    <row r="61" spans="1:10" ht="15.6" customHeight="1" x14ac:dyDescent="0.25">
      <c r="A61" s="94"/>
      <c r="E61" s="95"/>
      <c r="F61" s="195"/>
      <c r="G61" s="195"/>
      <c r="H61" s="195"/>
      <c r="I61" s="195"/>
      <c r="J61" s="30"/>
    </row>
    <row r="62" spans="1:10" x14ac:dyDescent="0.25">
      <c r="A62" s="94" t="s">
        <v>125</v>
      </c>
      <c r="B62" t="s">
        <v>126</v>
      </c>
      <c r="E62" s="107" t="s">
        <v>127</v>
      </c>
      <c r="F62" s="185"/>
      <c r="G62" s="185">
        <v>0</v>
      </c>
      <c r="H62" s="185">
        <v>0</v>
      </c>
      <c r="I62" s="185">
        <v>0</v>
      </c>
      <c r="J62" s="30"/>
    </row>
    <row r="63" spans="1:10" ht="15" customHeight="1" x14ac:dyDescent="0.25">
      <c r="A63" s="94"/>
      <c r="E63" s="95"/>
      <c r="F63" s="195"/>
      <c r="G63" s="195"/>
      <c r="H63" s="195"/>
      <c r="I63" s="195"/>
      <c r="J63" s="30"/>
    </row>
    <row r="64" spans="1:10" ht="15" customHeight="1" x14ac:dyDescent="0.25">
      <c r="A64" s="94" t="s">
        <v>128</v>
      </c>
      <c r="B64" t="s">
        <v>129</v>
      </c>
      <c r="E64" s="104">
        <v>168</v>
      </c>
      <c r="F64" s="185"/>
      <c r="G64" s="185"/>
      <c r="H64" s="185"/>
      <c r="I64" s="185"/>
      <c r="J64" s="30"/>
    </row>
    <row r="65" spans="1:15" ht="15" customHeight="1" x14ac:dyDescent="0.25">
      <c r="A65" s="94"/>
      <c r="E65" s="95"/>
      <c r="F65" s="195"/>
      <c r="G65" s="195"/>
      <c r="H65" s="195"/>
      <c r="I65" s="195"/>
      <c r="J65" s="30"/>
    </row>
    <row r="66" spans="1:15" ht="15" customHeight="1" x14ac:dyDescent="0.25">
      <c r="A66" s="94" t="s">
        <v>130</v>
      </c>
      <c r="B66" t="s">
        <v>131</v>
      </c>
      <c r="E66" s="104">
        <v>17</v>
      </c>
      <c r="F66" s="185">
        <f>SUM(F67:F70)</f>
        <v>0</v>
      </c>
      <c r="G66" s="185">
        <f>SUM(G67:G70)</f>
        <v>0</v>
      </c>
      <c r="H66" s="185">
        <f>SUM(H67:H70)</f>
        <v>950624.69</v>
      </c>
      <c r="I66" s="185">
        <f>SUM(I67:I70)</f>
        <v>950625</v>
      </c>
      <c r="J66" s="30"/>
    </row>
    <row r="67" spans="1:15" ht="15" customHeight="1" x14ac:dyDescent="0.25">
      <c r="A67" s="94" t="s">
        <v>62</v>
      </c>
      <c r="B67" t="s">
        <v>132</v>
      </c>
      <c r="E67" s="106" t="s">
        <v>133</v>
      </c>
      <c r="F67" s="195">
        <v>0</v>
      </c>
      <c r="G67" s="195">
        <v>0</v>
      </c>
      <c r="H67" s="195">
        <v>950624.69</v>
      </c>
      <c r="I67" s="195">
        <v>950625</v>
      </c>
      <c r="J67" s="30"/>
    </row>
    <row r="68" spans="1:15" ht="15" customHeight="1" x14ac:dyDescent="0.25">
      <c r="A68" s="94" t="s">
        <v>64</v>
      </c>
      <c r="B68" t="s">
        <v>134</v>
      </c>
      <c r="E68" s="106">
        <v>175</v>
      </c>
      <c r="F68" s="195"/>
      <c r="G68" s="195"/>
      <c r="H68" s="195"/>
      <c r="I68" s="195"/>
      <c r="J68" s="30"/>
    </row>
    <row r="69" spans="1:15" ht="15" customHeight="1" x14ac:dyDescent="0.25">
      <c r="A69" s="94" t="s">
        <v>66</v>
      </c>
      <c r="B69" t="s">
        <v>135</v>
      </c>
      <c r="E69" s="106">
        <v>176</v>
      </c>
      <c r="F69" s="195"/>
      <c r="G69" s="195"/>
      <c r="H69" s="195"/>
      <c r="I69" s="195"/>
      <c r="J69" s="30"/>
    </row>
    <row r="70" spans="1:15" ht="15" customHeight="1" x14ac:dyDescent="0.25">
      <c r="A70" s="94" t="s">
        <v>68</v>
      </c>
      <c r="B70" t="s">
        <v>136</v>
      </c>
      <c r="E70" s="106">
        <v>178</v>
      </c>
      <c r="F70" s="195"/>
      <c r="G70" s="195"/>
      <c r="H70" s="195"/>
      <c r="I70" s="195"/>
      <c r="J70" s="30"/>
    </row>
    <row r="71" spans="1:15" ht="15" customHeight="1" x14ac:dyDescent="0.25">
      <c r="A71" s="94"/>
      <c r="E71" s="106"/>
      <c r="F71" s="195"/>
      <c r="G71" s="195"/>
      <c r="H71" s="195"/>
      <c r="I71" s="195"/>
      <c r="J71" s="30"/>
    </row>
    <row r="72" spans="1:15" ht="15" customHeight="1" x14ac:dyDescent="0.25">
      <c r="A72" s="94" t="s">
        <v>137</v>
      </c>
      <c r="B72" t="s">
        <v>138</v>
      </c>
      <c r="E72" s="107" t="s">
        <v>139</v>
      </c>
      <c r="F72" s="185">
        <v>0</v>
      </c>
      <c r="G72" s="185">
        <f>SUM(G73:G78)</f>
        <v>0</v>
      </c>
      <c r="H72" s="185">
        <f>SUM(H73:H78)</f>
        <v>122148.48</v>
      </c>
      <c r="I72" s="185">
        <f>SUM(I73:I78)</f>
        <v>27910.46</v>
      </c>
      <c r="J72" s="30"/>
      <c r="N72" s="199"/>
      <c r="O72" s="199"/>
    </row>
    <row r="73" spans="1:15" ht="15" customHeight="1" x14ac:dyDescent="0.25">
      <c r="A73" s="94" t="s">
        <v>62</v>
      </c>
      <c r="B73" t="s">
        <v>140</v>
      </c>
      <c r="E73" s="106">
        <v>42</v>
      </c>
      <c r="F73" s="195">
        <v>0</v>
      </c>
      <c r="G73" s="195">
        <v>0</v>
      </c>
      <c r="H73" s="195">
        <v>72506.62</v>
      </c>
      <c r="I73" s="195">
        <v>5326.69</v>
      </c>
      <c r="J73" s="30"/>
      <c r="N73" s="199"/>
    </row>
    <row r="74" spans="1:15" ht="15" customHeight="1" x14ac:dyDescent="0.25">
      <c r="A74" s="94" t="s">
        <v>64</v>
      </c>
      <c r="B74" t="s">
        <v>132</v>
      </c>
      <c r="E74" s="106">
        <v>43</v>
      </c>
      <c r="F74" s="195"/>
      <c r="G74" s="195">
        <v>0</v>
      </c>
      <c r="H74" s="195">
        <v>0</v>
      </c>
      <c r="I74" s="195">
        <v>0</v>
      </c>
      <c r="J74" s="30"/>
      <c r="N74" s="199"/>
    </row>
    <row r="75" spans="1:15" ht="15" customHeight="1" x14ac:dyDescent="0.25">
      <c r="A75" s="94" t="s">
        <v>66</v>
      </c>
      <c r="B75" t="s">
        <v>134</v>
      </c>
      <c r="E75" s="106">
        <v>44</v>
      </c>
      <c r="F75" s="195">
        <v>0</v>
      </c>
      <c r="G75" s="195">
        <v>0</v>
      </c>
      <c r="H75" s="195">
        <v>28851.81</v>
      </c>
      <c r="I75" s="195">
        <v>17598.86</v>
      </c>
      <c r="J75" s="30"/>
      <c r="N75" s="199"/>
    </row>
    <row r="76" spans="1:15" ht="15" customHeight="1" x14ac:dyDescent="0.25">
      <c r="A76" s="94" t="s">
        <v>68</v>
      </c>
      <c r="B76" t="str">
        <f>+B69</f>
        <v>Ontvangen vooruitbetalingen op bestel.</v>
      </c>
      <c r="E76" s="106">
        <v>46</v>
      </c>
      <c r="F76" s="195"/>
      <c r="G76" s="195">
        <v>0</v>
      </c>
      <c r="H76" s="195">
        <v>0</v>
      </c>
      <c r="I76" s="195">
        <v>0</v>
      </c>
      <c r="J76" s="30"/>
      <c r="N76" s="199"/>
    </row>
    <row r="77" spans="1:15" ht="15" customHeight="1" x14ac:dyDescent="0.25">
      <c r="A77" s="94" t="s">
        <v>70</v>
      </c>
      <c r="B77" t="s">
        <v>141</v>
      </c>
      <c r="E77" s="106">
        <v>45</v>
      </c>
      <c r="F77" s="195">
        <v>0</v>
      </c>
      <c r="G77" s="195">
        <v>0</v>
      </c>
      <c r="H77" s="195">
        <v>958.44</v>
      </c>
      <c r="I77" s="195">
        <v>1887.91</v>
      </c>
      <c r="J77" s="30"/>
      <c r="N77" s="199"/>
    </row>
    <row r="78" spans="1:15" ht="15" customHeight="1" x14ac:dyDescent="0.25">
      <c r="A78" s="94" t="s">
        <v>72</v>
      </c>
      <c r="B78" t="s">
        <v>136</v>
      </c>
      <c r="E78" s="106">
        <v>48</v>
      </c>
      <c r="F78" s="195"/>
      <c r="G78" s="195">
        <v>0</v>
      </c>
      <c r="H78" s="195">
        <v>19831.61</v>
      </c>
      <c r="I78" s="195">
        <v>3097</v>
      </c>
      <c r="J78" s="30"/>
      <c r="N78" s="199"/>
    </row>
    <row r="79" spans="1:15" ht="15" customHeight="1" x14ac:dyDescent="0.25">
      <c r="A79" s="94"/>
      <c r="E79" s="106"/>
      <c r="F79" s="195"/>
      <c r="G79" s="195"/>
      <c r="H79" s="195"/>
      <c r="I79" s="195">
        <v>0</v>
      </c>
      <c r="J79" s="30"/>
      <c r="N79" s="199"/>
    </row>
    <row r="80" spans="1:15" ht="15" customHeight="1" x14ac:dyDescent="0.25">
      <c r="A80" s="94" t="s">
        <v>142</v>
      </c>
      <c r="B80" t="s">
        <v>98</v>
      </c>
      <c r="E80" s="107" t="s">
        <v>143</v>
      </c>
      <c r="F80" s="185">
        <v>0</v>
      </c>
      <c r="G80" s="185">
        <v>0</v>
      </c>
      <c r="H80" s="185">
        <v>0</v>
      </c>
      <c r="I80" s="185">
        <v>286.12</v>
      </c>
      <c r="J80" s="30"/>
    </row>
    <row r="81" spans="1:15" ht="15" customHeight="1" x14ac:dyDescent="0.25">
      <c r="A81" s="10"/>
      <c r="E81" s="106"/>
      <c r="F81" s="195"/>
      <c r="G81" s="195"/>
      <c r="H81" s="195"/>
      <c r="I81" s="195"/>
      <c r="J81" s="30"/>
    </row>
    <row r="82" spans="1:15" x14ac:dyDescent="0.25">
      <c r="A82" s="110" t="s">
        <v>100</v>
      </c>
      <c r="B82" s="111"/>
      <c r="C82" s="111"/>
      <c r="D82" s="111"/>
      <c r="E82" s="112"/>
      <c r="F82" s="275">
        <f>+F80+F72+F66+F52+F50+F48+F44+F58+F60</f>
        <v>0</v>
      </c>
      <c r="G82" s="275">
        <f>+G80+G72+G66+G52+G50+G48+G44+G58+G60+G62</f>
        <v>0</v>
      </c>
      <c r="H82" s="275">
        <f>+H80+H72+H66+H52+H50+H48+H44+H58+H60+H62</f>
        <v>1582033.3299999998</v>
      </c>
      <c r="I82" s="275">
        <f>+I80+I72+I66+I52+I50+I48+I44+I58+I60+I62</f>
        <v>1467693.03</v>
      </c>
      <c r="J82" s="113"/>
    </row>
    <row r="83" spans="1:15" ht="15" customHeight="1" x14ac:dyDescent="0.25"/>
    <row r="84" spans="1:15" s="4" customFormat="1" hidden="1" x14ac:dyDescent="0.25">
      <c r="A84" s="412"/>
      <c r="B84" s="412" t="s">
        <v>144</v>
      </c>
      <c r="C84" s="412"/>
      <c r="D84" s="412"/>
      <c r="E84" s="413"/>
      <c r="F84" s="412"/>
      <c r="G84" s="411">
        <f>+G82-G39</f>
        <v>0</v>
      </c>
      <c r="H84" s="411">
        <v>0</v>
      </c>
      <c r="I84" s="411">
        <f>+I82-I39</f>
        <v>0</v>
      </c>
    </row>
    <row r="85" spans="1:15" ht="18.75" x14ac:dyDescent="0.25">
      <c r="A85" s="64"/>
      <c r="B85" s="66"/>
      <c r="C85" s="66"/>
      <c r="D85" s="27"/>
      <c r="E85" s="99"/>
      <c r="F85" s="28"/>
      <c r="G85" s="28"/>
      <c r="H85" s="28"/>
      <c r="I85" s="28"/>
      <c r="J85" s="28"/>
    </row>
    <row r="86" spans="1:15" x14ac:dyDescent="0.25">
      <c r="A86" s="459" t="s">
        <v>12</v>
      </c>
      <c r="B86" s="460"/>
      <c r="C86" s="460"/>
      <c r="D86" s="461"/>
      <c r="E86" s="14" t="s">
        <v>54</v>
      </c>
      <c r="F86" s="14" t="str">
        <f>+F42</f>
        <v>-</v>
      </c>
      <c r="G86" s="329">
        <f>+G42</f>
        <v>45291</v>
      </c>
      <c r="H86" s="329">
        <f>+H42</f>
        <v>45657</v>
      </c>
      <c r="I86" s="329">
        <f>+I42</f>
        <v>45838</v>
      </c>
      <c r="J86" s="16"/>
    </row>
    <row r="87" spans="1:15" hidden="1" x14ac:dyDescent="0.25">
      <c r="A87" s="12"/>
      <c r="B87" s="13"/>
      <c r="C87" s="13"/>
      <c r="D87" s="13"/>
      <c r="E87" s="100"/>
      <c r="F87" s="41"/>
      <c r="G87" s="41"/>
      <c r="H87" s="41"/>
      <c r="I87" s="105"/>
      <c r="J87" s="105"/>
    </row>
    <row r="88" spans="1:15" x14ac:dyDescent="0.25">
      <c r="A88" s="12" t="s">
        <v>145</v>
      </c>
      <c r="B88" s="13"/>
      <c r="C88" s="13"/>
      <c r="D88" s="13"/>
      <c r="E88" s="350" t="s">
        <v>146</v>
      </c>
      <c r="F88" s="351">
        <f>SUM(F89:F92)</f>
        <v>0</v>
      </c>
      <c r="G88" s="351">
        <f>SUM(G89:G92)</f>
        <v>0</v>
      </c>
      <c r="H88" s="351">
        <f>SUM(H89:H92)</f>
        <v>167785</v>
      </c>
      <c r="I88" s="351">
        <f>SUM(I89:I92)</f>
        <v>107382.88</v>
      </c>
      <c r="J88" s="30"/>
    </row>
    <row r="89" spans="1:15" x14ac:dyDescent="0.25">
      <c r="A89" s="94" t="s">
        <v>62</v>
      </c>
      <c r="B89" t="s">
        <v>147</v>
      </c>
      <c r="E89" s="106">
        <v>70</v>
      </c>
      <c r="F89" s="195">
        <v>0</v>
      </c>
      <c r="G89" s="195">
        <v>0</v>
      </c>
      <c r="H89" s="195">
        <v>167785</v>
      </c>
      <c r="I89" s="195">
        <v>106143.17</v>
      </c>
      <c r="J89" s="30"/>
    </row>
    <row r="90" spans="1:15" x14ac:dyDescent="0.25">
      <c r="A90" s="94" t="s">
        <v>64</v>
      </c>
      <c r="B90" t="s">
        <v>148</v>
      </c>
      <c r="E90" s="106">
        <v>71</v>
      </c>
      <c r="F90" s="195">
        <v>0</v>
      </c>
      <c r="G90" s="195">
        <v>0</v>
      </c>
      <c r="H90" s="195">
        <v>0</v>
      </c>
      <c r="I90" s="195">
        <v>0</v>
      </c>
      <c r="J90" s="30"/>
    </row>
    <row r="91" spans="1:15" x14ac:dyDescent="0.25">
      <c r="A91" s="94" t="s">
        <v>66</v>
      </c>
      <c r="B91" t="s">
        <v>149</v>
      </c>
      <c r="E91" s="106">
        <v>72</v>
      </c>
      <c r="F91" s="195"/>
      <c r="G91" s="195"/>
      <c r="H91" s="195">
        <v>0</v>
      </c>
      <c r="I91" s="195"/>
      <c r="J91" s="30"/>
      <c r="N91" s="199"/>
      <c r="O91" s="199"/>
    </row>
    <row r="92" spans="1:15" x14ac:dyDescent="0.25">
      <c r="A92" s="94" t="s">
        <v>68</v>
      </c>
      <c r="B92" t="s">
        <v>150</v>
      </c>
      <c r="E92" s="106">
        <v>74</v>
      </c>
      <c r="F92" s="195">
        <v>0</v>
      </c>
      <c r="G92" s="195">
        <v>0</v>
      </c>
      <c r="H92" s="195">
        <v>0</v>
      </c>
      <c r="I92" s="195">
        <v>1239.71</v>
      </c>
      <c r="J92" s="30"/>
      <c r="N92" s="199"/>
    </row>
    <row r="93" spans="1:15" x14ac:dyDescent="0.25">
      <c r="A93" s="10"/>
      <c r="E93" s="106"/>
      <c r="F93" s="195"/>
      <c r="G93" s="195"/>
      <c r="H93" s="195"/>
      <c r="I93" s="195"/>
      <c r="J93" s="30"/>
      <c r="M93" s="199"/>
    </row>
    <row r="94" spans="1:15" x14ac:dyDescent="0.25">
      <c r="A94" s="10" t="s">
        <v>151</v>
      </c>
      <c r="E94" s="107" t="s">
        <v>152</v>
      </c>
      <c r="F94" s="185">
        <f>SUM(F95:F102)</f>
        <v>0</v>
      </c>
      <c r="G94" s="185">
        <f>SUM(G95:G102)</f>
        <v>0</v>
      </c>
      <c r="H94" s="185">
        <f>SUM(H95:H102)</f>
        <v>31533.360000000001</v>
      </c>
      <c r="I94" s="185">
        <f>SUM(I95:I102)</f>
        <v>43460.539999999994</v>
      </c>
      <c r="J94" s="30"/>
    </row>
    <row r="95" spans="1:15" x14ac:dyDescent="0.25">
      <c r="A95" s="94" t="s">
        <v>62</v>
      </c>
      <c r="B95" t="s">
        <v>153</v>
      </c>
      <c r="E95" s="106">
        <v>60</v>
      </c>
      <c r="F95" s="195">
        <v>0</v>
      </c>
      <c r="G95" s="195">
        <v>0</v>
      </c>
      <c r="H95" s="195">
        <v>0</v>
      </c>
      <c r="I95" s="195">
        <v>0</v>
      </c>
      <c r="J95" s="30"/>
    </row>
    <row r="96" spans="1:15" x14ac:dyDescent="0.25">
      <c r="A96" s="94" t="s">
        <v>64</v>
      </c>
      <c r="B96" t="s">
        <v>154</v>
      </c>
      <c r="E96" s="106">
        <v>61</v>
      </c>
      <c r="F96" s="195">
        <v>0</v>
      </c>
      <c r="G96" s="195">
        <v>0</v>
      </c>
      <c r="H96" s="195">
        <v>16077.19</v>
      </c>
      <c r="I96" s="195">
        <f>86288.72-66262.52</f>
        <v>20026.199999999997</v>
      </c>
      <c r="J96" s="30"/>
    </row>
    <row r="97" spans="1:10" x14ac:dyDescent="0.25">
      <c r="A97" s="94" t="s">
        <v>66</v>
      </c>
      <c r="B97" t="s">
        <v>155</v>
      </c>
      <c r="E97" s="106">
        <v>62</v>
      </c>
      <c r="F97" s="195">
        <v>0</v>
      </c>
      <c r="G97" s="195">
        <v>0</v>
      </c>
      <c r="H97" s="195">
        <v>0</v>
      </c>
      <c r="I97" s="195">
        <v>0</v>
      </c>
      <c r="J97" s="30"/>
    </row>
    <row r="98" spans="1:10" x14ac:dyDescent="0.25">
      <c r="A98" s="94" t="s">
        <v>68</v>
      </c>
      <c r="B98" t="s">
        <v>156</v>
      </c>
      <c r="E98" s="106">
        <v>63</v>
      </c>
      <c r="F98" s="195">
        <v>0</v>
      </c>
      <c r="G98" s="195">
        <v>0</v>
      </c>
      <c r="H98" s="195">
        <v>14506.83</v>
      </c>
      <c r="I98" s="195">
        <f>46587.68/2</f>
        <v>23293.84</v>
      </c>
      <c r="J98" s="30"/>
    </row>
    <row r="99" spans="1:10" x14ac:dyDescent="0.25">
      <c r="A99" s="94" t="s">
        <v>70</v>
      </c>
      <c r="B99" t="s">
        <v>157</v>
      </c>
      <c r="E99" s="106" t="s">
        <v>158</v>
      </c>
      <c r="F99" s="195">
        <v>0</v>
      </c>
      <c r="G99" s="195">
        <v>0</v>
      </c>
      <c r="H99" s="195">
        <v>0</v>
      </c>
      <c r="I99" s="195">
        <v>0</v>
      </c>
      <c r="J99" s="30"/>
    </row>
    <row r="100" spans="1:10" x14ac:dyDescent="0.25">
      <c r="A100" s="94" t="s">
        <v>72</v>
      </c>
      <c r="B100" t="s">
        <v>126</v>
      </c>
      <c r="E100" s="106" t="s">
        <v>159</v>
      </c>
      <c r="F100" s="195">
        <v>0</v>
      </c>
      <c r="G100" s="195">
        <v>0</v>
      </c>
      <c r="H100" s="195">
        <v>0</v>
      </c>
      <c r="I100" s="195">
        <v>0</v>
      </c>
      <c r="J100" s="30"/>
    </row>
    <row r="101" spans="1:10" x14ac:dyDescent="0.25">
      <c r="A101" s="94" t="s">
        <v>160</v>
      </c>
      <c r="B101" t="s">
        <v>161</v>
      </c>
      <c r="E101" s="106" t="s">
        <v>162</v>
      </c>
      <c r="F101" s="195">
        <v>0</v>
      </c>
      <c r="G101" s="195">
        <v>0</v>
      </c>
      <c r="H101" s="195">
        <v>949.34</v>
      </c>
      <c r="I101" s="195">
        <v>140.5</v>
      </c>
      <c r="J101" s="30"/>
    </row>
    <row r="102" spans="1:10" x14ac:dyDescent="0.25">
      <c r="A102" s="94" t="s">
        <v>163</v>
      </c>
      <c r="B102" t="s">
        <v>164</v>
      </c>
      <c r="E102" s="106">
        <v>649</v>
      </c>
      <c r="F102" s="195">
        <v>0</v>
      </c>
      <c r="G102" s="195">
        <v>0</v>
      </c>
      <c r="H102" s="195">
        <v>0</v>
      </c>
      <c r="I102" s="195">
        <v>0</v>
      </c>
      <c r="J102" s="30"/>
    </row>
    <row r="103" spans="1:10" hidden="1" x14ac:dyDescent="0.25">
      <c r="A103" s="94"/>
      <c r="E103" s="106"/>
      <c r="F103" s="195"/>
      <c r="G103" s="195"/>
      <c r="H103" s="195"/>
      <c r="I103" s="195"/>
      <c r="J103" s="30"/>
    </row>
    <row r="104" spans="1:10" x14ac:dyDescent="0.25">
      <c r="A104" s="352" t="s">
        <v>165</v>
      </c>
      <c r="B104" s="4"/>
      <c r="C104" s="4"/>
      <c r="D104" s="4"/>
      <c r="E104" s="109">
        <v>9901</v>
      </c>
      <c r="F104" s="266">
        <f>+F88-F94</f>
        <v>0</v>
      </c>
      <c r="G104" s="266">
        <f>+G88-G94</f>
        <v>0</v>
      </c>
      <c r="H104" s="266">
        <f>+H88-H94</f>
        <v>136251.64000000001</v>
      </c>
      <c r="I104" s="266">
        <f>+I88-I94</f>
        <v>63922.340000000011</v>
      </c>
      <c r="J104" s="30"/>
    </row>
    <row r="105" spans="1:10" x14ac:dyDescent="0.25">
      <c r="A105" s="94"/>
      <c r="E105" s="106"/>
      <c r="F105" s="195"/>
      <c r="G105" s="195"/>
      <c r="H105" s="195"/>
      <c r="I105" s="195"/>
      <c r="J105" s="30"/>
    </row>
    <row r="106" spans="1:10" x14ac:dyDescent="0.25">
      <c r="A106" s="94"/>
      <c r="E106" s="106"/>
      <c r="F106" s="195"/>
      <c r="G106" s="195"/>
      <c r="H106" s="195"/>
      <c r="I106" s="195"/>
      <c r="J106" s="30"/>
    </row>
    <row r="107" spans="1:10" x14ac:dyDescent="0.25">
      <c r="A107" s="108" t="s">
        <v>166</v>
      </c>
      <c r="E107" s="107">
        <v>75</v>
      </c>
      <c r="F107" s="185">
        <f>SUM(F108:F110)</f>
        <v>0</v>
      </c>
      <c r="G107" s="185">
        <f>SUM(G108:G110)</f>
        <v>0</v>
      </c>
      <c r="H107" s="185">
        <f>SUM(H108:H110)</f>
        <v>1855.3</v>
      </c>
      <c r="I107" s="185">
        <f>SUM(I108:I110)</f>
        <v>0.01</v>
      </c>
      <c r="J107" s="30"/>
    </row>
    <row r="108" spans="1:10" x14ac:dyDescent="0.25">
      <c r="A108" s="94" t="s">
        <v>62</v>
      </c>
      <c r="B108" t="s">
        <v>167</v>
      </c>
      <c r="E108" s="106">
        <v>750</v>
      </c>
      <c r="F108" s="195">
        <v>0</v>
      </c>
      <c r="G108" s="195">
        <v>0</v>
      </c>
      <c r="H108" s="195">
        <v>1855.3</v>
      </c>
      <c r="I108" s="195">
        <v>0.01</v>
      </c>
      <c r="J108" s="30"/>
    </row>
    <row r="109" spans="1:10" x14ac:dyDescent="0.25">
      <c r="A109" s="94" t="s">
        <v>64</v>
      </c>
      <c r="B109" t="s">
        <v>168</v>
      </c>
      <c r="E109" s="106">
        <v>751</v>
      </c>
      <c r="F109" s="195">
        <v>0</v>
      </c>
      <c r="G109" s="195">
        <v>0</v>
      </c>
      <c r="H109" s="195">
        <v>0</v>
      </c>
      <c r="I109" s="195">
        <v>0</v>
      </c>
      <c r="J109" s="30"/>
    </row>
    <row r="110" spans="1:10" x14ac:dyDescent="0.25">
      <c r="A110" s="94" t="s">
        <v>66</v>
      </c>
      <c r="B110" t="s">
        <v>169</v>
      </c>
      <c r="E110" s="106" t="s">
        <v>170</v>
      </c>
      <c r="F110" s="195">
        <v>0</v>
      </c>
      <c r="G110" s="195">
        <v>0</v>
      </c>
      <c r="H110" s="195">
        <v>0</v>
      </c>
      <c r="I110" s="195">
        <v>0</v>
      </c>
      <c r="J110" s="30"/>
    </row>
    <row r="111" spans="1:10" x14ac:dyDescent="0.25">
      <c r="A111" s="94"/>
      <c r="E111" s="106"/>
      <c r="F111" s="195"/>
      <c r="G111" s="195"/>
      <c r="H111" s="195"/>
      <c r="I111" s="195"/>
      <c r="J111" s="30"/>
    </row>
    <row r="112" spans="1:10" x14ac:dyDescent="0.25">
      <c r="A112" s="108" t="s">
        <v>171</v>
      </c>
      <c r="E112" s="107">
        <v>65</v>
      </c>
      <c r="F112" s="185">
        <f>SUM(F113:F115)</f>
        <v>0</v>
      </c>
      <c r="G112" s="185">
        <f>SUM(G113:G115)</f>
        <v>0</v>
      </c>
      <c r="H112" s="185">
        <f>SUM(H113:H115)</f>
        <v>17157.990000000002</v>
      </c>
      <c r="I112" s="185">
        <f>SUM(I113:I115)</f>
        <v>50.9</v>
      </c>
      <c r="J112" s="30"/>
    </row>
    <row r="113" spans="1:11" x14ac:dyDescent="0.25">
      <c r="A113" s="94" t="s">
        <v>62</v>
      </c>
      <c r="B113" t="s">
        <v>172</v>
      </c>
      <c r="E113" s="106">
        <v>650</v>
      </c>
      <c r="F113" s="195">
        <v>0</v>
      </c>
      <c r="G113" s="195">
        <v>0</v>
      </c>
      <c r="H113" s="195">
        <v>17157.990000000002</v>
      </c>
      <c r="I113" s="195">
        <v>50.9</v>
      </c>
      <c r="J113" s="30"/>
    </row>
    <row r="114" spans="1:11" x14ac:dyDescent="0.25">
      <c r="A114" s="94" t="s">
        <v>64</v>
      </c>
      <c r="B114" t="s">
        <v>173</v>
      </c>
      <c r="E114" s="106">
        <v>651</v>
      </c>
      <c r="F114" s="195">
        <v>0</v>
      </c>
      <c r="G114" s="195">
        <v>0</v>
      </c>
      <c r="H114" s="195">
        <v>0</v>
      </c>
      <c r="I114" s="195">
        <v>0</v>
      </c>
      <c r="J114" s="30"/>
    </row>
    <row r="115" spans="1:11" x14ac:dyDescent="0.25">
      <c r="A115" s="94" t="s">
        <v>66</v>
      </c>
      <c r="B115" t="s">
        <v>174</v>
      </c>
      <c r="E115" s="106" t="s">
        <v>175</v>
      </c>
      <c r="F115" s="195">
        <v>0</v>
      </c>
      <c r="G115" s="195">
        <v>0</v>
      </c>
      <c r="H115" s="195">
        <v>0</v>
      </c>
      <c r="I115" s="195">
        <v>0</v>
      </c>
      <c r="J115" s="30"/>
    </row>
    <row r="116" spans="1:11" hidden="1" x14ac:dyDescent="0.25">
      <c r="A116" s="94"/>
      <c r="E116" s="106"/>
      <c r="F116" s="195"/>
      <c r="G116" s="195"/>
      <c r="H116" s="195"/>
      <c r="I116" s="195"/>
      <c r="J116" s="30"/>
    </row>
    <row r="117" spans="1:11" x14ac:dyDescent="0.25">
      <c r="A117" s="352" t="s">
        <v>176</v>
      </c>
      <c r="B117" s="4"/>
      <c r="C117" s="4"/>
      <c r="D117" s="4"/>
      <c r="E117" s="109">
        <v>9902</v>
      </c>
      <c r="F117" s="266">
        <f>+F104+F107-F112</f>
        <v>0</v>
      </c>
      <c r="G117" s="266">
        <f>+G104+G107-G112</f>
        <v>0</v>
      </c>
      <c r="H117" s="266">
        <f>+H104+H107-H112</f>
        <v>120948.95</v>
      </c>
      <c r="I117" s="266">
        <f>+I104+I107-I112</f>
        <v>63871.450000000012</v>
      </c>
      <c r="J117" s="30"/>
    </row>
    <row r="118" spans="1:11" x14ac:dyDescent="0.25">
      <c r="A118" s="94"/>
      <c r="E118" s="106"/>
      <c r="F118" s="195"/>
      <c r="G118" s="195"/>
      <c r="H118" s="195"/>
      <c r="I118" s="195"/>
      <c r="J118" s="30"/>
    </row>
    <row r="119" spans="1:11" x14ac:dyDescent="0.25">
      <c r="A119" s="108" t="s">
        <v>177</v>
      </c>
      <c r="E119" s="107"/>
      <c r="F119" s="185">
        <f>+F120-F121</f>
        <v>0</v>
      </c>
      <c r="G119" s="185">
        <f>+G120-G121</f>
        <v>0</v>
      </c>
      <c r="H119" s="185">
        <f>+H120-H121</f>
        <v>0</v>
      </c>
      <c r="I119" s="185">
        <f>+I120-I121</f>
        <v>0</v>
      </c>
      <c r="J119" s="30"/>
    </row>
    <row r="120" spans="1:11" x14ac:dyDescent="0.25">
      <c r="A120" s="94"/>
      <c r="B120" t="s">
        <v>178</v>
      </c>
      <c r="E120" s="106">
        <v>76</v>
      </c>
      <c r="F120" s="195">
        <v>0</v>
      </c>
      <c r="G120" s="195">
        <v>0</v>
      </c>
      <c r="H120" s="195"/>
      <c r="I120" s="195">
        <v>0</v>
      </c>
      <c r="J120" s="30"/>
    </row>
    <row r="121" spans="1:11" x14ac:dyDescent="0.25">
      <c r="A121" s="94"/>
      <c r="B121" t="s">
        <v>179</v>
      </c>
      <c r="E121" s="106">
        <v>66</v>
      </c>
      <c r="F121" s="195">
        <v>0</v>
      </c>
      <c r="G121" s="195">
        <v>0</v>
      </c>
      <c r="H121" s="195">
        <v>0</v>
      </c>
      <c r="I121" s="195">
        <v>0</v>
      </c>
      <c r="J121" s="30"/>
    </row>
    <row r="122" spans="1:11" hidden="1" x14ac:dyDescent="0.25">
      <c r="A122" s="94"/>
      <c r="E122" s="106"/>
      <c r="F122" s="195"/>
      <c r="G122" s="195"/>
      <c r="H122" s="195"/>
      <c r="I122" s="195"/>
      <c r="J122" s="30"/>
    </row>
    <row r="123" spans="1:11" x14ac:dyDescent="0.25">
      <c r="A123" s="352" t="s">
        <v>176</v>
      </c>
      <c r="B123" s="4"/>
      <c r="C123" s="4"/>
      <c r="D123" s="4"/>
      <c r="E123" s="109">
        <v>9903</v>
      </c>
      <c r="F123" s="266">
        <f>+F117+F119</f>
        <v>0</v>
      </c>
      <c r="G123" s="266">
        <f>+G117+G119</f>
        <v>0</v>
      </c>
      <c r="H123" s="266">
        <f>+H117+H119</f>
        <v>120948.95</v>
      </c>
      <c r="I123" s="266">
        <f>+I117+I119</f>
        <v>63871.450000000012</v>
      </c>
      <c r="J123" s="30"/>
    </row>
    <row r="124" spans="1:11" x14ac:dyDescent="0.25">
      <c r="A124" s="352"/>
      <c r="B124" s="4"/>
      <c r="C124" s="4"/>
      <c r="D124" s="4"/>
      <c r="E124" s="106"/>
      <c r="F124" s="195"/>
      <c r="G124" s="195"/>
      <c r="H124" s="195"/>
      <c r="I124" s="195"/>
      <c r="J124" s="30"/>
    </row>
    <row r="125" spans="1:11" x14ac:dyDescent="0.25">
      <c r="A125" s="10" t="s">
        <v>129</v>
      </c>
      <c r="E125" s="106" t="s">
        <v>180</v>
      </c>
      <c r="F125" s="195">
        <v>0</v>
      </c>
      <c r="G125" s="195">
        <v>0</v>
      </c>
      <c r="H125" s="195">
        <v>0</v>
      </c>
      <c r="I125" s="195">
        <v>0</v>
      </c>
      <c r="J125" s="30"/>
    </row>
    <row r="126" spans="1:11" x14ac:dyDescent="0.25">
      <c r="A126" s="10" t="s">
        <v>181</v>
      </c>
      <c r="E126" s="106" t="s">
        <v>182</v>
      </c>
      <c r="F126" s="195">
        <v>0</v>
      </c>
      <c r="G126" s="195">
        <v>0</v>
      </c>
      <c r="H126" s="195">
        <v>0</v>
      </c>
      <c r="I126" s="195">
        <v>0</v>
      </c>
      <c r="J126" s="30"/>
      <c r="K126" s="114"/>
    </row>
    <row r="127" spans="1:11" hidden="1" x14ac:dyDescent="0.25">
      <c r="A127" s="94"/>
      <c r="E127" s="106"/>
      <c r="F127" s="195"/>
      <c r="G127" s="195"/>
      <c r="H127" s="195"/>
      <c r="I127" s="195"/>
      <c r="J127" s="30"/>
    </row>
    <row r="128" spans="1:11" x14ac:dyDescent="0.25">
      <c r="A128" s="352" t="s">
        <v>183</v>
      </c>
      <c r="B128" s="4"/>
      <c r="C128" s="4"/>
      <c r="D128" s="4"/>
      <c r="E128" s="109">
        <v>9904</v>
      </c>
      <c r="F128" s="266">
        <f>+F123-F126-F125</f>
        <v>0</v>
      </c>
      <c r="G128" s="266">
        <f>+G123-G126-G125</f>
        <v>0</v>
      </c>
      <c r="H128" s="266">
        <f>+H123-H126-H125</f>
        <v>120948.95</v>
      </c>
      <c r="I128" s="266">
        <f>+I123-I126-I125</f>
        <v>63871.450000000012</v>
      </c>
      <c r="J128" s="30"/>
    </row>
    <row r="129" spans="1:10" x14ac:dyDescent="0.25">
      <c r="A129" s="108"/>
      <c r="E129" s="106"/>
      <c r="F129" s="195"/>
      <c r="G129" s="195"/>
      <c r="H129" s="195"/>
      <c r="I129" s="195"/>
      <c r="J129" s="30"/>
    </row>
    <row r="130" spans="1:10" x14ac:dyDescent="0.25">
      <c r="A130" s="10" t="s">
        <v>184</v>
      </c>
      <c r="E130" s="106"/>
      <c r="F130" s="185">
        <f>+F131-F132</f>
        <v>0</v>
      </c>
      <c r="G130" s="185">
        <f>+G131-G132</f>
        <v>0</v>
      </c>
      <c r="H130" s="185">
        <f>+H131-H132</f>
        <v>0</v>
      </c>
      <c r="I130" s="185">
        <f>+I131-I132</f>
        <v>0</v>
      </c>
      <c r="J130" s="30"/>
    </row>
    <row r="131" spans="1:10" x14ac:dyDescent="0.25">
      <c r="A131" s="10"/>
      <c r="B131" t="s">
        <v>185</v>
      </c>
      <c r="E131" s="106">
        <v>789</v>
      </c>
      <c r="F131" s="195">
        <v>0</v>
      </c>
      <c r="G131" s="195">
        <v>0</v>
      </c>
      <c r="H131" s="195">
        <v>0</v>
      </c>
      <c r="I131" s="195">
        <v>0</v>
      </c>
      <c r="J131" s="30"/>
    </row>
    <row r="132" spans="1:10" x14ac:dyDescent="0.25">
      <c r="A132" s="94"/>
      <c r="B132" t="s">
        <v>186</v>
      </c>
      <c r="E132" s="106">
        <v>689</v>
      </c>
      <c r="F132" s="195">
        <v>0</v>
      </c>
      <c r="G132" s="195">
        <v>0</v>
      </c>
      <c r="H132" s="195">
        <v>0</v>
      </c>
      <c r="I132" s="195">
        <v>0</v>
      </c>
      <c r="J132" s="30"/>
    </row>
    <row r="133" spans="1:10" ht="15" hidden="1" customHeight="1" x14ac:dyDescent="0.25">
      <c r="A133" s="94"/>
      <c r="E133" s="106"/>
      <c r="F133" s="195"/>
      <c r="G133" s="195"/>
      <c r="H133" s="195"/>
      <c r="I133" s="195"/>
      <c r="J133" s="30"/>
    </row>
    <row r="134" spans="1:10" x14ac:dyDescent="0.25">
      <c r="A134" s="110" t="s">
        <v>187</v>
      </c>
      <c r="B134" s="111"/>
      <c r="C134" s="111"/>
      <c r="D134" s="111"/>
      <c r="E134" s="112">
        <v>9905</v>
      </c>
      <c r="F134" s="275">
        <f>+F128+F130</f>
        <v>0</v>
      </c>
      <c r="G134" s="275">
        <f>+G128+G130</f>
        <v>0</v>
      </c>
      <c r="H134" s="275">
        <f>+H128+H130</f>
        <v>120948.95</v>
      </c>
      <c r="I134" s="275">
        <f>+I128+I130</f>
        <v>63871.450000000012</v>
      </c>
      <c r="J134" s="113"/>
    </row>
    <row r="135" spans="1:10" x14ac:dyDescent="0.25">
      <c r="I135" s="302"/>
    </row>
    <row r="138" spans="1:10" x14ac:dyDescent="0.25">
      <c r="G138" s="165"/>
      <c r="H138" s="165"/>
      <c r="I138" s="165"/>
      <c r="J138" s="199">
        <f>SUM(J134:J136)</f>
        <v>0</v>
      </c>
    </row>
  </sheetData>
  <mergeCells count="3">
    <mergeCell ref="A86:D86"/>
    <mergeCell ref="A2:D2"/>
    <mergeCell ref="A42:D42"/>
  </mergeCell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&amp;LSisu BV&amp;CWaardering aandelen klasse A en B
&amp;R&amp;D</oddHeader>
  </headerFooter>
  <rowBreaks count="2" manualBreakCount="2">
    <brk id="40" max="16383" man="1"/>
    <brk id="84"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P151"/>
  <sheetViews>
    <sheetView tabSelected="1" workbookViewId="0">
      <selection activeCell="K51" sqref="K51"/>
    </sheetView>
  </sheetViews>
  <sheetFormatPr defaultRowHeight="15" x14ac:dyDescent="0.25"/>
  <cols>
    <col min="1" max="1" width="6.5703125" customWidth="1"/>
    <col min="2" max="2" width="12.5703125" customWidth="1"/>
    <col min="3" max="3" width="16.140625" customWidth="1"/>
    <col min="4" max="4" width="6.28515625" customWidth="1"/>
    <col min="5" max="5" width="6.42578125" style="83" bestFit="1" customWidth="1"/>
    <col min="6" max="6" width="11.42578125" customWidth="1"/>
    <col min="7" max="9" width="10.7109375" customWidth="1"/>
    <col min="10" max="12" width="10.7109375" bestFit="1" customWidth="1"/>
    <col min="13" max="14" width="8.85546875"/>
    <col min="15" max="15" width="8.28515625" bestFit="1" customWidth="1"/>
    <col min="16" max="244" width="8.85546875"/>
    <col min="245" max="245" width="11.5703125" customWidth="1"/>
    <col min="246" max="246" width="17" customWidth="1"/>
    <col min="247" max="247" width="8.85546875"/>
    <col min="248" max="248" width="2.85546875" customWidth="1"/>
    <col min="249" max="249" width="14.140625" customWidth="1"/>
    <col min="250" max="250" width="15.42578125" customWidth="1"/>
    <col min="251" max="251" width="13.5703125" customWidth="1"/>
    <col min="252" max="252" width="13.85546875" customWidth="1"/>
    <col min="253" max="253" width="13.140625" customWidth="1"/>
    <col min="254" max="254" width="14.85546875" bestFit="1" customWidth="1"/>
    <col min="255" max="255" width="2.7109375" customWidth="1"/>
    <col min="256" max="256" width="8.85546875"/>
    <col min="257" max="257" width="10.85546875" customWidth="1"/>
    <col min="258" max="258" width="7.85546875" customWidth="1"/>
    <col min="259" max="259" width="11.28515625" customWidth="1"/>
    <col min="260" max="500" width="8.85546875"/>
    <col min="501" max="501" width="11.5703125" customWidth="1"/>
    <col min="502" max="502" width="17" customWidth="1"/>
    <col min="503" max="503" width="8.85546875"/>
    <col min="504" max="504" width="2.85546875" customWidth="1"/>
    <col min="505" max="505" width="14.140625" customWidth="1"/>
    <col min="506" max="506" width="15.42578125" customWidth="1"/>
    <col min="507" max="507" width="13.5703125" customWidth="1"/>
    <col min="508" max="508" width="13.85546875" customWidth="1"/>
    <col min="509" max="509" width="13.140625" customWidth="1"/>
    <col min="510" max="510" width="14.85546875" bestFit="1" customWidth="1"/>
    <col min="511" max="511" width="2.7109375" customWidth="1"/>
    <col min="512" max="512" width="8.85546875"/>
    <col min="513" max="513" width="10.85546875" customWidth="1"/>
    <col min="514" max="514" width="7.85546875" customWidth="1"/>
    <col min="515" max="515" width="11.28515625" customWidth="1"/>
    <col min="516" max="756" width="8.85546875"/>
    <col min="757" max="757" width="11.5703125" customWidth="1"/>
    <col min="758" max="758" width="17" customWidth="1"/>
    <col min="759" max="759" width="8.85546875"/>
    <col min="760" max="760" width="2.85546875" customWidth="1"/>
    <col min="761" max="761" width="14.140625" customWidth="1"/>
    <col min="762" max="762" width="15.42578125" customWidth="1"/>
    <col min="763" max="763" width="13.5703125" customWidth="1"/>
    <col min="764" max="764" width="13.85546875" customWidth="1"/>
    <col min="765" max="765" width="13.140625" customWidth="1"/>
    <col min="766" max="766" width="14.85546875" bestFit="1" customWidth="1"/>
    <col min="767" max="767" width="2.7109375" customWidth="1"/>
    <col min="768" max="768" width="8.85546875"/>
    <col min="769" max="769" width="10.85546875" customWidth="1"/>
    <col min="770" max="770" width="7.85546875" customWidth="1"/>
    <col min="771" max="771" width="11.28515625" customWidth="1"/>
    <col min="772" max="1012" width="8.85546875"/>
    <col min="1013" max="1013" width="11.5703125" customWidth="1"/>
    <col min="1014" max="1014" width="17" customWidth="1"/>
    <col min="1015" max="1015" width="8.85546875"/>
    <col min="1016" max="1016" width="2.85546875" customWidth="1"/>
    <col min="1017" max="1017" width="14.140625" customWidth="1"/>
    <col min="1018" max="1018" width="15.42578125" customWidth="1"/>
    <col min="1019" max="1019" width="13.5703125" customWidth="1"/>
    <col min="1020" max="1020" width="13.85546875" customWidth="1"/>
    <col min="1021" max="1021" width="13.140625" customWidth="1"/>
    <col min="1022" max="1022" width="14.85546875" bestFit="1" customWidth="1"/>
    <col min="1023" max="1023" width="2.7109375" customWidth="1"/>
    <col min="1024" max="1024" width="8.85546875"/>
    <col min="1025" max="1025" width="10.85546875" customWidth="1"/>
    <col min="1026" max="1026" width="7.85546875" customWidth="1"/>
    <col min="1027" max="1027" width="11.28515625" customWidth="1"/>
    <col min="1028" max="1268" width="8.85546875"/>
    <col min="1269" max="1269" width="11.5703125" customWidth="1"/>
    <col min="1270" max="1270" width="17" customWidth="1"/>
    <col min="1271" max="1271" width="8.85546875"/>
    <col min="1272" max="1272" width="2.85546875" customWidth="1"/>
    <col min="1273" max="1273" width="14.140625" customWidth="1"/>
    <col min="1274" max="1274" width="15.42578125" customWidth="1"/>
    <col min="1275" max="1275" width="13.5703125" customWidth="1"/>
    <col min="1276" max="1276" width="13.85546875" customWidth="1"/>
    <col min="1277" max="1277" width="13.140625" customWidth="1"/>
    <col min="1278" max="1278" width="14.85546875" bestFit="1" customWidth="1"/>
    <col min="1279" max="1279" width="2.7109375" customWidth="1"/>
    <col min="1280" max="1280" width="8.85546875"/>
    <col min="1281" max="1281" width="10.85546875" customWidth="1"/>
    <col min="1282" max="1282" width="7.85546875" customWidth="1"/>
    <col min="1283" max="1283" width="11.28515625" customWidth="1"/>
    <col min="1284" max="1524" width="8.85546875"/>
    <col min="1525" max="1525" width="11.5703125" customWidth="1"/>
    <col min="1526" max="1526" width="17" customWidth="1"/>
    <col min="1527" max="1527" width="8.85546875"/>
    <col min="1528" max="1528" width="2.85546875" customWidth="1"/>
    <col min="1529" max="1529" width="14.140625" customWidth="1"/>
    <col min="1530" max="1530" width="15.42578125" customWidth="1"/>
    <col min="1531" max="1531" width="13.5703125" customWidth="1"/>
    <col min="1532" max="1532" width="13.85546875" customWidth="1"/>
    <col min="1533" max="1533" width="13.140625" customWidth="1"/>
    <col min="1534" max="1534" width="14.85546875" bestFit="1" customWidth="1"/>
    <col min="1535" max="1535" width="2.7109375" customWidth="1"/>
    <col min="1536" max="1536" width="8.85546875"/>
    <col min="1537" max="1537" width="10.85546875" customWidth="1"/>
    <col min="1538" max="1538" width="7.85546875" customWidth="1"/>
    <col min="1539" max="1539" width="11.28515625" customWidth="1"/>
    <col min="1540" max="1780" width="8.85546875"/>
    <col min="1781" max="1781" width="11.5703125" customWidth="1"/>
    <col min="1782" max="1782" width="17" customWidth="1"/>
    <col min="1783" max="1783" width="8.85546875"/>
    <col min="1784" max="1784" width="2.85546875" customWidth="1"/>
    <col min="1785" max="1785" width="14.140625" customWidth="1"/>
    <col min="1786" max="1786" width="15.42578125" customWidth="1"/>
    <col min="1787" max="1787" width="13.5703125" customWidth="1"/>
    <col min="1788" max="1788" width="13.85546875" customWidth="1"/>
    <col min="1789" max="1789" width="13.140625" customWidth="1"/>
    <col min="1790" max="1790" width="14.85546875" bestFit="1" customWidth="1"/>
    <col min="1791" max="1791" width="2.7109375" customWidth="1"/>
    <col min="1792" max="1792" width="8.85546875"/>
    <col min="1793" max="1793" width="10.85546875" customWidth="1"/>
    <col min="1794" max="1794" width="7.85546875" customWidth="1"/>
    <col min="1795" max="1795" width="11.28515625" customWidth="1"/>
    <col min="1796" max="2036" width="8.85546875"/>
    <col min="2037" max="2037" width="11.5703125" customWidth="1"/>
    <col min="2038" max="2038" width="17" customWidth="1"/>
    <col min="2039" max="2039" width="8.85546875"/>
    <col min="2040" max="2040" width="2.85546875" customWidth="1"/>
    <col min="2041" max="2041" width="14.140625" customWidth="1"/>
    <col min="2042" max="2042" width="15.42578125" customWidth="1"/>
    <col min="2043" max="2043" width="13.5703125" customWidth="1"/>
    <col min="2044" max="2044" width="13.85546875" customWidth="1"/>
    <col min="2045" max="2045" width="13.140625" customWidth="1"/>
    <col min="2046" max="2046" width="14.85546875" bestFit="1" customWidth="1"/>
    <col min="2047" max="2047" width="2.7109375" customWidth="1"/>
    <col min="2048" max="2048" width="8.85546875"/>
    <col min="2049" max="2049" width="10.85546875" customWidth="1"/>
    <col min="2050" max="2050" width="7.85546875" customWidth="1"/>
    <col min="2051" max="2051" width="11.28515625" customWidth="1"/>
    <col min="2052" max="2292" width="8.85546875"/>
    <col min="2293" max="2293" width="11.5703125" customWidth="1"/>
    <col min="2294" max="2294" width="17" customWidth="1"/>
    <col min="2295" max="2295" width="8.85546875"/>
    <col min="2296" max="2296" width="2.85546875" customWidth="1"/>
    <col min="2297" max="2297" width="14.140625" customWidth="1"/>
    <col min="2298" max="2298" width="15.42578125" customWidth="1"/>
    <col min="2299" max="2299" width="13.5703125" customWidth="1"/>
    <col min="2300" max="2300" width="13.85546875" customWidth="1"/>
    <col min="2301" max="2301" width="13.140625" customWidth="1"/>
    <col min="2302" max="2302" width="14.85546875" bestFit="1" customWidth="1"/>
    <col min="2303" max="2303" width="2.7109375" customWidth="1"/>
    <col min="2304" max="2304" width="8.85546875"/>
    <col min="2305" max="2305" width="10.85546875" customWidth="1"/>
    <col min="2306" max="2306" width="7.85546875" customWidth="1"/>
    <col min="2307" max="2307" width="11.28515625" customWidth="1"/>
    <col min="2308" max="2548" width="8.85546875"/>
    <col min="2549" max="2549" width="11.5703125" customWidth="1"/>
    <col min="2550" max="2550" width="17" customWidth="1"/>
    <col min="2551" max="2551" width="8.85546875"/>
    <col min="2552" max="2552" width="2.85546875" customWidth="1"/>
    <col min="2553" max="2553" width="14.140625" customWidth="1"/>
    <col min="2554" max="2554" width="15.42578125" customWidth="1"/>
    <col min="2555" max="2555" width="13.5703125" customWidth="1"/>
    <col min="2556" max="2556" width="13.85546875" customWidth="1"/>
    <col min="2557" max="2557" width="13.140625" customWidth="1"/>
    <col min="2558" max="2558" width="14.85546875" bestFit="1" customWidth="1"/>
    <col min="2559" max="2559" width="2.7109375" customWidth="1"/>
    <col min="2560" max="2560" width="8.85546875"/>
    <col min="2561" max="2561" width="10.85546875" customWidth="1"/>
    <col min="2562" max="2562" width="7.85546875" customWidth="1"/>
    <col min="2563" max="2563" width="11.28515625" customWidth="1"/>
    <col min="2564" max="2804" width="8.85546875"/>
    <col min="2805" max="2805" width="11.5703125" customWidth="1"/>
    <col min="2806" max="2806" width="17" customWidth="1"/>
    <col min="2807" max="2807" width="8.85546875"/>
    <col min="2808" max="2808" width="2.85546875" customWidth="1"/>
    <col min="2809" max="2809" width="14.140625" customWidth="1"/>
    <col min="2810" max="2810" width="15.42578125" customWidth="1"/>
    <col min="2811" max="2811" width="13.5703125" customWidth="1"/>
    <col min="2812" max="2812" width="13.85546875" customWidth="1"/>
    <col min="2813" max="2813" width="13.140625" customWidth="1"/>
    <col min="2814" max="2814" width="14.85546875" bestFit="1" customWidth="1"/>
    <col min="2815" max="2815" width="2.7109375" customWidth="1"/>
    <col min="2816" max="2816" width="8.85546875"/>
    <col min="2817" max="2817" width="10.85546875" customWidth="1"/>
    <col min="2818" max="2818" width="7.85546875" customWidth="1"/>
    <col min="2819" max="2819" width="11.28515625" customWidth="1"/>
    <col min="2820" max="3060" width="8.85546875"/>
    <col min="3061" max="3061" width="11.5703125" customWidth="1"/>
    <col min="3062" max="3062" width="17" customWidth="1"/>
    <col min="3063" max="3063" width="8.85546875"/>
    <col min="3064" max="3064" width="2.85546875" customWidth="1"/>
    <col min="3065" max="3065" width="14.140625" customWidth="1"/>
    <col min="3066" max="3066" width="15.42578125" customWidth="1"/>
    <col min="3067" max="3067" width="13.5703125" customWidth="1"/>
    <col min="3068" max="3068" width="13.85546875" customWidth="1"/>
    <col min="3069" max="3069" width="13.140625" customWidth="1"/>
    <col min="3070" max="3070" width="14.85546875" bestFit="1" customWidth="1"/>
    <col min="3071" max="3071" width="2.7109375" customWidth="1"/>
    <col min="3072" max="3072" width="8.85546875"/>
    <col min="3073" max="3073" width="10.85546875" customWidth="1"/>
    <col min="3074" max="3074" width="7.85546875" customWidth="1"/>
    <col min="3075" max="3075" width="11.28515625" customWidth="1"/>
    <col min="3076" max="3316" width="8.85546875"/>
    <col min="3317" max="3317" width="11.5703125" customWidth="1"/>
    <col min="3318" max="3318" width="17" customWidth="1"/>
    <col min="3319" max="3319" width="8.85546875"/>
    <col min="3320" max="3320" width="2.85546875" customWidth="1"/>
    <col min="3321" max="3321" width="14.140625" customWidth="1"/>
    <col min="3322" max="3322" width="15.42578125" customWidth="1"/>
    <col min="3323" max="3323" width="13.5703125" customWidth="1"/>
    <col min="3324" max="3324" width="13.85546875" customWidth="1"/>
    <col min="3325" max="3325" width="13.140625" customWidth="1"/>
    <col min="3326" max="3326" width="14.85546875" bestFit="1" customWidth="1"/>
    <col min="3327" max="3327" width="2.7109375" customWidth="1"/>
    <col min="3328" max="3328" width="8.85546875"/>
    <col min="3329" max="3329" width="10.85546875" customWidth="1"/>
    <col min="3330" max="3330" width="7.85546875" customWidth="1"/>
    <col min="3331" max="3331" width="11.28515625" customWidth="1"/>
    <col min="3332" max="3572" width="8.85546875"/>
    <col min="3573" max="3573" width="11.5703125" customWidth="1"/>
    <col min="3574" max="3574" width="17" customWidth="1"/>
    <col min="3575" max="3575" width="8.85546875"/>
    <col min="3576" max="3576" width="2.85546875" customWidth="1"/>
    <col min="3577" max="3577" width="14.140625" customWidth="1"/>
    <col min="3578" max="3578" width="15.42578125" customWidth="1"/>
    <col min="3579" max="3579" width="13.5703125" customWidth="1"/>
    <col min="3580" max="3580" width="13.85546875" customWidth="1"/>
    <col min="3581" max="3581" width="13.140625" customWidth="1"/>
    <col min="3582" max="3582" width="14.85546875" bestFit="1" customWidth="1"/>
    <col min="3583" max="3583" width="2.7109375" customWidth="1"/>
    <col min="3584" max="3584" width="8.85546875"/>
    <col min="3585" max="3585" width="10.85546875" customWidth="1"/>
    <col min="3586" max="3586" width="7.85546875" customWidth="1"/>
    <col min="3587" max="3587" width="11.28515625" customWidth="1"/>
    <col min="3588" max="3828" width="8.85546875"/>
    <col min="3829" max="3829" width="11.5703125" customWidth="1"/>
    <col min="3830" max="3830" width="17" customWidth="1"/>
    <col min="3831" max="3831" width="8.85546875"/>
    <col min="3832" max="3832" width="2.85546875" customWidth="1"/>
    <col min="3833" max="3833" width="14.140625" customWidth="1"/>
    <col min="3834" max="3834" width="15.42578125" customWidth="1"/>
    <col min="3835" max="3835" width="13.5703125" customWidth="1"/>
    <col min="3836" max="3836" width="13.85546875" customWidth="1"/>
    <col min="3837" max="3837" width="13.140625" customWidth="1"/>
    <col min="3838" max="3838" width="14.85546875" bestFit="1" customWidth="1"/>
    <col min="3839" max="3839" width="2.7109375" customWidth="1"/>
    <col min="3840" max="3840" width="8.85546875"/>
    <col min="3841" max="3841" width="10.85546875" customWidth="1"/>
    <col min="3842" max="3842" width="7.85546875" customWidth="1"/>
    <col min="3843" max="3843" width="11.28515625" customWidth="1"/>
    <col min="3844" max="4084" width="8.85546875"/>
    <col min="4085" max="4085" width="11.5703125" customWidth="1"/>
    <col min="4086" max="4086" width="17" customWidth="1"/>
    <col min="4087" max="4087" width="8.85546875"/>
    <col min="4088" max="4088" width="2.85546875" customWidth="1"/>
    <col min="4089" max="4089" width="14.140625" customWidth="1"/>
    <col min="4090" max="4090" width="15.42578125" customWidth="1"/>
    <col min="4091" max="4091" width="13.5703125" customWidth="1"/>
    <col min="4092" max="4092" width="13.85546875" customWidth="1"/>
    <col min="4093" max="4093" width="13.140625" customWidth="1"/>
    <col min="4094" max="4094" width="14.85546875" bestFit="1" customWidth="1"/>
    <col min="4095" max="4095" width="2.7109375" customWidth="1"/>
    <col min="4096" max="4096" width="8.85546875"/>
    <col min="4097" max="4097" width="10.85546875" customWidth="1"/>
    <col min="4098" max="4098" width="7.85546875" customWidth="1"/>
    <col min="4099" max="4099" width="11.28515625" customWidth="1"/>
    <col min="4100" max="4340" width="8.85546875"/>
    <col min="4341" max="4341" width="11.5703125" customWidth="1"/>
    <col min="4342" max="4342" width="17" customWidth="1"/>
    <col min="4343" max="4343" width="8.85546875"/>
    <col min="4344" max="4344" width="2.85546875" customWidth="1"/>
    <col min="4345" max="4345" width="14.140625" customWidth="1"/>
    <col min="4346" max="4346" width="15.42578125" customWidth="1"/>
    <col min="4347" max="4347" width="13.5703125" customWidth="1"/>
    <col min="4348" max="4348" width="13.85546875" customWidth="1"/>
    <col min="4349" max="4349" width="13.140625" customWidth="1"/>
    <col min="4350" max="4350" width="14.85546875" bestFit="1" customWidth="1"/>
    <col min="4351" max="4351" width="2.7109375" customWidth="1"/>
    <col min="4352" max="4352" width="8.85546875"/>
    <col min="4353" max="4353" width="10.85546875" customWidth="1"/>
    <col min="4354" max="4354" width="7.85546875" customWidth="1"/>
    <col min="4355" max="4355" width="11.28515625" customWidth="1"/>
    <col min="4356" max="4596" width="8.85546875"/>
    <col min="4597" max="4597" width="11.5703125" customWidth="1"/>
    <col min="4598" max="4598" width="17" customWidth="1"/>
    <col min="4599" max="4599" width="8.85546875"/>
    <col min="4600" max="4600" width="2.85546875" customWidth="1"/>
    <col min="4601" max="4601" width="14.140625" customWidth="1"/>
    <col min="4602" max="4602" width="15.42578125" customWidth="1"/>
    <col min="4603" max="4603" width="13.5703125" customWidth="1"/>
    <col min="4604" max="4604" width="13.85546875" customWidth="1"/>
    <col min="4605" max="4605" width="13.140625" customWidth="1"/>
    <col min="4606" max="4606" width="14.85546875" bestFit="1" customWidth="1"/>
    <col min="4607" max="4607" width="2.7109375" customWidth="1"/>
    <col min="4608" max="4608" width="8.85546875"/>
    <col min="4609" max="4609" width="10.85546875" customWidth="1"/>
    <col min="4610" max="4610" width="7.85546875" customWidth="1"/>
    <col min="4611" max="4611" width="11.28515625" customWidth="1"/>
    <col min="4612" max="4852" width="8.85546875"/>
    <col min="4853" max="4853" width="11.5703125" customWidth="1"/>
    <col min="4854" max="4854" width="17" customWidth="1"/>
    <col min="4855" max="4855" width="8.85546875"/>
    <col min="4856" max="4856" width="2.85546875" customWidth="1"/>
    <col min="4857" max="4857" width="14.140625" customWidth="1"/>
    <col min="4858" max="4858" width="15.42578125" customWidth="1"/>
    <col min="4859" max="4859" width="13.5703125" customWidth="1"/>
    <col min="4860" max="4860" width="13.85546875" customWidth="1"/>
    <col min="4861" max="4861" width="13.140625" customWidth="1"/>
    <col min="4862" max="4862" width="14.85546875" bestFit="1" customWidth="1"/>
    <col min="4863" max="4863" width="2.7109375" customWidth="1"/>
    <col min="4864" max="4864" width="8.85546875"/>
    <col min="4865" max="4865" width="10.85546875" customWidth="1"/>
    <col min="4866" max="4866" width="7.85546875" customWidth="1"/>
    <col min="4867" max="4867" width="11.28515625" customWidth="1"/>
    <col min="4868" max="5108" width="8.85546875"/>
    <col min="5109" max="5109" width="11.5703125" customWidth="1"/>
    <col min="5110" max="5110" width="17" customWidth="1"/>
    <col min="5111" max="5111" width="8.85546875"/>
    <col min="5112" max="5112" width="2.85546875" customWidth="1"/>
    <col min="5113" max="5113" width="14.140625" customWidth="1"/>
    <col min="5114" max="5114" width="15.42578125" customWidth="1"/>
    <col min="5115" max="5115" width="13.5703125" customWidth="1"/>
    <col min="5116" max="5116" width="13.85546875" customWidth="1"/>
    <col min="5117" max="5117" width="13.140625" customWidth="1"/>
    <col min="5118" max="5118" width="14.85546875" bestFit="1" customWidth="1"/>
    <col min="5119" max="5119" width="2.7109375" customWidth="1"/>
    <col min="5120" max="5120" width="8.85546875"/>
    <col min="5121" max="5121" width="10.85546875" customWidth="1"/>
    <col min="5122" max="5122" width="7.85546875" customWidth="1"/>
    <col min="5123" max="5123" width="11.28515625" customWidth="1"/>
    <col min="5124" max="5364" width="8.85546875"/>
    <col min="5365" max="5365" width="11.5703125" customWidth="1"/>
    <col min="5366" max="5366" width="17" customWidth="1"/>
    <col min="5367" max="5367" width="8.85546875"/>
    <col min="5368" max="5368" width="2.85546875" customWidth="1"/>
    <col min="5369" max="5369" width="14.140625" customWidth="1"/>
    <col min="5370" max="5370" width="15.42578125" customWidth="1"/>
    <col min="5371" max="5371" width="13.5703125" customWidth="1"/>
    <col min="5372" max="5372" width="13.85546875" customWidth="1"/>
    <col min="5373" max="5373" width="13.140625" customWidth="1"/>
    <col min="5374" max="5374" width="14.85546875" bestFit="1" customWidth="1"/>
    <col min="5375" max="5375" width="2.7109375" customWidth="1"/>
    <col min="5376" max="5376" width="8.85546875"/>
    <col min="5377" max="5377" width="10.85546875" customWidth="1"/>
    <col min="5378" max="5378" width="7.85546875" customWidth="1"/>
    <col min="5379" max="5379" width="11.28515625" customWidth="1"/>
    <col min="5380" max="5620" width="8.85546875"/>
    <col min="5621" max="5621" width="11.5703125" customWidth="1"/>
    <col min="5622" max="5622" width="17" customWidth="1"/>
    <col min="5623" max="5623" width="8.85546875"/>
    <col min="5624" max="5624" width="2.85546875" customWidth="1"/>
    <col min="5625" max="5625" width="14.140625" customWidth="1"/>
    <col min="5626" max="5626" width="15.42578125" customWidth="1"/>
    <col min="5627" max="5627" width="13.5703125" customWidth="1"/>
    <col min="5628" max="5628" width="13.85546875" customWidth="1"/>
    <col min="5629" max="5629" width="13.140625" customWidth="1"/>
    <col min="5630" max="5630" width="14.85546875" bestFit="1" customWidth="1"/>
    <col min="5631" max="5631" width="2.7109375" customWidth="1"/>
    <col min="5632" max="5632" width="8.85546875"/>
    <col min="5633" max="5633" width="10.85546875" customWidth="1"/>
    <col min="5634" max="5634" width="7.85546875" customWidth="1"/>
    <col min="5635" max="5635" width="11.28515625" customWidth="1"/>
    <col min="5636" max="5876" width="8.85546875"/>
    <col min="5877" max="5877" width="11.5703125" customWidth="1"/>
    <col min="5878" max="5878" width="17" customWidth="1"/>
    <col min="5879" max="5879" width="8.85546875"/>
    <col min="5880" max="5880" width="2.85546875" customWidth="1"/>
    <col min="5881" max="5881" width="14.140625" customWidth="1"/>
    <col min="5882" max="5882" width="15.42578125" customWidth="1"/>
    <col min="5883" max="5883" width="13.5703125" customWidth="1"/>
    <col min="5884" max="5884" width="13.85546875" customWidth="1"/>
    <col min="5885" max="5885" width="13.140625" customWidth="1"/>
    <col min="5886" max="5886" width="14.85546875" bestFit="1" customWidth="1"/>
    <col min="5887" max="5887" width="2.7109375" customWidth="1"/>
    <col min="5888" max="5888" width="8.85546875"/>
    <col min="5889" max="5889" width="10.85546875" customWidth="1"/>
    <col min="5890" max="5890" width="7.85546875" customWidth="1"/>
    <col min="5891" max="5891" width="11.28515625" customWidth="1"/>
    <col min="5892" max="6132" width="8.85546875"/>
    <col min="6133" max="6133" width="11.5703125" customWidth="1"/>
    <col min="6134" max="6134" width="17" customWidth="1"/>
    <col min="6135" max="6135" width="8.85546875"/>
    <col min="6136" max="6136" width="2.85546875" customWidth="1"/>
    <col min="6137" max="6137" width="14.140625" customWidth="1"/>
    <col min="6138" max="6138" width="15.42578125" customWidth="1"/>
    <col min="6139" max="6139" width="13.5703125" customWidth="1"/>
    <col min="6140" max="6140" width="13.85546875" customWidth="1"/>
    <col min="6141" max="6141" width="13.140625" customWidth="1"/>
    <col min="6142" max="6142" width="14.85546875" bestFit="1" customWidth="1"/>
    <col min="6143" max="6143" width="2.7109375" customWidth="1"/>
    <col min="6144" max="6144" width="8.85546875"/>
    <col min="6145" max="6145" width="10.85546875" customWidth="1"/>
    <col min="6146" max="6146" width="7.85546875" customWidth="1"/>
    <col min="6147" max="6147" width="11.28515625" customWidth="1"/>
    <col min="6148" max="6388" width="8.85546875"/>
    <col min="6389" max="6389" width="11.5703125" customWidth="1"/>
    <col min="6390" max="6390" width="17" customWidth="1"/>
    <col min="6391" max="6391" width="8.85546875"/>
    <col min="6392" max="6392" width="2.85546875" customWidth="1"/>
    <col min="6393" max="6393" width="14.140625" customWidth="1"/>
    <col min="6394" max="6394" width="15.42578125" customWidth="1"/>
    <col min="6395" max="6395" width="13.5703125" customWidth="1"/>
    <col min="6396" max="6396" width="13.85546875" customWidth="1"/>
    <col min="6397" max="6397" width="13.140625" customWidth="1"/>
    <col min="6398" max="6398" width="14.85546875" bestFit="1" customWidth="1"/>
    <col min="6399" max="6399" width="2.7109375" customWidth="1"/>
    <col min="6400" max="6400" width="8.85546875"/>
    <col min="6401" max="6401" width="10.85546875" customWidth="1"/>
    <col min="6402" max="6402" width="7.85546875" customWidth="1"/>
    <col min="6403" max="6403" width="11.28515625" customWidth="1"/>
    <col min="6404" max="6644" width="8.85546875"/>
    <col min="6645" max="6645" width="11.5703125" customWidth="1"/>
    <col min="6646" max="6646" width="17" customWidth="1"/>
    <col min="6647" max="6647" width="8.85546875"/>
    <col min="6648" max="6648" width="2.85546875" customWidth="1"/>
    <col min="6649" max="6649" width="14.140625" customWidth="1"/>
    <col min="6650" max="6650" width="15.42578125" customWidth="1"/>
    <col min="6651" max="6651" width="13.5703125" customWidth="1"/>
    <col min="6652" max="6652" width="13.85546875" customWidth="1"/>
    <col min="6653" max="6653" width="13.140625" customWidth="1"/>
    <col min="6654" max="6654" width="14.85546875" bestFit="1" customWidth="1"/>
    <col min="6655" max="6655" width="2.7109375" customWidth="1"/>
    <col min="6656" max="6656" width="8.85546875"/>
    <col min="6657" max="6657" width="10.85546875" customWidth="1"/>
    <col min="6658" max="6658" width="7.85546875" customWidth="1"/>
    <col min="6659" max="6659" width="11.28515625" customWidth="1"/>
    <col min="6660" max="6900" width="8.85546875"/>
    <col min="6901" max="6901" width="11.5703125" customWidth="1"/>
    <col min="6902" max="6902" width="17" customWidth="1"/>
    <col min="6903" max="6903" width="8.85546875"/>
    <col min="6904" max="6904" width="2.85546875" customWidth="1"/>
    <col min="6905" max="6905" width="14.140625" customWidth="1"/>
    <col min="6906" max="6906" width="15.42578125" customWidth="1"/>
    <col min="6907" max="6907" width="13.5703125" customWidth="1"/>
    <col min="6908" max="6908" width="13.85546875" customWidth="1"/>
    <col min="6909" max="6909" width="13.140625" customWidth="1"/>
    <col min="6910" max="6910" width="14.85546875" bestFit="1" customWidth="1"/>
    <col min="6911" max="6911" width="2.7109375" customWidth="1"/>
    <col min="6912" max="6912" width="8.85546875"/>
    <col min="6913" max="6913" width="10.85546875" customWidth="1"/>
    <col min="6914" max="6914" width="7.85546875" customWidth="1"/>
    <col min="6915" max="6915" width="11.28515625" customWidth="1"/>
    <col min="6916" max="7156" width="8.85546875"/>
    <col min="7157" max="7157" width="11.5703125" customWidth="1"/>
    <col min="7158" max="7158" width="17" customWidth="1"/>
    <col min="7159" max="7159" width="8.85546875"/>
    <col min="7160" max="7160" width="2.85546875" customWidth="1"/>
    <col min="7161" max="7161" width="14.140625" customWidth="1"/>
    <col min="7162" max="7162" width="15.42578125" customWidth="1"/>
    <col min="7163" max="7163" width="13.5703125" customWidth="1"/>
    <col min="7164" max="7164" width="13.85546875" customWidth="1"/>
    <col min="7165" max="7165" width="13.140625" customWidth="1"/>
    <col min="7166" max="7166" width="14.85546875" bestFit="1" customWidth="1"/>
    <col min="7167" max="7167" width="2.7109375" customWidth="1"/>
    <col min="7168" max="7168" width="8.85546875"/>
    <col min="7169" max="7169" width="10.85546875" customWidth="1"/>
    <col min="7170" max="7170" width="7.85546875" customWidth="1"/>
    <col min="7171" max="7171" width="11.28515625" customWidth="1"/>
    <col min="7172" max="7412" width="8.85546875"/>
    <col min="7413" max="7413" width="11.5703125" customWidth="1"/>
    <col min="7414" max="7414" width="17" customWidth="1"/>
    <col min="7415" max="7415" width="8.85546875"/>
    <col min="7416" max="7416" width="2.85546875" customWidth="1"/>
    <col min="7417" max="7417" width="14.140625" customWidth="1"/>
    <col min="7418" max="7418" width="15.42578125" customWidth="1"/>
    <col min="7419" max="7419" width="13.5703125" customWidth="1"/>
    <col min="7420" max="7420" width="13.85546875" customWidth="1"/>
    <col min="7421" max="7421" width="13.140625" customWidth="1"/>
    <col min="7422" max="7422" width="14.85546875" bestFit="1" customWidth="1"/>
    <col min="7423" max="7423" width="2.7109375" customWidth="1"/>
    <col min="7424" max="7424" width="8.85546875"/>
    <col min="7425" max="7425" width="10.85546875" customWidth="1"/>
    <col min="7426" max="7426" width="7.85546875" customWidth="1"/>
    <col min="7427" max="7427" width="11.28515625" customWidth="1"/>
    <col min="7428" max="7668" width="8.85546875"/>
    <col min="7669" max="7669" width="11.5703125" customWidth="1"/>
    <col min="7670" max="7670" width="17" customWidth="1"/>
    <col min="7671" max="7671" width="8.85546875"/>
    <col min="7672" max="7672" width="2.85546875" customWidth="1"/>
    <col min="7673" max="7673" width="14.140625" customWidth="1"/>
    <col min="7674" max="7674" width="15.42578125" customWidth="1"/>
    <col min="7675" max="7675" width="13.5703125" customWidth="1"/>
    <col min="7676" max="7676" width="13.85546875" customWidth="1"/>
    <col min="7677" max="7677" width="13.140625" customWidth="1"/>
    <col min="7678" max="7678" width="14.85546875" bestFit="1" customWidth="1"/>
    <col min="7679" max="7679" width="2.7109375" customWidth="1"/>
    <col min="7680" max="7680" width="8.85546875"/>
    <col min="7681" max="7681" width="10.85546875" customWidth="1"/>
    <col min="7682" max="7682" width="7.85546875" customWidth="1"/>
    <col min="7683" max="7683" width="11.28515625" customWidth="1"/>
    <col min="7684" max="7924" width="8.85546875"/>
    <col min="7925" max="7925" width="11.5703125" customWidth="1"/>
    <col min="7926" max="7926" width="17" customWidth="1"/>
    <col min="7927" max="7927" width="8.85546875"/>
    <col min="7928" max="7928" width="2.85546875" customWidth="1"/>
    <col min="7929" max="7929" width="14.140625" customWidth="1"/>
    <col min="7930" max="7930" width="15.42578125" customWidth="1"/>
    <col min="7931" max="7931" width="13.5703125" customWidth="1"/>
    <col min="7932" max="7932" width="13.85546875" customWidth="1"/>
    <col min="7933" max="7933" width="13.140625" customWidth="1"/>
    <col min="7934" max="7934" width="14.85546875" bestFit="1" customWidth="1"/>
    <col min="7935" max="7935" width="2.7109375" customWidth="1"/>
    <col min="7936" max="7936" width="8.85546875"/>
    <col min="7937" max="7937" width="10.85546875" customWidth="1"/>
    <col min="7938" max="7938" width="7.85546875" customWidth="1"/>
    <col min="7939" max="7939" width="11.28515625" customWidth="1"/>
    <col min="7940" max="8180" width="8.85546875"/>
    <col min="8181" max="8181" width="11.5703125" customWidth="1"/>
    <col min="8182" max="8182" width="17" customWidth="1"/>
    <col min="8183" max="8183" width="8.85546875"/>
    <col min="8184" max="8184" width="2.85546875" customWidth="1"/>
    <col min="8185" max="8185" width="14.140625" customWidth="1"/>
    <col min="8186" max="8186" width="15.42578125" customWidth="1"/>
    <col min="8187" max="8187" width="13.5703125" customWidth="1"/>
    <col min="8188" max="8188" width="13.85546875" customWidth="1"/>
    <col min="8189" max="8189" width="13.140625" customWidth="1"/>
    <col min="8190" max="8190" width="14.85546875" bestFit="1" customWidth="1"/>
    <col min="8191" max="8191" width="2.7109375" customWidth="1"/>
    <col min="8192" max="8192" width="8.85546875"/>
    <col min="8193" max="8193" width="10.85546875" customWidth="1"/>
    <col min="8194" max="8194" width="7.85546875" customWidth="1"/>
    <col min="8195" max="8195" width="11.28515625" customWidth="1"/>
    <col min="8196" max="8436" width="8.85546875"/>
    <col min="8437" max="8437" width="11.5703125" customWidth="1"/>
    <col min="8438" max="8438" width="17" customWidth="1"/>
    <col min="8439" max="8439" width="8.85546875"/>
    <col min="8440" max="8440" width="2.85546875" customWidth="1"/>
    <col min="8441" max="8441" width="14.140625" customWidth="1"/>
    <col min="8442" max="8442" width="15.42578125" customWidth="1"/>
    <col min="8443" max="8443" width="13.5703125" customWidth="1"/>
    <col min="8444" max="8444" width="13.85546875" customWidth="1"/>
    <col min="8445" max="8445" width="13.140625" customWidth="1"/>
    <col min="8446" max="8446" width="14.85546875" bestFit="1" customWidth="1"/>
    <col min="8447" max="8447" width="2.7109375" customWidth="1"/>
    <col min="8448" max="8448" width="8.85546875"/>
    <col min="8449" max="8449" width="10.85546875" customWidth="1"/>
    <col min="8450" max="8450" width="7.85546875" customWidth="1"/>
    <col min="8451" max="8451" width="11.28515625" customWidth="1"/>
    <col min="8452" max="8692" width="8.85546875"/>
    <col min="8693" max="8693" width="11.5703125" customWidth="1"/>
    <col min="8694" max="8694" width="17" customWidth="1"/>
    <col min="8695" max="8695" width="8.85546875"/>
    <col min="8696" max="8696" width="2.85546875" customWidth="1"/>
    <col min="8697" max="8697" width="14.140625" customWidth="1"/>
    <col min="8698" max="8698" width="15.42578125" customWidth="1"/>
    <col min="8699" max="8699" width="13.5703125" customWidth="1"/>
    <col min="8700" max="8700" width="13.85546875" customWidth="1"/>
    <col min="8701" max="8701" width="13.140625" customWidth="1"/>
    <col min="8702" max="8702" width="14.85546875" bestFit="1" customWidth="1"/>
    <col min="8703" max="8703" width="2.7109375" customWidth="1"/>
    <col min="8704" max="8704" width="8.85546875"/>
    <col min="8705" max="8705" width="10.85546875" customWidth="1"/>
    <col min="8706" max="8706" width="7.85546875" customWidth="1"/>
    <col min="8707" max="8707" width="11.28515625" customWidth="1"/>
    <col min="8708" max="8948" width="8.85546875"/>
    <col min="8949" max="8949" width="11.5703125" customWidth="1"/>
    <col min="8950" max="8950" width="17" customWidth="1"/>
    <col min="8951" max="8951" width="8.85546875"/>
    <col min="8952" max="8952" width="2.85546875" customWidth="1"/>
    <col min="8953" max="8953" width="14.140625" customWidth="1"/>
    <col min="8954" max="8954" width="15.42578125" customWidth="1"/>
    <col min="8955" max="8955" width="13.5703125" customWidth="1"/>
    <col min="8956" max="8956" width="13.85546875" customWidth="1"/>
    <col min="8957" max="8957" width="13.140625" customWidth="1"/>
    <col min="8958" max="8958" width="14.85546875" bestFit="1" customWidth="1"/>
    <col min="8959" max="8959" width="2.7109375" customWidth="1"/>
    <col min="8960" max="8960" width="8.85546875"/>
    <col min="8961" max="8961" width="10.85546875" customWidth="1"/>
    <col min="8962" max="8962" width="7.85546875" customWidth="1"/>
    <col min="8963" max="8963" width="11.28515625" customWidth="1"/>
    <col min="8964" max="9204" width="8.85546875"/>
    <col min="9205" max="9205" width="11.5703125" customWidth="1"/>
    <col min="9206" max="9206" width="17" customWidth="1"/>
    <col min="9207" max="9207" width="8.85546875"/>
    <col min="9208" max="9208" width="2.85546875" customWidth="1"/>
    <col min="9209" max="9209" width="14.140625" customWidth="1"/>
    <col min="9210" max="9210" width="15.42578125" customWidth="1"/>
    <col min="9211" max="9211" width="13.5703125" customWidth="1"/>
    <col min="9212" max="9212" width="13.85546875" customWidth="1"/>
    <col min="9213" max="9213" width="13.140625" customWidth="1"/>
    <col min="9214" max="9214" width="14.85546875" bestFit="1" customWidth="1"/>
    <col min="9215" max="9215" width="2.7109375" customWidth="1"/>
    <col min="9216" max="9216" width="8.85546875"/>
    <col min="9217" max="9217" width="10.85546875" customWidth="1"/>
    <col min="9218" max="9218" width="7.85546875" customWidth="1"/>
    <col min="9219" max="9219" width="11.28515625" customWidth="1"/>
    <col min="9220" max="9460" width="8.85546875"/>
    <col min="9461" max="9461" width="11.5703125" customWidth="1"/>
    <col min="9462" max="9462" width="17" customWidth="1"/>
    <col min="9463" max="9463" width="8.85546875"/>
    <col min="9464" max="9464" width="2.85546875" customWidth="1"/>
    <col min="9465" max="9465" width="14.140625" customWidth="1"/>
    <col min="9466" max="9466" width="15.42578125" customWidth="1"/>
    <col min="9467" max="9467" width="13.5703125" customWidth="1"/>
    <col min="9468" max="9468" width="13.85546875" customWidth="1"/>
    <col min="9469" max="9469" width="13.140625" customWidth="1"/>
    <col min="9470" max="9470" width="14.85546875" bestFit="1" customWidth="1"/>
    <col min="9471" max="9471" width="2.7109375" customWidth="1"/>
    <col min="9472" max="9472" width="8.85546875"/>
    <col min="9473" max="9473" width="10.85546875" customWidth="1"/>
    <col min="9474" max="9474" width="7.85546875" customWidth="1"/>
    <col min="9475" max="9475" width="11.28515625" customWidth="1"/>
    <col min="9476" max="9716" width="8.85546875"/>
    <col min="9717" max="9717" width="11.5703125" customWidth="1"/>
    <col min="9718" max="9718" width="17" customWidth="1"/>
    <col min="9719" max="9719" width="8.85546875"/>
    <col min="9720" max="9720" width="2.85546875" customWidth="1"/>
    <col min="9721" max="9721" width="14.140625" customWidth="1"/>
    <col min="9722" max="9722" width="15.42578125" customWidth="1"/>
    <col min="9723" max="9723" width="13.5703125" customWidth="1"/>
    <col min="9724" max="9724" width="13.85546875" customWidth="1"/>
    <col min="9725" max="9725" width="13.140625" customWidth="1"/>
    <col min="9726" max="9726" width="14.85546875" bestFit="1" customWidth="1"/>
    <col min="9727" max="9727" width="2.7109375" customWidth="1"/>
    <col min="9728" max="9728" width="8.85546875"/>
    <col min="9729" max="9729" width="10.85546875" customWidth="1"/>
    <col min="9730" max="9730" width="7.85546875" customWidth="1"/>
    <col min="9731" max="9731" width="11.28515625" customWidth="1"/>
    <col min="9732" max="9972" width="8.85546875"/>
    <col min="9973" max="9973" width="11.5703125" customWidth="1"/>
    <col min="9974" max="9974" width="17" customWidth="1"/>
    <col min="9975" max="9975" width="8.85546875"/>
    <col min="9976" max="9976" width="2.85546875" customWidth="1"/>
    <col min="9977" max="9977" width="14.140625" customWidth="1"/>
    <col min="9978" max="9978" width="15.42578125" customWidth="1"/>
    <col min="9979" max="9979" width="13.5703125" customWidth="1"/>
    <col min="9980" max="9980" width="13.85546875" customWidth="1"/>
    <col min="9981" max="9981" width="13.140625" customWidth="1"/>
    <col min="9982" max="9982" width="14.85546875" bestFit="1" customWidth="1"/>
    <col min="9983" max="9983" width="2.7109375" customWidth="1"/>
    <col min="9984" max="9984" width="8.85546875"/>
    <col min="9985" max="9985" width="10.85546875" customWidth="1"/>
    <col min="9986" max="9986" width="7.85546875" customWidth="1"/>
    <col min="9987" max="9987" width="11.28515625" customWidth="1"/>
    <col min="9988" max="10228" width="8.85546875"/>
    <col min="10229" max="10229" width="11.5703125" customWidth="1"/>
    <col min="10230" max="10230" width="17" customWidth="1"/>
    <col min="10231" max="10231" width="8.85546875"/>
    <col min="10232" max="10232" width="2.85546875" customWidth="1"/>
    <col min="10233" max="10233" width="14.140625" customWidth="1"/>
    <col min="10234" max="10234" width="15.42578125" customWidth="1"/>
    <col min="10235" max="10235" width="13.5703125" customWidth="1"/>
    <col min="10236" max="10236" width="13.85546875" customWidth="1"/>
    <col min="10237" max="10237" width="13.140625" customWidth="1"/>
    <col min="10238" max="10238" width="14.85546875" bestFit="1" customWidth="1"/>
    <col min="10239" max="10239" width="2.7109375" customWidth="1"/>
    <col min="10240" max="10240" width="8.85546875"/>
    <col min="10241" max="10241" width="10.85546875" customWidth="1"/>
    <col min="10242" max="10242" width="7.85546875" customWidth="1"/>
    <col min="10243" max="10243" width="11.28515625" customWidth="1"/>
    <col min="10244" max="10484" width="8.85546875"/>
    <col min="10485" max="10485" width="11.5703125" customWidth="1"/>
    <col min="10486" max="10486" width="17" customWidth="1"/>
    <col min="10487" max="10487" width="8.85546875"/>
    <col min="10488" max="10488" width="2.85546875" customWidth="1"/>
    <col min="10489" max="10489" width="14.140625" customWidth="1"/>
    <col min="10490" max="10490" width="15.42578125" customWidth="1"/>
    <col min="10491" max="10491" width="13.5703125" customWidth="1"/>
    <col min="10492" max="10492" width="13.85546875" customWidth="1"/>
    <col min="10493" max="10493" width="13.140625" customWidth="1"/>
    <col min="10494" max="10494" width="14.85546875" bestFit="1" customWidth="1"/>
    <col min="10495" max="10495" width="2.7109375" customWidth="1"/>
    <col min="10496" max="10496" width="8.85546875"/>
    <col min="10497" max="10497" width="10.85546875" customWidth="1"/>
    <col min="10498" max="10498" width="7.85546875" customWidth="1"/>
    <col min="10499" max="10499" width="11.28515625" customWidth="1"/>
    <col min="10500" max="10740" width="8.85546875"/>
    <col min="10741" max="10741" width="11.5703125" customWidth="1"/>
    <col min="10742" max="10742" width="17" customWidth="1"/>
    <col min="10743" max="10743" width="8.85546875"/>
    <col min="10744" max="10744" width="2.85546875" customWidth="1"/>
    <col min="10745" max="10745" width="14.140625" customWidth="1"/>
    <col min="10746" max="10746" width="15.42578125" customWidth="1"/>
    <col min="10747" max="10747" width="13.5703125" customWidth="1"/>
    <col min="10748" max="10748" width="13.85546875" customWidth="1"/>
    <col min="10749" max="10749" width="13.140625" customWidth="1"/>
    <col min="10750" max="10750" width="14.85546875" bestFit="1" customWidth="1"/>
    <col min="10751" max="10751" width="2.7109375" customWidth="1"/>
    <col min="10752" max="10752" width="8.85546875"/>
    <col min="10753" max="10753" width="10.85546875" customWidth="1"/>
    <col min="10754" max="10754" width="7.85546875" customWidth="1"/>
    <col min="10755" max="10755" width="11.28515625" customWidth="1"/>
    <col min="10756" max="10996" width="8.85546875"/>
    <col min="10997" max="10997" width="11.5703125" customWidth="1"/>
    <col min="10998" max="10998" width="17" customWidth="1"/>
    <col min="10999" max="10999" width="8.85546875"/>
    <col min="11000" max="11000" width="2.85546875" customWidth="1"/>
    <col min="11001" max="11001" width="14.140625" customWidth="1"/>
    <col min="11002" max="11002" width="15.42578125" customWidth="1"/>
    <col min="11003" max="11003" width="13.5703125" customWidth="1"/>
    <col min="11004" max="11004" width="13.85546875" customWidth="1"/>
    <col min="11005" max="11005" width="13.140625" customWidth="1"/>
    <col min="11006" max="11006" width="14.85546875" bestFit="1" customWidth="1"/>
    <col min="11007" max="11007" width="2.7109375" customWidth="1"/>
    <col min="11008" max="11008" width="8.85546875"/>
    <col min="11009" max="11009" width="10.85546875" customWidth="1"/>
    <col min="11010" max="11010" width="7.85546875" customWidth="1"/>
    <col min="11011" max="11011" width="11.28515625" customWidth="1"/>
    <col min="11012" max="11252" width="8.85546875"/>
    <col min="11253" max="11253" width="11.5703125" customWidth="1"/>
    <col min="11254" max="11254" width="17" customWidth="1"/>
    <col min="11255" max="11255" width="8.85546875"/>
    <col min="11256" max="11256" width="2.85546875" customWidth="1"/>
    <col min="11257" max="11257" width="14.140625" customWidth="1"/>
    <col min="11258" max="11258" width="15.42578125" customWidth="1"/>
    <col min="11259" max="11259" width="13.5703125" customWidth="1"/>
    <col min="11260" max="11260" width="13.85546875" customWidth="1"/>
    <col min="11261" max="11261" width="13.140625" customWidth="1"/>
    <col min="11262" max="11262" width="14.85546875" bestFit="1" customWidth="1"/>
    <col min="11263" max="11263" width="2.7109375" customWidth="1"/>
    <col min="11264" max="11264" width="8.85546875"/>
    <col min="11265" max="11265" width="10.85546875" customWidth="1"/>
    <col min="11266" max="11266" width="7.85546875" customWidth="1"/>
    <col min="11267" max="11267" width="11.28515625" customWidth="1"/>
    <col min="11268" max="11508" width="8.85546875"/>
    <col min="11509" max="11509" width="11.5703125" customWidth="1"/>
    <col min="11510" max="11510" width="17" customWidth="1"/>
    <col min="11511" max="11511" width="8.85546875"/>
    <col min="11512" max="11512" width="2.85546875" customWidth="1"/>
    <col min="11513" max="11513" width="14.140625" customWidth="1"/>
    <col min="11514" max="11514" width="15.42578125" customWidth="1"/>
    <col min="11515" max="11515" width="13.5703125" customWidth="1"/>
    <col min="11516" max="11516" width="13.85546875" customWidth="1"/>
    <col min="11517" max="11517" width="13.140625" customWidth="1"/>
    <col min="11518" max="11518" width="14.85546875" bestFit="1" customWidth="1"/>
    <col min="11519" max="11519" width="2.7109375" customWidth="1"/>
    <col min="11520" max="11520" width="8.85546875"/>
    <col min="11521" max="11521" width="10.85546875" customWidth="1"/>
    <col min="11522" max="11522" width="7.85546875" customWidth="1"/>
    <col min="11523" max="11523" width="11.28515625" customWidth="1"/>
    <col min="11524" max="11764" width="8.85546875"/>
    <col min="11765" max="11765" width="11.5703125" customWidth="1"/>
    <col min="11766" max="11766" width="17" customWidth="1"/>
    <col min="11767" max="11767" width="8.85546875"/>
    <col min="11768" max="11768" width="2.85546875" customWidth="1"/>
    <col min="11769" max="11769" width="14.140625" customWidth="1"/>
    <col min="11770" max="11770" width="15.42578125" customWidth="1"/>
    <col min="11771" max="11771" width="13.5703125" customWidth="1"/>
    <col min="11772" max="11772" width="13.85546875" customWidth="1"/>
    <col min="11773" max="11773" width="13.140625" customWidth="1"/>
    <col min="11774" max="11774" width="14.85546875" bestFit="1" customWidth="1"/>
    <col min="11775" max="11775" width="2.7109375" customWidth="1"/>
    <col min="11776" max="11776" width="8.85546875"/>
    <col min="11777" max="11777" width="10.85546875" customWidth="1"/>
    <col min="11778" max="11778" width="7.85546875" customWidth="1"/>
    <col min="11779" max="11779" width="11.28515625" customWidth="1"/>
    <col min="11780" max="12020" width="8.85546875"/>
    <col min="12021" max="12021" width="11.5703125" customWidth="1"/>
    <col min="12022" max="12022" width="17" customWidth="1"/>
    <col min="12023" max="12023" width="8.85546875"/>
    <col min="12024" max="12024" width="2.85546875" customWidth="1"/>
    <col min="12025" max="12025" width="14.140625" customWidth="1"/>
    <col min="12026" max="12026" width="15.42578125" customWidth="1"/>
    <col min="12027" max="12027" width="13.5703125" customWidth="1"/>
    <col min="12028" max="12028" width="13.85546875" customWidth="1"/>
    <col min="12029" max="12029" width="13.140625" customWidth="1"/>
    <col min="12030" max="12030" width="14.85546875" bestFit="1" customWidth="1"/>
    <col min="12031" max="12031" width="2.7109375" customWidth="1"/>
    <col min="12032" max="12032" width="8.85546875"/>
    <col min="12033" max="12033" width="10.85546875" customWidth="1"/>
    <col min="12034" max="12034" width="7.85546875" customWidth="1"/>
    <col min="12035" max="12035" width="11.28515625" customWidth="1"/>
    <col min="12036" max="12276" width="8.85546875"/>
    <col min="12277" max="12277" width="11.5703125" customWidth="1"/>
    <col min="12278" max="12278" width="17" customWidth="1"/>
    <col min="12279" max="12279" width="8.85546875"/>
    <col min="12280" max="12280" width="2.85546875" customWidth="1"/>
    <col min="12281" max="12281" width="14.140625" customWidth="1"/>
    <col min="12282" max="12282" width="15.42578125" customWidth="1"/>
    <col min="12283" max="12283" width="13.5703125" customWidth="1"/>
    <col min="12284" max="12284" width="13.85546875" customWidth="1"/>
    <col min="12285" max="12285" width="13.140625" customWidth="1"/>
    <col min="12286" max="12286" width="14.85546875" bestFit="1" customWidth="1"/>
    <col min="12287" max="12287" width="2.7109375" customWidth="1"/>
    <col min="12288" max="12288" width="8.85546875"/>
    <col min="12289" max="12289" width="10.85546875" customWidth="1"/>
    <col min="12290" max="12290" width="7.85546875" customWidth="1"/>
    <col min="12291" max="12291" width="11.28515625" customWidth="1"/>
    <col min="12292" max="12532" width="8.85546875"/>
    <col min="12533" max="12533" width="11.5703125" customWidth="1"/>
    <col min="12534" max="12534" width="17" customWidth="1"/>
    <col min="12535" max="12535" width="8.85546875"/>
    <col min="12536" max="12536" width="2.85546875" customWidth="1"/>
    <col min="12537" max="12537" width="14.140625" customWidth="1"/>
    <col min="12538" max="12538" width="15.42578125" customWidth="1"/>
    <col min="12539" max="12539" width="13.5703125" customWidth="1"/>
    <col min="12540" max="12540" width="13.85546875" customWidth="1"/>
    <col min="12541" max="12541" width="13.140625" customWidth="1"/>
    <col min="12542" max="12542" width="14.85546875" bestFit="1" customWidth="1"/>
    <col min="12543" max="12543" width="2.7109375" customWidth="1"/>
    <col min="12544" max="12544" width="8.85546875"/>
    <col min="12545" max="12545" width="10.85546875" customWidth="1"/>
    <col min="12546" max="12546" width="7.85546875" customWidth="1"/>
    <col min="12547" max="12547" width="11.28515625" customWidth="1"/>
    <col min="12548" max="12788" width="8.85546875"/>
    <col min="12789" max="12789" width="11.5703125" customWidth="1"/>
    <col min="12790" max="12790" width="17" customWidth="1"/>
    <col min="12791" max="12791" width="8.85546875"/>
    <col min="12792" max="12792" width="2.85546875" customWidth="1"/>
    <col min="12793" max="12793" width="14.140625" customWidth="1"/>
    <col min="12794" max="12794" width="15.42578125" customWidth="1"/>
    <col min="12795" max="12795" width="13.5703125" customWidth="1"/>
    <col min="12796" max="12796" width="13.85546875" customWidth="1"/>
    <col min="12797" max="12797" width="13.140625" customWidth="1"/>
    <col min="12798" max="12798" width="14.85546875" bestFit="1" customWidth="1"/>
    <col min="12799" max="12799" width="2.7109375" customWidth="1"/>
    <col min="12800" max="12800" width="8.85546875"/>
    <col min="12801" max="12801" width="10.85546875" customWidth="1"/>
    <col min="12802" max="12802" width="7.85546875" customWidth="1"/>
    <col min="12803" max="12803" width="11.28515625" customWidth="1"/>
    <col min="12804" max="13044" width="8.85546875"/>
    <col min="13045" max="13045" width="11.5703125" customWidth="1"/>
    <col min="13046" max="13046" width="17" customWidth="1"/>
    <col min="13047" max="13047" width="8.85546875"/>
    <col min="13048" max="13048" width="2.85546875" customWidth="1"/>
    <col min="13049" max="13049" width="14.140625" customWidth="1"/>
    <col min="13050" max="13050" width="15.42578125" customWidth="1"/>
    <col min="13051" max="13051" width="13.5703125" customWidth="1"/>
    <col min="13052" max="13052" width="13.85546875" customWidth="1"/>
    <col min="13053" max="13053" width="13.140625" customWidth="1"/>
    <col min="13054" max="13054" width="14.85546875" bestFit="1" customWidth="1"/>
    <col min="13055" max="13055" width="2.7109375" customWidth="1"/>
    <col min="13056" max="13056" width="8.85546875"/>
    <col min="13057" max="13057" width="10.85546875" customWidth="1"/>
    <col min="13058" max="13058" width="7.85546875" customWidth="1"/>
    <col min="13059" max="13059" width="11.28515625" customWidth="1"/>
    <col min="13060" max="13300" width="8.85546875"/>
    <col min="13301" max="13301" width="11.5703125" customWidth="1"/>
    <col min="13302" max="13302" width="17" customWidth="1"/>
    <col min="13303" max="13303" width="8.85546875"/>
    <col min="13304" max="13304" width="2.85546875" customWidth="1"/>
    <col min="13305" max="13305" width="14.140625" customWidth="1"/>
    <col min="13306" max="13306" width="15.42578125" customWidth="1"/>
    <col min="13307" max="13307" width="13.5703125" customWidth="1"/>
    <col min="13308" max="13308" width="13.85546875" customWidth="1"/>
    <col min="13309" max="13309" width="13.140625" customWidth="1"/>
    <col min="13310" max="13310" width="14.85546875" bestFit="1" customWidth="1"/>
    <col min="13311" max="13311" width="2.7109375" customWidth="1"/>
    <col min="13312" max="13312" width="8.85546875"/>
    <col min="13313" max="13313" width="10.85546875" customWidth="1"/>
    <col min="13314" max="13314" width="7.85546875" customWidth="1"/>
    <col min="13315" max="13315" width="11.28515625" customWidth="1"/>
    <col min="13316" max="13556" width="8.85546875"/>
    <col min="13557" max="13557" width="11.5703125" customWidth="1"/>
    <col min="13558" max="13558" width="17" customWidth="1"/>
    <col min="13559" max="13559" width="8.85546875"/>
    <col min="13560" max="13560" width="2.85546875" customWidth="1"/>
    <col min="13561" max="13561" width="14.140625" customWidth="1"/>
    <col min="13562" max="13562" width="15.42578125" customWidth="1"/>
    <col min="13563" max="13563" width="13.5703125" customWidth="1"/>
    <col min="13564" max="13564" width="13.85546875" customWidth="1"/>
    <col min="13565" max="13565" width="13.140625" customWidth="1"/>
    <col min="13566" max="13566" width="14.85546875" bestFit="1" customWidth="1"/>
    <col min="13567" max="13567" width="2.7109375" customWidth="1"/>
    <col min="13568" max="13568" width="8.85546875"/>
    <col min="13569" max="13569" width="10.85546875" customWidth="1"/>
    <col min="13570" max="13570" width="7.85546875" customWidth="1"/>
    <col min="13571" max="13571" width="11.28515625" customWidth="1"/>
    <col min="13572" max="13812" width="8.85546875"/>
    <col min="13813" max="13813" width="11.5703125" customWidth="1"/>
    <col min="13814" max="13814" width="17" customWidth="1"/>
    <col min="13815" max="13815" width="8.85546875"/>
    <col min="13816" max="13816" width="2.85546875" customWidth="1"/>
    <col min="13817" max="13817" width="14.140625" customWidth="1"/>
    <col min="13818" max="13818" width="15.42578125" customWidth="1"/>
    <col min="13819" max="13819" width="13.5703125" customWidth="1"/>
    <col min="13820" max="13820" width="13.85546875" customWidth="1"/>
    <col min="13821" max="13821" width="13.140625" customWidth="1"/>
    <col min="13822" max="13822" width="14.85546875" bestFit="1" customWidth="1"/>
    <col min="13823" max="13823" width="2.7109375" customWidth="1"/>
    <col min="13824" max="13824" width="8.85546875"/>
    <col min="13825" max="13825" width="10.85546875" customWidth="1"/>
    <col min="13826" max="13826" width="7.85546875" customWidth="1"/>
    <col min="13827" max="13827" width="11.28515625" customWidth="1"/>
    <col min="13828" max="14068" width="8.85546875"/>
    <col min="14069" max="14069" width="11.5703125" customWidth="1"/>
    <col min="14070" max="14070" width="17" customWidth="1"/>
    <col min="14071" max="14071" width="8.85546875"/>
    <col min="14072" max="14072" width="2.85546875" customWidth="1"/>
    <col min="14073" max="14073" width="14.140625" customWidth="1"/>
    <col min="14074" max="14074" width="15.42578125" customWidth="1"/>
    <col min="14075" max="14075" width="13.5703125" customWidth="1"/>
    <col min="14076" max="14076" width="13.85546875" customWidth="1"/>
    <col min="14077" max="14077" width="13.140625" customWidth="1"/>
    <col min="14078" max="14078" width="14.85546875" bestFit="1" customWidth="1"/>
    <col min="14079" max="14079" width="2.7109375" customWidth="1"/>
    <col min="14080" max="14080" width="8.85546875"/>
    <col min="14081" max="14081" width="10.85546875" customWidth="1"/>
    <col min="14082" max="14082" width="7.85546875" customWidth="1"/>
    <col min="14083" max="14083" width="11.28515625" customWidth="1"/>
    <col min="14084" max="14324" width="8.85546875"/>
    <col min="14325" max="14325" width="11.5703125" customWidth="1"/>
    <col min="14326" max="14326" width="17" customWidth="1"/>
    <col min="14327" max="14327" width="8.85546875"/>
    <col min="14328" max="14328" width="2.85546875" customWidth="1"/>
    <col min="14329" max="14329" width="14.140625" customWidth="1"/>
    <col min="14330" max="14330" width="15.42578125" customWidth="1"/>
    <col min="14331" max="14331" width="13.5703125" customWidth="1"/>
    <col min="14332" max="14332" width="13.85546875" customWidth="1"/>
    <col min="14333" max="14333" width="13.140625" customWidth="1"/>
    <col min="14334" max="14334" width="14.85546875" bestFit="1" customWidth="1"/>
    <col min="14335" max="14335" width="2.7109375" customWidth="1"/>
    <col min="14336" max="14336" width="8.85546875"/>
    <col min="14337" max="14337" width="10.85546875" customWidth="1"/>
    <col min="14338" max="14338" width="7.85546875" customWidth="1"/>
    <col min="14339" max="14339" width="11.28515625" customWidth="1"/>
    <col min="14340" max="14580" width="8.85546875"/>
    <col min="14581" max="14581" width="11.5703125" customWidth="1"/>
    <col min="14582" max="14582" width="17" customWidth="1"/>
    <col min="14583" max="14583" width="8.85546875"/>
    <col min="14584" max="14584" width="2.85546875" customWidth="1"/>
    <col min="14585" max="14585" width="14.140625" customWidth="1"/>
    <col min="14586" max="14586" width="15.42578125" customWidth="1"/>
    <col min="14587" max="14587" width="13.5703125" customWidth="1"/>
    <col min="14588" max="14588" width="13.85546875" customWidth="1"/>
    <col min="14589" max="14589" width="13.140625" customWidth="1"/>
    <col min="14590" max="14590" width="14.85546875" bestFit="1" customWidth="1"/>
    <col min="14591" max="14591" width="2.7109375" customWidth="1"/>
    <col min="14592" max="14592" width="8.85546875"/>
    <col min="14593" max="14593" width="10.85546875" customWidth="1"/>
    <col min="14594" max="14594" width="7.85546875" customWidth="1"/>
    <col min="14595" max="14595" width="11.28515625" customWidth="1"/>
    <col min="14596" max="14836" width="8.85546875"/>
    <col min="14837" max="14837" width="11.5703125" customWidth="1"/>
    <col min="14838" max="14838" width="17" customWidth="1"/>
    <col min="14839" max="14839" width="8.85546875"/>
    <col min="14840" max="14840" width="2.85546875" customWidth="1"/>
    <col min="14841" max="14841" width="14.140625" customWidth="1"/>
    <col min="14842" max="14842" width="15.42578125" customWidth="1"/>
    <col min="14843" max="14843" width="13.5703125" customWidth="1"/>
    <col min="14844" max="14844" width="13.85546875" customWidth="1"/>
    <col min="14845" max="14845" width="13.140625" customWidth="1"/>
    <col min="14846" max="14846" width="14.85546875" bestFit="1" customWidth="1"/>
    <col min="14847" max="14847" width="2.7109375" customWidth="1"/>
    <col min="14848" max="14848" width="8.85546875"/>
    <col min="14849" max="14849" width="10.85546875" customWidth="1"/>
    <col min="14850" max="14850" width="7.85546875" customWidth="1"/>
    <col min="14851" max="14851" width="11.28515625" customWidth="1"/>
    <col min="14852" max="15092" width="8.85546875"/>
    <col min="15093" max="15093" width="11.5703125" customWidth="1"/>
    <col min="15094" max="15094" width="17" customWidth="1"/>
    <col min="15095" max="15095" width="8.85546875"/>
    <col min="15096" max="15096" width="2.85546875" customWidth="1"/>
    <col min="15097" max="15097" width="14.140625" customWidth="1"/>
    <col min="15098" max="15098" width="15.42578125" customWidth="1"/>
    <col min="15099" max="15099" width="13.5703125" customWidth="1"/>
    <col min="15100" max="15100" width="13.85546875" customWidth="1"/>
    <col min="15101" max="15101" width="13.140625" customWidth="1"/>
    <col min="15102" max="15102" width="14.85546875" bestFit="1" customWidth="1"/>
    <col min="15103" max="15103" width="2.7109375" customWidth="1"/>
    <col min="15104" max="15104" width="8.85546875"/>
    <col min="15105" max="15105" width="10.85546875" customWidth="1"/>
    <col min="15106" max="15106" width="7.85546875" customWidth="1"/>
    <col min="15107" max="15107" width="11.28515625" customWidth="1"/>
    <col min="15108" max="15348" width="8.85546875"/>
    <col min="15349" max="15349" width="11.5703125" customWidth="1"/>
    <col min="15350" max="15350" width="17" customWidth="1"/>
    <col min="15351" max="15351" width="8.85546875"/>
    <col min="15352" max="15352" width="2.85546875" customWidth="1"/>
    <col min="15353" max="15353" width="14.140625" customWidth="1"/>
    <col min="15354" max="15354" width="15.42578125" customWidth="1"/>
    <col min="15355" max="15355" width="13.5703125" customWidth="1"/>
    <col min="15356" max="15356" width="13.85546875" customWidth="1"/>
    <col min="15357" max="15357" width="13.140625" customWidth="1"/>
    <col min="15358" max="15358" width="14.85546875" bestFit="1" customWidth="1"/>
    <col min="15359" max="15359" width="2.7109375" customWidth="1"/>
    <col min="15360" max="15360" width="8.85546875"/>
    <col min="15361" max="15361" width="10.85546875" customWidth="1"/>
    <col min="15362" max="15362" width="7.85546875" customWidth="1"/>
    <col min="15363" max="15363" width="11.28515625" customWidth="1"/>
    <col min="15364" max="15604" width="8.85546875"/>
    <col min="15605" max="15605" width="11.5703125" customWidth="1"/>
    <col min="15606" max="15606" width="17" customWidth="1"/>
    <col min="15607" max="15607" width="8.85546875"/>
    <col min="15608" max="15608" width="2.85546875" customWidth="1"/>
    <col min="15609" max="15609" width="14.140625" customWidth="1"/>
    <col min="15610" max="15610" width="15.42578125" customWidth="1"/>
    <col min="15611" max="15611" width="13.5703125" customWidth="1"/>
    <col min="15612" max="15612" width="13.85546875" customWidth="1"/>
    <col min="15613" max="15613" width="13.140625" customWidth="1"/>
    <col min="15614" max="15614" width="14.85546875" bestFit="1" customWidth="1"/>
    <col min="15615" max="15615" width="2.7109375" customWidth="1"/>
    <col min="15616" max="15616" width="8.85546875"/>
    <col min="15617" max="15617" width="10.85546875" customWidth="1"/>
    <col min="15618" max="15618" width="7.85546875" customWidth="1"/>
    <col min="15619" max="15619" width="11.28515625" customWidth="1"/>
    <col min="15620" max="15860" width="8.85546875"/>
    <col min="15861" max="15861" width="11.5703125" customWidth="1"/>
    <col min="15862" max="15862" width="17" customWidth="1"/>
    <col min="15863" max="15863" width="8.85546875"/>
    <col min="15864" max="15864" width="2.85546875" customWidth="1"/>
    <col min="15865" max="15865" width="14.140625" customWidth="1"/>
    <col min="15866" max="15866" width="15.42578125" customWidth="1"/>
    <col min="15867" max="15867" width="13.5703125" customWidth="1"/>
    <col min="15868" max="15868" width="13.85546875" customWidth="1"/>
    <col min="15869" max="15869" width="13.140625" customWidth="1"/>
    <col min="15870" max="15870" width="14.85546875" bestFit="1" customWidth="1"/>
    <col min="15871" max="15871" width="2.7109375" customWidth="1"/>
    <col min="15872" max="15872" width="8.85546875"/>
    <col min="15873" max="15873" width="10.85546875" customWidth="1"/>
    <col min="15874" max="15874" width="7.85546875" customWidth="1"/>
    <col min="15875" max="15875" width="11.28515625" customWidth="1"/>
    <col min="15876" max="16116" width="8.85546875"/>
    <col min="16117" max="16117" width="11.5703125" customWidth="1"/>
    <col min="16118" max="16118" width="17" customWidth="1"/>
    <col min="16119" max="16119" width="8.85546875"/>
    <col min="16120" max="16120" width="2.85546875" customWidth="1"/>
    <col min="16121" max="16121" width="14.140625" customWidth="1"/>
    <col min="16122" max="16122" width="15.42578125" customWidth="1"/>
    <col min="16123" max="16123" width="13.5703125" customWidth="1"/>
    <col min="16124" max="16124" width="13.85546875" customWidth="1"/>
    <col min="16125" max="16125" width="13.140625" customWidth="1"/>
    <col min="16126" max="16126" width="14.85546875" bestFit="1" customWidth="1"/>
    <col min="16127" max="16127" width="2.7109375" customWidth="1"/>
    <col min="16128" max="16128" width="8.85546875"/>
    <col min="16129" max="16129" width="10.85546875" customWidth="1"/>
    <col min="16130" max="16130" width="7.85546875" customWidth="1"/>
    <col min="16131" max="16131" width="11.28515625" customWidth="1"/>
    <col min="16132" max="16374" width="8.85546875"/>
    <col min="16375" max="16384" width="8.85546875" customWidth="1"/>
  </cols>
  <sheetData>
    <row r="1" spans="1:12" ht="23.25" x14ac:dyDescent="0.35">
      <c r="A1" s="65" t="s">
        <v>188</v>
      </c>
      <c r="B1" s="67"/>
      <c r="C1" s="69"/>
    </row>
    <row r="2" spans="1:12" ht="15" customHeight="1" x14ac:dyDescent="0.25"/>
    <row r="3" spans="1:12" ht="15" customHeight="1" x14ac:dyDescent="0.25">
      <c r="A3" s="459" t="s">
        <v>53</v>
      </c>
      <c r="B3" s="460"/>
      <c r="C3" s="460"/>
      <c r="D3" s="461"/>
      <c r="E3" s="14" t="s">
        <v>54</v>
      </c>
      <c r="F3" s="14"/>
      <c r="G3" s="329">
        <f>+'Balans &amp; Res.rek'!G86</f>
        <v>45291</v>
      </c>
      <c r="H3" s="329">
        <f>+'Balans &amp; Res.rek'!H86</f>
        <v>45657</v>
      </c>
      <c r="I3" s="329">
        <f>+'Balans &amp; Res.rek'!I86</f>
        <v>45838</v>
      </c>
      <c r="J3" s="417">
        <v>46022</v>
      </c>
      <c r="K3" s="418">
        <f>+J3+365</f>
        <v>46387</v>
      </c>
      <c r="L3" s="418">
        <f>+K3+365</f>
        <v>46752</v>
      </c>
    </row>
    <row r="4" spans="1:12" ht="15" customHeight="1" x14ac:dyDescent="0.25">
      <c r="A4" s="12"/>
      <c r="B4" s="13"/>
      <c r="C4" s="13"/>
      <c r="D4" s="13"/>
      <c r="E4" s="100"/>
      <c r="F4" s="101"/>
      <c r="G4" s="101"/>
      <c r="H4" s="101"/>
      <c r="I4" s="16"/>
      <c r="J4" s="419"/>
      <c r="K4" s="420"/>
      <c r="L4" s="420"/>
    </row>
    <row r="5" spans="1:12" ht="15" customHeight="1" x14ac:dyDescent="0.25">
      <c r="A5" s="10" t="s">
        <v>55</v>
      </c>
      <c r="B5" t="s">
        <v>56</v>
      </c>
      <c r="E5" s="104">
        <v>20</v>
      </c>
      <c r="F5" s="185">
        <v>0</v>
      </c>
      <c r="G5" s="185">
        <v>0</v>
      </c>
      <c r="H5" s="185">
        <v>0</v>
      </c>
      <c r="I5" s="276">
        <v>0</v>
      </c>
      <c r="J5" s="421">
        <v>0</v>
      </c>
      <c r="K5" s="422">
        <v>0</v>
      </c>
      <c r="L5" s="422">
        <v>0</v>
      </c>
    </row>
    <row r="6" spans="1:12" ht="15" customHeight="1" x14ac:dyDescent="0.25">
      <c r="A6" s="10"/>
      <c r="E6" s="95"/>
      <c r="F6" s="195"/>
      <c r="G6" s="195"/>
      <c r="H6" s="195"/>
      <c r="I6" s="201"/>
      <c r="J6" s="423"/>
      <c r="K6" s="424"/>
      <c r="L6" s="424"/>
    </row>
    <row r="7" spans="1:12" ht="15" customHeight="1" x14ac:dyDescent="0.25">
      <c r="A7" s="10" t="s">
        <v>57</v>
      </c>
      <c r="B7" t="s">
        <v>58</v>
      </c>
      <c r="E7" s="103">
        <v>21</v>
      </c>
      <c r="F7" s="185">
        <v>0</v>
      </c>
      <c r="G7" s="185">
        <f>+'Balans &amp; Res.rek'!G6</f>
        <v>0</v>
      </c>
      <c r="H7" s="185">
        <f>+'Balans &amp; Res.rek'!H6</f>
        <v>0</v>
      </c>
      <c r="I7" s="185">
        <f>+'Balans &amp; Res.rek'!I6</f>
        <v>9500</v>
      </c>
      <c r="J7" s="421">
        <f>+I7-1629.5</f>
        <v>7870.5</v>
      </c>
      <c r="K7" s="422">
        <f>+J7-1629.5</f>
        <v>6241</v>
      </c>
      <c r="L7" s="422">
        <v>0</v>
      </c>
    </row>
    <row r="8" spans="1:12" ht="15" customHeight="1" x14ac:dyDescent="0.25">
      <c r="A8" s="10"/>
      <c r="E8" s="96"/>
      <c r="F8" s="195"/>
      <c r="G8" s="277"/>
      <c r="H8" s="195"/>
      <c r="I8" s="201"/>
      <c r="J8" s="423"/>
      <c r="K8" s="425"/>
      <c r="L8" s="425"/>
    </row>
    <row r="9" spans="1:12" ht="15" customHeight="1" x14ac:dyDescent="0.25">
      <c r="A9" s="10" t="s">
        <v>59</v>
      </c>
      <c r="B9" t="s">
        <v>60</v>
      </c>
      <c r="E9" s="102" t="s">
        <v>61</v>
      </c>
      <c r="F9" s="185">
        <f t="shared" ref="F9:K9" si="0">SUM(F10:F15)</f>
        <v>0</v>
      </c>
      <c r="G9" s="185">
        <f t="shared" si="0"/>
        <v>0</v>
      </c>
      <c r="H9" s="185">
        <f t="shared" si="0"/>
        <v>1387663.8900000001</v>
      </c>
      <c r="I9" s="185">
        <f t="shared" si="0"/>
        <v>1394990.19</v>
      </c>
      <c r="J9" s="422">
        <f t="shared" si="0"/>
        <v>1363450.19</v>
      </c>
      <c r="K9" s="422">
        <f t="shared" si="0"/>
        <v>1336910.19</v>
      </c>
      <c r="L9" s="422">
        <f>SUM(L10:L15)</f>
        <v>1315910.19</v>
      </c>
    </row>
    <row r="10" spans="1:12" ht="15" customHeight="1" x14ac:dyDescent="0.25">
      <c r="A10" s="94" t="s">
        <v>62</v>
      </c>
      <c r="B10" t="s">
        <v>63</v>
      </c>
      <c r="E10" s="96">
        <v>22</v>
      </c>
      <c r="F10" s="195">
        <v>0</v>
      </c>
      <c r="G10" s="277">
        <f>+'Balans &amp; Res.rek'!G9</f>
        <v>0</v>
      </c>
      <c r="H10" s="195">
        <f>+'Balans &amp; Res.rek'!H9</f>
        <v>1350255.36</v>
      </c>
      <c r="I10" s="201">
        <f>+'Balans &amp; Res.rek'!I9</f>
        <v>1335175.92</v>
      </c>
      <c r="J10" s="423">
        <f>+I10-13540</f>
        <v>1321635.92</v>
      </c>
      <c r="K10" s="423">
        <f>+J10-13540</f>
        <v>1308095.92</v>
      </c>
      <c r="L10" s="423">
        <f>+K10-13000</f>
        <v>1295095.92</v>
      </c>
    </row>
    <row r="11" spans="1:12" ht="15" customHeight="1" x14ac:dyDescent="0.25">
      <c r="A11" s="94" t="s">
        <v>64</v>
      </c>
      <c r="B11" s="24" t="s">
        <v>65</v>
      </c>
      <c r="E11" s="96">
        <v>23</v>
      </c>
      <c r="F11" s="195">
        <v>0</v>
      </c>
      <c r="G11" s="277">
        <f>+'Balans &amp; Res.rek'!G10</f>
        <v>0</v>
      </c>
      <c r="H11" s="195">
        <f>+'Balans &amp; Res.rek'!H10</f>
        <v>33501.410000000003</v>
      </c>
      <c r="I11" s="278">
        <f>+'Balans &amp; Res.rek'!I10</f>
        <v>52054.18</v>
      </c>
      <c r="J11" s="423">
        <f>+I11-15000</f>
        <v>37054.18</v>
      </c>
      <c r="K11" s="423">
        <f>+J11-10000</f>
        <v>27054.18</v>
      </c>
      <c r="L11" s="423">
        <f>+K11-5000</f>
        <v>22054.18</v>
      </c>
    </row>
    <row r="12" spans="1:12" ht="15" customHeight="1" x14ac:dyDescent="0.25">
      <c r="A12" s="94" t="s">
        <v>66</v>
      </c>
      <c r="B12" s="24" t="s">
        <v>67</v>
      </c>
      <c r="E12" s="96">
        <v>24</v>
      </c>
      <c r="F12" s="195">
        <v>0</v>
      </c>
      <c r="G12" s="277">
        <f>+'Balans &amp; Res.rek'!G11</f>
        <v>0</v>
      </c>
      <c r="H12" s="195">
        <f>+'Balans &amp; Res.rek'!H11</f>
        <v>3907.12</v>
      </c>
      <c r="I12" s="278">
        <f>+'Balans &amp; Res.rek'!I11</f>
        <v>7760.09</v>
      </c>
      <c r="J12" s="423">
        <f>+I12-3000</f>
        <v>4760.09</v>
      </c>
      <c r="K12" s="423">
        <f>+J12-3000</f>
        <v>1760.0900000000001</v>
      </c>
      <c r="L12" s="423">
        <f>+K12-3000</f>
        <v>-1239.9099999999999</v>
      </c>
    </row>
    <row r="13" spans="1:12" ht="15" customHeight="1" x14ac:dyDescent="0.25">
      <c r="A13" s="94" t="s">
        <v>68</v>
      </c>
      <c r="B13" s="24" t="s">
        <v>69</v>
      </c>
      <c r="E13" s="96">
        <v>25</v>
      </c>
      <c r="F13" s="195">
        <v>0</v>
      </c>
      <c r="G13" s="277">
        <f>+'Balans &amp; Res.rek'!G12</f>
        <v>0</v>
      </c>
      <c r="H13" s="195">
        <f>+'Balans &amp; Res.rek'!H12</f>
        <v>0</v>
      </c>
      <c r="I13" s="278">
        <f>+'Balans &amp; Res.rek'!I12</f>
        <v>0</v>
      </c>
      <c r="J13" s="414">
        <v>0</v>
      </c>
      <c r="K13" s="426">
        <v>0</v>
      </c>
      <c r="L13" s="426">
        <v>0</v>
      </c>
    </row>
    <row r="14" spans="1:12" ht="15" customHeight="1" x14ac:dyDescent="0.25">
      <c r="A14" s="94" t="s">
        <v>70</v>
      </c>
      <c r="B14" s="24" t="s">
        <v>71</v>
      </c>
      <c r="E14" s="96">
        <v>26</v>
      </c>
      <c r="F14" s="195">
        <v>0</v>
      </c>
      <c r="G14" s="277">
        <f>+'Balans &amp; Res.rek'!G13</f>
        <v>0</v>
      </c>
      <c r="H14" s="195">
        <f>+'Balans &amp; Res.rek'!H13</f>
        <v>0</v>
      </c>
      <c r="I14" s="278">
        <f>+'Balans &amp; Res.rek'!I13</f>
        <v>0</v>
      </c>
      <c r="J14" s="414">
        <v>0</v>
      </c>
      <c r="K14" s="426">
        <v>0</v>
      </c>
      <c r="L14" s="426">
        <v>0</v>
      </c>
    </row>
    <row r="15" spans="1:12" ht="15" customHeight="1" x14ac:dyDescent="0.25">
      <c r="A15" s="94" t="s">
        <v>72</v>
      </c>
      <c r="B15" s="24" t="s">
        <v>73</v>
      </c>
      <c r="E15" s="96">
        <v>27</v>
      </c>
      <c r="F15" s="195">
        <v>0</v>
      </c>
      <c r="G15" s="277">
        <f>+'Balans &amp; Res.rek'!G14</f>
        <v>0</v>
      </c>
      <c r="H15" s="195">
        <f>+'Balans &amp; Res.rek'!H14</f>
        <v>0</v>
      </c>
      <c r="I15" s="278">
        <f>+'Balans &amp; Res.rek'!I14</f>
        <v>0</v>
      </c>
      <c r="J15" s="423"/>
      <c r="K15" s="425"/>
      <c r="L15" s="425"/>
    </row>
    <row r="16" spans="1:12" ht="15" customHeight="1" x14ac:dyDescent="0.25">
      <c r="A16" s="10"/>
      <c r="B16" s="24"/>
      <c r="E16" s="96"/>
      <c r="F16" s="195"/>
      <c r="G16" s="277"/>
      <c r="H16" s="195"/>
      <c r="I16" s="278"/>
      <c r="J16" s="423"/>
      <c r="K16" s="425"/>
      <c r="L16" s="425"/>
    </row>
    <row r="17" spans="1:12" ht="15" customHeight="1" x14ac:dyDescent="0.25">
      <c r="A17" s="10" t="s">
        <v>74</v>
      </c>
      <c r="B17" s="24" t="s">
        <v>75</v>
      </c>
      <c r="E17" s="103">
        <v>28</v>
      </c>
      <c r="F17" s="185">
        <f t="shared" ref="F17:L17" si="1">SUM(F18:F20)</f>
        <v>0</v>
      </c>
      <c r="G17" s="185">
        <f t="shared" si="1"/>
        <v>0</v>
      </c>
      <c r="H17" s="185">
        <f t="shared" si="1"/>
        <v>0</v>
      </c>
      <c r="I17" s="185">
        <f t="shared" si="1"/>
        <v>0</v>
      </c>
      <c r="J17" s="422">
        <f t="shared" si="1"/>
        <v>780</v>
      </c>
      <c r="K17" s="422">
        <f t="shared" si="1"/>
        <v>780</v>
      </c>
      <c r="L17" s="422">
        <f t="shared" si="1"/>
        <v>780</v>
      </c>
    </row>
    <row r="18" spans="1:12" ht="15" customHeight="1" x14ac:dyDescent="0.25">
      <c r="A18" s="94" t="s">
        <v>62</v>
      </c>
      <c r="B18" s="24" t="s">
        <v>76</v>
      </c>
      <c r="E18" s="96">
        <v>280</v>
      </c>
      <c r="F18" s="195">
        <v>0</v>
      </c>
      <c r="G18" s="277">
        <f>+'Balans &amp; Res.rek'!G17</f>
        <v>0</v>
      </c>
      <c r="H18" s="277">
        <f>+'Balans &amp; Res.rek'!H17</f>
        <v>0</v>
      </c>
      <c r="I18" s="277">
        <f>+'Balans &amp; Res.rek'!I17</f>
        <v>0</v>
      </c>
      <c r="J18" s="414">
        <v>780</v>
      </c>
      <c r="K18" s="426">
        <v>780</v>
      </c>
      <c r="L18" s="426">
        <v>780</v>
      </c>
    </row>
    <row r="19" spans="1:12" x14ac:dyDescent="0.25">
      <c r="A19" s="94" t="s">
        <v>64</v>
      </c>
      <c r="B19" s="24" t="s">
        <v>77</v>
      </c>
      <c r="E19" s="98">
        <v>282</v>
      </c>
      <c r="F19" s="277">
        <v>0</v>
      </c>
      <c r="G19" s="277">
        <f>+'Balans &amp; Res.rek'!G18</f>
        <v>0</v>
      </c>
      <c r="H19" s="277">
        <f>+'Balans &amp; Res.rek'!H18</f>
        <v>0</v>
      </c>
      <c r="I19" s="277">
        <f>+'Balans &amp; Res.rek'!I18</f>
        <v>0</v>
      </c>
      <c r="J19" s="414">
        <v>0</v>
      </c>
      <c r="K19" s="426">
        <v>0</v>
      </c>
      <c r="L19" s="426">
        <v>0</v>
      </c>
    </row>
    <row r="20" spans="1:12" ht="15" customHeight="1" x14ac:dyDescent="0.25">
      <c r="A20" s="94" t="s">
        <v>66</v>
      </c>
      <c r="B20" s="24" t="s">
        <v>78</v>
      </c>
      <c r="E20" s="96">
        <v>284</v>
      </c>
      <c r="F20" s="195"/>
      <c r="G20" s="277">
        <f>+'Balans &amp; Res.rek'!G19</f>
        <v>0</v>
      </c>
      <c r="H20" s="277">
        <f>+'Balans &amp; Res.rek'!H19</f>
        <v>0</v>
      </c>
      <c r="I20" s="277">
        <f>+'Balans &amp; Res.rek'!I19</f>
        <v>0</v>
      </c>
      <c r="J20" s="414">
        <f>+I20</f>
        <v>0</v>
      </c>
      <c r="K20" s="426">
        <f>+J20</f>
        <v>0</v>
      </c>
      <c r="L20" s="426">
        <f>+K20</f>
        <v>0</v>
      </c>
    </row>
    <row r="21" spans="1:12" ht="15" customHeight="1" x14ac:dyDescent="0.25">
      <c r="A21" s="94"/>
      <c r="B21" s="24"/>
      <c r="E21" s="96"/>
      <c r="F21" s="195"/>
      <c r="G21" s="277"/>
      <c r="H21" s="195"/>
      <c r="I21" s="278"/>
      <c r="J21" s="423"/>
      <c r="K21" s="425"/>
      <c r="L21" s="425"/>
    </row>
    <row r="22" spans="1:12" x14ac:dyDescent="0.25">
      <c r="A22" s="10" t="s">
        <v>79</v>
      </c>
      <c r="B22" t="s">
        <v>80</v>
      </c>
      <c r="E22" s="103">
        <v>29</v>
      </c>
      <c r="F22" s="185">
        <f t="shared" ref="F22:L22" si="2">SUM(F23:F24)</f>
        <v>0</v>
      </c>
      <c r="G22" s="185">
        <f t="shared" si="2"/>
        <v>0</v>
      </c>
      <c r="H22" s="185">
        <f t="shared" si="2"/>
        <v>0</v>
      </c>
      <c r="I22" s="185">
        <f t="shared" si="2"/>
        <v>0</v>
      </c>
      <c r="J22" s="422">
        <f t="shared" si="2"/>
        <v>0</v>
      </c>
      <c r="K22" s="422">
        <f t="shared" si="2"/>
        <v>0</v>
      </c>
      <c r="L22" s="422">
        <f t="shared" si="2"/>
        <v>0</v>
      </c>
    </row>
    <row r="23" spans="1:12" ht="15" customHeight="1" x14ac:dyDescent="0.25">
      <c r="A23" s="94" t="s">
        <v>62</v>
      </c>
      <c r="B23" s="24" t="s">
        <v>81</v>
      </c>
      <c r="E23" s="96">
        <v>290</v>
      </c>
      <c r="F23" s="195">
        <v>0</v>
      </c>
      <c r="G23" s="277">
        <f>+'Balans &amp; Res.rek'!G22</f>
        <v>0</v>
      </c>
      <c r="H23" s="277">
        <f>+'Balans &amp; Res.rek'!H22</f>
        <v>0</v>
      </c>
      <c r="I23" s="277">
        <f>+'Balans &amp; Res.rek'!I22</f>
        <v>0</v>
      </c>
      <c r="J23" s="423">
        <v>0</v>
      </c>
      <c r="K23" s="424">
        <v>0</v>
      </c>
      <c r="L23" s="424">
        <v>0</v>
      </c>
    </row>
    <row r="24" spans="1:12" ht="15" customHeight="1" x14ac:dyDescent="0.25">
      <c r="A24" s="94" t="s">
        <v>64</v>
      </c>
      <c r="B24" t="s">
        <v>82</v>
      </c>
      <c r="E24" s="96">
        <v>291</v>
      </c>
      <c r="F24" s="195">
        <v>0</v>
      </c>
      <c r="G24" s="277">
        <f>+'Balans &amp; Res.rek'!G23</f>
        <v>0</v>
      </c>
      <c r="H24" s="277">
        <f>+'Balans &amp; Res.rek'!H23</f>
        <v>0</v>
      </c>
      <c r="I24" s="277">
        <f>+'Balans &amp; Res.rek'!I23</f>
        <v>0</v>
      </c>
      <c r="J24" s="277">
        <f>AVERAGE(G24:I24)</f>
        <v>0</v>
      </c>
      <c r="K24" s="277">
        <f>AVERAGE(H24:J24)</f>
        <v>0</v>
      </c>
      <c r="L24" s="277">
        <f>AVERAGE(I24:K24)</f>
        <v>0</v>
      </c>
    </row>
    <row r="25" spans="1:12" ht="15" customHeight="1" x14ac:dyDescent="0.25">
      <c r="A25" s="10"/>
      <c r="E25" s="96"/>
      <c r="F25" s="195"/>
      <c r="G25" s="277"/>
      <c r="H25" s="195"/>
      <c r="I25" s="201"/>
      <c r="J25" s="423"/>
      <c r="K25" s="425"/>
      <c r="L25" s="425"/>
    </row>
    <row r="26" spans="1:12" ht="15" customHeight="1" x14ac:dyDescent="0.25">
      <c r="A26" s="10" t="s">
        <v>83</v>
      </c>
      <c r="B26" t="s">
        <v>84</v>
      </c>
      <c r="E26" s="103">
        <v>3</v>
      </c>
      <c r="F26" s="185">
        <f>SUM(F27:F28)</f>
        <v>0</v>
      </c>
      <c r="G26" s="185">
        <f t="shared" ref="G26:L26" si="3">SUM(G27:G28)</f>
        <v>0</v>
      </c>
      <c r="H26" s="185">
        <f t="shared" si="3"/>
        <v>0</v>
      </c>
      <c r="I26" s="185">
        <f t="shared" si="3"/>
        <v>0</v>
      </c>
      <c r="J26" s="422">
        <f t="shared" si="3"/>
        <v>0</v>
      </c>
      <c r="K26" s="422">
        <f t="shared" si="3"/>
        <v>0</v>
      </c>
      <c r="L26" s="422">
        <f t="shared" si="3"/>
        <v>0</v>
      </c>
    </row>
    <row r="27" spans="1:12" ht="15" customHeight="1" x14ac:dyDescent="0.25">
      <c r="A27" s="94" t="s">
        <v>62</v>
      </c>
      <c r="B27" t="s">
        <v>85</v>
      </c>
      <c r="E27" s="97" t="s">
        <v>86</v>
      </c>
      <c r="F27" s="195">
        <v>0</v>
      </c>
      <c r="G27" s="195">
        <f>+'Balans &amp; Res.rek'!G26</f>
        <v>0</v>
      </c>
      <c r="H27" s="195">
        <f>+'Balans &amp; Res.rek'!H26</f>
        <v>0</v>
      </c>
      <c r="I27" s="195">
        <f>+'Balans &amp; Res.rek'!I26</f>
        <v>0</v>
      </c>
      <c r="J27" s="423">
        <f>+I27</f>
        <v>0</v>
      </c>
      <c r="K27" s="423">
        <f>+J27</f>
        <v>0</v>
      </c>
      <c r="L27" s="423">
        <f>+K27</f>
        <v>0</v>
      </c>
    </row>
    <row r="28" spans="1:12" ht="15" customHeight="1" x14ac:dyDescent="0.25">
      <c r="A28" s="94" t="s">
        <v>64</v>
      </c>
      <c r="B28" t="s">
        <v>87</v>
      </c>
      <c r="E28" s="96">
        <v>37</v>
      </c>
      <c r="F28" s="195"/>
      <c r="G28" s="195">
        <f>+'Balans &amp; Res.rek'!G27</f>
        <v>0</v>
      </c>
      <c r="H28" s="195">
        <f>+'Balans &amp; Res.rek'!H27</f>
        <v>0</v>
      </c>
      <c r="I28" s="195">
        <f>+'Balans &amp; Res.rek'!I27</f>
        <v>0</v>
      </c>
      <c r="J28" s="423">
        <f>AVERAGE(G28:I28)</f>
        <v>0</v>
      </c>
      <c r="K28" s="423">
        <f>AVERAGE(H28:J28)</f>
        <v>0</v>
      </c>
      <c r="L28" s="423">
        <f>AVERAGE(I28:K28)</f>
        <v>0</v>
      </c>
    </row>
    <row r="29" spans="1:12" ht="15" customHeight="1" x14ac:dyDescent="0.25">
      <c r="A29" s="10"/>
      <c r="E29" s="96"/>
      <c r="F29" s="195"/>
      <c r="G29" s="195"/>
      <c r="H29" s="195"/>
      <c r="I29" s="201"/>
      <c r="J29" s="423"/>
      <c r="K29" s="425"/>
      <c r="L29" s="425"/>
    </row>
    <row r="30" spans="1:12" ht="15" customHeight="1" x14ac:dyDescent="0.25">
      <c r="A30" s="10" t="s">
        <v>88</v>
      </c>
      <c r="B30" t="s">
        <v>89</v>
      </c>
      <c r="E30" s="102" t="s">
        <v>90</v>
      </c>
      <c r="F30" s="185">
        <f t="shared" ref="F30:L30" si="4">SUM(F31:F32)</f>
        <v>0</v>
      </c>
      <c r="G30" s="185">
        <f t="shared" si="4"/>
        <v>0</v>
      </c>
      <c r="H30" s="185">
        <f t="shared" si="4"/>
        <v>143270</v>
      </c>
      <c r="I30" s="185">
        <f t="shared" si="4"/>
        <v>6392.19</v>
      </c>
      <c r="J30" s="422">
        <f t="shared" si="4"/>
        <v>49887.396666666667</v>
      </c>
      <c r="K30" s="422">
        <f t="shared" si="4"/>
        <v>66516.52888888889</v>
      </c>
      <c r="L30" s="422">
        <f t="shared" si="4"/>
        <v>40932.038518518522</v>
      </c>
    </row>
    <row r="31" spans="1:12" ht="15" customHeight="1" x14ac:dyDescent="0.25">
      <c r="A31" s="94" t="s">
        <v>62</v>
      </c>
      <c r="B31" t="s">
        <v>81</v>
      </c>
      <c r="E31" s="97">
        <v>40</v>
      </c>
      <c r="F31" s="195">
        <v>0</v>
      </c>
      <c r="G31" s="195">
        <f>+'Balans &amp; Res.rek'!G30</f>
        <v>0</v>
      </c>
      <c r="H31" s="195">
        <f>+'Balans &amp; Res.rek'!H30</f>
        <v>142982</v>
      </c>
      <c r="I31" s="195">
        <f>+'Balans &amp; Res.rek'!I30</f>
        <v>6104.19</v>
      </c>
      <c r="J31" s="277">
        <f t="shared" ref="J31:L32" si="5">AVERAGE(G31:I31)</f>
        <v>49695.396666666667</v>
      </c>
      <c r="K31" s="277">
        <f t="shared" si="5"/>
        <v>66260.52888888889</v>
      </c>
      <c r="L31" s="277">
        <f t="shared" si="5"/>
        <v>40686.705185185187</v>
      </c>
    </row>
    <row r="32" spans="1:12" ht="15" customHeight="1" x14ac:dyDescent="0.25">
      <c r="A32" s="94" t="s">
        <v>64</v>
      </c>
      <c r="B32" t="s">
        <v>82</v>
      </c>
      <c r="E32" s="97">
        <v>41</v>
      </c>
      <c r="F32" s="195">
        <v>0</v>
      </c>
      <c r="G32" s="195">
        <f>+'Balans &amp; Res.rek'!G31</f>
        <v>0</v>
      </c>
      <c r="H32" s="195">
        <f>+'Balans &amp; Res.rek'!H31</f>
        <v>288</v>
      </c>
      <c r="I32" s="195">
        <f>'Balans &amp; Res.rek'!H31</f>
        <v>288</v>
      </c>
      <c r="J32" s="277">
        <f t="shared" si="5"/>
        <v>192</v>
      </c>
      <c r="K32" s="277">
        <f t="shared" si="5"/>
        <v>256</v>
      </c>
      <c r="L32" s="277">
        <f t="shared" si="5"/>
        <v>245.33333333333334</v>
      </c>
    </row>
    <row r="33" spans="1:12" ht="15" customHeight="1" x14ac:dyDescent="0.25">
      <c r="A33" s="10"/>
      <c r="E33" s="97"/>
      <c r="F33" s="195"/>
      <c r="G33" s="195"/>
      <c r="H33" s="195"/>
      <c r="I33" s="201"/>
      <c r="J33" s="423"/>
      <c r="K33" s="423"/>
      <c r="L33" s="423"/>
    </row>
    <row r="34" spans="1:12" ht="15" customHeight="1" x14ac:dyDescent="0.25">
      <c r="A34" s="10" t="s">
        <v>91</v>
      </c>
      <c r="B34" t="s">
        <v>92</v>
      </c>
      <c r="E34" s="102" t="s">
        <v>93</v>
      </c>
      <c r="F34" s="185">
        <v>0</v>
      </c>
      <c r="G34" s="185">
        <f>+'Balans &amp; Res.rek'!G33</f>
        <v>0</v>
      </c>
      <c r="H34" s="185">
        <f>+'Balans &amp; Res.rek'!H33</f>
        <v>0</v>
      </c>
      <c r="I34" s="185">
        <f>+'Balans &amp; Res.rek'!I33</f>
        <v>0</v>
      </c>
      <c r="J34" s="421">
        <v>0</v>
      </c>
      <c r="K34" s="421">
        <v>0</v>
      </c>
      <c r="L34" s="421">
        <v>0</v>
      </c>
    </row>
    <row r="35" spans="1:12" ht="15" customHeight="1" x14ac:dyDescent="0.25">
      <c r="A35" s="10"/>
      <c r="E35" s="97"/>
      <c r="F35" s="195"/>
      <c r="G35" s="195"/>
      <c r="H35" s="195"/>
      <c r="I35" s="195"/>
      <c r="J35" s="423"/>
      <c r="K35" s="423"/>
      <c r="L35" s="423"/>
    </row>
    <row r="36" spans="1:12" ht="15" customHeight="1" x14ac:dyDescent="0.25">
      <c r="A36" s="10" t="s">
        <v>94</v>
      </c>
      <c r="B36" t="s">
        <v>95</v>
      </c>
      <c r="E36" s="102" t="s">
        <v>96</v>
      </c>
      <c r="F36" s="185">
        <v>0</v>
      </c>
      <c r="G36" s="185">
        <f>+'Balans &amp; Res.rek'!G35</f>
        <v>0</v>
      </c>
      <c r="H36" s="185">
        <f>+'Balans &amp; Res.rek'!H35</f>
        <v>51044.9</v>
      </c>
      <c r="I36" s="185">
        <f>'Balans &amp; Res.rek'!I35</f>
        <v>8844.27</v>
      </c>
      <c r="J36" s="421">
        <f>+DCF!J79-6923</f>
        <v>254774.29059464287</v>
      </c>
      <c r="K36" s="421">
        <f>+DCF!K79</f>
        <v>391638.93030838098</v>
      </c>
      <c r="L36" s="421">
        <f>+DCF!L79-331</f>
        <v>528120.84720200894</v>
      </c>
    </row>
    <row r="37" spans="1:12" ht="15" customHeight="1" x14ac:dyDescent="0.25">
      <c r="A37" s="10"/>
      <c r="E37" s="97"/>
      <c r="F37" s="195"/>
      <c r="G37" s="195"/>
      <c r="H37" s="195"/>
      <c r="I37" s="195"/>
      <c r="J37" s="423"/>
      <c r="K37" s="423"/>
      <c r="L37" s="423"/>
    </row>
    <row r="38" spans="1:12" ht="15" customHeight="1" x14ac:dyDescent="0.25">
      <c r="A38" s="10" t="s">
        <v>97</v>
      </c>
      <c r="B38" t="s">
        <v>98</v>
      </c>
      <c r="E38" s="102" t="s">
        <v>99</v>
      </c>
      <c r="F38" s="185">
        <v>0</v>
      </c>
      <c r="G38" s="185">
        <f>+'Balans &amp; Res.rek'!G37</f>
        <v>0</v>
      </c>
      <c r="H38" s="185">
        <f>+'Balans &amp; Res.rek'!H37</f>
        <v>53.84</v>
      </c>
      <c r="I38" s="185">
        <f>+'Balans &amp; Res.rek'!I37</f>
        <v>7138.99</v>
      </c>
      <c r="J38" s="421">
        <v>0</v>
      </c>
      <c r="K38" s="421">
        <v>0</v>
      </c>
      <c r="L38" s="421">
        <v>0</v>
      </c>
    </row>
    <row r="39" spans="1:12" ht="15" customHeight="1" x14ac:dyDescent="0.25">
      <c r="A39" s="10"/>
      <c r="E39" s="96"/>
      <c r="F39" s="195"/>
      <c r="G39" s="195"/>
      <c r="H39" s="195"/>
      <c r="I39" s="201"/>
      <c r="J39" s="423"/>
      <c r="K39" s="427"/>
      <c r="L39" s="427"/>
    </row>
    <row r="40" spans="1:12" s="27" customFormat="1" ht="15" customHeight="1" x14ac:dyDescent="0.2">
      <c r="A40" s="110" t="s">
        <v>100</v>
      </c>
      <c r="B40" s="111"/>
      <c r="C40" s="111"/>
      <c r="D40" s="111"/>
      <c r="E40" s="112"/>
      <c r="F40" s="275">
        <f>+F38+F36+F30+F26+F22+F17+F9+F7+F5</f>
        <v>0</v>
      </c>
      <c r="G40" s="275">
        <f t="shared" ref="G40:L40" si="6">+G38+G36+G30+G26+G22+G17+G9+G7+G5</f>
        <v>0</v>
      </c>
      <c r="H40" s="275">
        <f t="shared" si="6"/>
        <v>1582032.6300000001</v>
      </c>
      <c r="I40" s="275">
        <f t="shared" si="6"/>
        <v>1426865.64</v>
      </c>
      <c r="J40" s="428">
        <f>+J38+J36+J30+J26+J22+J17+J9+J7+J5</f>
        <v>1676762.3772613094</v>
      </c>
      <c r="K40" s="428">
        <f>+K38+K36+K30+K26+K22+K17+K9+K7+K5</f>
        <v>1802086.6491972697</v>
      </c>
      <c r="L40" s="428">
        <f t="shared" si="6"/>
        <v>1885743.0757205274</v>
      </c>
    </row>
    <row r="41" spans="1:12" s="27" customFormat="1" ht="15" customHeight="1" x14ac:dyDescent="0.2">
      <c r="E41" s="99"/>
      <c r="F41" s="28"/>
      <c r="G41" s="28"/>
      <c r="H41" s="28"/>
      <c r="I41" s="28"/>
      <c r="J41" s="28"/>
    </row>
    <row r="42" spans="1:12" s="27" customFormat="1" ht="15" customHeight="1" x14ac:dyDescent="0.2">
      <c r="A42" s="64"/>
      <c r="B42" s="66"/>
      <c r="C42" s="66"/>
      <c r="E42" s="99"/>
      <c r="F42" s="28"/>
      <c r="G42" s="28"/>
      <c r="H42" s="28"/>
      <c r="I42" s="28"/>
      <c r="J42" s="28"/>
    </row>
    <row r="43" spans="1:12" ht="15" customHeight="1" x14ac:dyDescent="0.25">
      <c r="A43" s="459" t="s">
        <v>101</v>
      </c>
      <c r="B43" s="460"/>
      <c r="C43" s="460"/>
      <c r="D43" s="461"/>
      <c r="E43" s="14" t="s">
        <v>54</v>
      </c>
      <c r="F43" s="14">
        <f t="shared" ref="F43:L43" si="7">+F3</f>
        <v>0</v>
      </c>
      <c r="G43" s="329">
        <f t="shared" si="7"/>
        <v>45291</v>
      </c>
      <c r="H43" s="329">
        <f t="shared" si="7"/>
        <v>45657</v>
      </c>
      <c r="I43" s="329">
        <f t="shared" si="7"/>
        <v>45838</v>
      </c>
      <c r="J43" s="329">
        <f t="shared" si="7"/>
        <v>46022</v>
      </c>
      <c r="K43" s="329">
        <f t="shared" si="7"/>
        <v>46387</v>
      </c>
      <c r="L43" s="329">
        <f t="shared" si="7"/>
        <v>46752</v>
      </c>
    </row>
    <row r="44" spans="1:12" ht="15" customHeight="1" x14ac:dyDescent="0.25">
      <c r="A44" s="12"/>
      <c r="B44" s="13"/>
      <c r="C44" s="13"/>
      <c r="D44" s="13"/>
      <c r="E44" s="100"/>
      <c r="F44" s="41"/>
      <c r="G44" s="41"/>
      <c r="H44" s="41"/>
      <c r="I44" s="105"/>
      <c r="J44" s="105"/>
      <c r="K44" s="105"/>
      <c r="L44" s="105"/>
    </row>
    <row r="45" spans="1:12" ht="15" customHeight="1" x14ac:dyDescent="0.25">
      <c r="A45" s="10" t="s">
        <v>103</v>
      </c>
      <c r="B45" t="s">
        <v>104</v>
      </c>
      <c r="E45" s="104">
        <v>10</v>
      </c>
      <c r="F45" s="185">
        <f t="shared" ref="F45:L45" si="8">SUM(F46:F47)</f>
        <v>0</v>
      </c>
      <c r="G45" s="185">
        <f t="shared" si="8"/>
        <v>0</v>
      </c>
      <c r="H45" s="185">
        <f t="shared" si="8"/>
        <v>425000</v>
      </c>
      <c r="I45" s="185">
        <f t="shared" si="8"/>
        <v>425000</v>
      </c>
      <c r="J45" s="429">
        <f t="shared" si="8"/>
        <v>425000</v>
      </c>
      <c r="K45" s="429">
        <f t="shared" si="8"/>
        <v>425000</v>
      </c>
      <c r="L45" s="429">
        <f t="shared" si="8"/>
        <v>425000</v>
      </c>
    </row>
    <row r="46" spans="1:12" ht="15" customHeight="1" x14ac:dyDescent="0.25">
      <c r="A46" s="94" t="s">
        <v>62</v>
      </c>
      <c r="B46" t="s">
        <v>105</v>
      </c>
      <c r="E46" s="95">
        <v>100</v>
      </c>
      <c r="F46" s="195">
        <v>0</v>
      </c>
      <c r="G46" s="195">
        <f>+'Balans &amp; Res.rek'!G45</f>
        <v>0</v>
      </c>
      <c r="H46" s="195">
        <f>+'Balans &amp; Res.rek'!H45</f>
        <v>425000</v>
      </c>
      <c r="I46" s="195">
        <f>+'Balans &amp; Res.rek'!I45</f>
        <v>425000</v>
      </c>
      <c r="J46" s="395">
        <f t="shared" ref="J46:L47" si="9">+I46</f>
        <v>425000</v>
      </c>
      <c r="K46" s="395">
        <f t="shared" si="9"/>
        <v>425000</v>
      </c>
      <c r="L46" s="395">
        <f t="shared" si="9"/>
        <v>425000</v>
      </c>
    </row>
    <row r="47" spans="1:12" ht="15" customHeight="1" x14ac:dyDescent="0.25">
      <c r="A47" s="94" t="s">
        <v>64</v>
      </c>
      <c r="B47" t="s">
        <v>106</v>
      </c>
      <c r="E47" s="95">
        <v>101</v>
      </c>
      <c r="F47" s="195">
        <v>0</v>
      </c>
      <c r="G47" s="195">
        <f>+'Balans &amp; Res.rek'!G46</f>
        <v>0</v>
      </c>
      <c r="H47" s="195">
        <f>+'Balans &amp; Res.rek'!H46</f>
        <v>0</v>
      </c>
      <c r="I47" s="195">
        <f>+'Balans &amp; Res.rek'!I46</f>
        <v>0</v>
      </c>
      <c r="J47" s="395">
        <f t="shared" si="9"/>
        <v>0</v>
      </c>
      <c r="K47" s="395">
        <f t="shared" si="9"/>
        <v>0</v>
      </c>
      <c r="L47" s="395">
        <f t="shared" si="9"/>
        <v>0</v>
      </c>
    </row>
    <row r="48" spans="1:12" ht="15" customHeight="1" x14ac:dyDescent="0.25">
      <c r="A48" s="10"/>
      <c r="E48" s="95"/>
      <c r="F48" s="195"/>
      <c r="G48" s="195"/>
      <c r="H48" s="195"/>
      <c r="I48" s="201"/>
      <c r="J48" s="395"/>
      <c r="K48" s="395"/>
      <c r="L48" s="395"/>
    </row>
    <row r="49" spans="1:12" ht="15" customHeight="1" x14ac:dyDescent="0.25">
      <c r="A49" s="10" t="s">
        <v>107</v>
      </c>
      <c r="B49" t="s">
        <v>108</v>
      </c>
      <c r="E49" s="104">
        <v>11</v>
      </c>
      <c r="F49" s="185">
        <v>0</v>
      </c>
      <c r="G49" s="185">
        <f>+'Balans &amp; Res.rek'!G48</f>
        <v>0</v>
      </c>
      <c r="H49" s="185">
        <f>+'Balans &amp; Res.rek'!H48</f>
        <v>0</v>
      </c>
      <c r="I49" s="185">
        <f>+'Balans &amp; Res.rek'!I48</f>
        <v>0</v>
      </c>
      <c r="J49" s="430">
        <v>0</v>
      </c>
      <c r="K49" s="430">
        <v>0</v>
      </c>
      <c r="L49" s="430">
        <v>0</v>
      </c>
    </row>
    <row r="50" spans="1:12" ht="15" customHeight="1" x14ac:dyDescent="0.25">
      <c r="A50" s="10"/>
      <c r="E50" s="95"/>
      <c r="F50" s="195"/>
      <c r="G50" s="195"/>
      <c r="H50" s="195"/>
      <c r="I50" s="195"/>
      <c r="J50" s="395"/>
      <c r="K50" s="395"/>
      <c r="L50" s="395"/>
    </row>
    <row r="51" spans="1:12" ht="15" customHeight="1" x14ac:dyDescent="0.25">
      <c r="A51" s="10" t="s">
        <v>109</v>
      </c>
      <c r="B51" t="s">
        <v>110</v>
      </c>
      <c r="E51" s="104">
        <v>12</v>
      </c>
      <c r="F51" s="185">
        <v>0</v>
      </c>
      <c r="G51" s="185">
        <f>+'Balans &amp; Res.rek'!G50</f>
        <v>0</v>
      </c>
      <c r="H51" s="185">
        <f>+'Balans &amp; Res.rek'!H50</f>
        <v>0</v>
      </c>
      <c r="I51" s="185">
        <f>+'Balans &amp; Res.rek'!I50</f>
        <v>0</v>
      </c>
      <c r="J51" s="430">
        <v>0</v>
      </c>
      <c r="K51" s="430">
        <v>0</v>
      </c>
      <c r="L51" s="430">
        <v>0</v>
      </c>
    </row>
    <row r="52" spans="1:12" ht="15" customHeight="1" x14ac:dyDescent="0.25">
      <c r="A52" s="10"/>
      <c r="E52" s="95"/>
      <c r="F52" s="195"/>
      <c r="G52" s="195"/>
      <c r="H52" s="195"/>
      <c r="I52" s="201"/>
      <c r="J52" s="395"/>
      <c r="K52" s="395"/>
      <c r="L52" s="395"/>
    </row>
    <row r="53" spans="1:12" ht="15" customHeight="1" x14ac:dyDescent="0.25">
      <c r="A53" s="10" t="s">
        <v>111</v>
      </c>
      <c r="B53" t="s">
        <v>112</v>
      </c>
      <c r="E53" s="104">
        <v>13</v>
      </c>
      <c r="F53" s="185">
        <f t="shared" ref="F53:L53" si="10">SUM(F54:F57)</f>
        <v>0</v>
      </c>
      <c r="G53" s="185">
        <f t="shared" si="10"/>
        <v>0</v>
      </c>
      <c r="H53" s="185">
        <f t="shared" si="10"/>
        <v>0</v>
      </c>
      <c r="I53" s="185">
        <f t="shared" si="10"/>
        <v>0</v>
      </c>
      <c r="J53" s="429">
        <f t="shared" si="10"/>
        <v>0</v>
      </c>
      <c r="K53" s="429">
        <f t="shared" si="10"/>
        <v>0</v>
      </c>
      <c r="L53" s="429">
        <f t="shared" si="10"/>
        <v>0</v>
      </c>
    </row>
    <row r="54" spans="1:12" ht="15" customHeight="1" x14ac:dyDescent="0.25">
      <c r="A54" s="94" t="s">
        <v>113</v>
      </c>
      <c r="B54" t="s">
        <v>114</v>
      </c>
      <c r="E54" s="95">
        <v>130</v>
      </c>
      <c r="F54" s="195">
        <v>0</v>
      </c>
      <c r="G54" s="195">
        <f>+'Balans &amp; Res.rek'!G53</f>
        <v>0</v>
      </c>
      <c r="H54" s="195">
        <f>+'Balans &amp; Res.rek'!H53</f>
        <v>0</v>
      </c>
      <c r="I54" s="195">
        <f>+'Balans &amp; Res.rek'!I53</f>
        <v>0</v>
      </c>
      <c r="J54" s="277">
        <f>+I54</f>
        <v>0</v>
      </c>
      <c r="K54" s="277">
        <f>+J54</f>
        <v>0</v>
      </c>
      <c r="L54" s="277">
        <f>+K54</f>
        <v>0</v>
      </c>
    </row>
    <row r="55" spans="1:12" ht="15" customHeight="1" x14ac:dyDescent="0.25">
      <c r="A55" s="94" t="s">
        <v>115</v>
      </c>
      <c r="B55" t="s">
        <v>116</v>
      </c>
      <c r="E55" s="95">
        <v>131</v>
      </c>
      <c r="F55" s="195"/>
      <c r="G55" s="195">
        <f>+'Balans &amp; Res.rek'!G54</f>
        <v>0</v>
      </c>
      <c r="H55" s="195">
        <f>+'Balans &amp; Res.rek'!H54</f>
        <v>0</v>
      </c>
      <c r="I55" s="195">
        <f>+'Balans &amp; Res.rek'!I54</f>
        <v>0</v>
      </c>
      <c r="J55" s="277"/>
      <c r="K55" s="277"/>
      <c r="L55" s="277"/>
    </row>
    <row r="56" spans="1:12" ht="15" customHeight="1" x14ac:dyDescent="0.25">
      <c r="A56" s="94" t="s">
        <v>117</v>
      </c>
      <c r="B56" t="s">
        <v>118</v>
      </c>
      <c r="E56" s="95">
        <v>132</v>
      </c>
      <c r="F56" s="195"/>
      <c r="G56" s="195">
        <f>+'Balans &amp; Res.rek'!G55</f>
        <v>0</v>
      </c>
      <c r="H56" s="195">
        <f>+'Balans &amp; Res.rek'!H55</f>
        <v>0</v>
      </c>
      <c r="I56" s="195">
        <f>+'Balans &amp; Res.rek'!I55</f>
        <v>0</v>
      </c>
      <c r="J56" s="277">
        <f t="shared" ref="J56:L57" si="11">+I56</f>
        <v>0</v>
      </c>
      <c r="K56" s="277">
        <f t="shared" si="11"/>
        <v>0</v>
      </c>
      <c r="L56" s="277">
        <f t="shared" si="11"/>
        <v>0</v>
      </c>
    </row>
    <row r="57" spans="1:12" ht="15" customHeight="1" x14ac:dyDescent="0.25">
      <c r="A57" s="94" t="s">
        <v>119</v>
      </c>
      <c r="B57" t="s">
        <v>120</v>
      </c>
      <c r="E57" s="95">
        <v>133</v>
      </c>
      <c r="F57" s="195">
        <v>0</v>
      </c>
      <c r="G57" s="195">
        <f>+'Balans &amp; Res.rek'!G56</f>
        <v>0</v>
      </c>
      <c r="H57" s="195">
        <f>+'Balans &amp; Res.rek'!H56</f>
        <v>0</v>
      </c>
      <c r="I57" s="195">
        <f>+'Balans &amp; Res.rek'!I56</f>
        <v>0</v>
      </c>
      <c r="J57" s="277">
        <f t="shared" si="11"/>
        <v>0</v>
      </c>
      <c r="K57" s="277">
        <f t="shared" si="11"/>
        <v>0</v>
      </c>
      <c r="L57" s="277">
        <f t="shared" si="11"/>
        <v>0</v>
      </c>
    </row>
    <row r="58" spans="1:12" ht="15" customHeight="1" x14ac:dyDescent="0.25">
      <c r="A58" s="94"/>
      <c r="E58" s="95"/>
      <c r="F58" s="195"/>
      <c r="G58" s="195"/>
      <c r="H58" s="195"/>
      <c r="I58" s="195"/>
      <c r="J58" s="277">
        <f>+I58+J134</f>
        <v>0</v>
      </c>
      <c r="K58" s="277"/>
      <c r="L58" s="277"/>
    </row>
    <row r="59" spans="1:12" ht="15" customHeight="1" x14ac:dyDescent="0.4">
      <c r="A59" s="94" t="s">
        <v>121</v>
      </c>
      <c r="B59" t="s">
        <v>122</v>
      </c>
      <c r="E59" s="104">
        <v>14</v>
      </c>
      <c r="F59" s="185">
        <v>0</v>
      </c>
      <c r="G59" s="185">
        <f>+'Balans &amp; Res.rek'!G58</f>
        <v>0</v>
      </c>
      <c r="H59" s="185">
        <f>+'Balans &amp; Res.rek'!H58</f>
        <v>84260.160000000003</v>
      </c>
      <c r="I59" s="185">
        <f>'Balans &amp; Res.rek'!I134</f>
        <v>63871.450000000012</v>
      </c>
      <c r="J59" s="431">
        <f>+I59+J133</f>
        <v>138492.40870178572</v>
      </c>
      <c r="K59" s="431">
        <f>+J59+K133</f>
        <v>218745.49909409526</v>
      </c>
      <c r="L59" s="431">
        <f>+K59+L133</f>
        <v>304971.60155200888</v>
      </c>
    </row>
    <row r="60" spans="1:12" ht="15" customHeight="1" x14ac:dyDescent="0.25">
      <c r="A60" s="94"/>
      <c r="E60" s="95"/>
      <c r="F60" s="195"/>
      <c r="G60" s="195"/>
      <c r="H60" s="195"/>
      <c r="I60" s="195"/>
      <c r="J60" s="277"/>
      <c r="K60" s="277"/>
      <c r="L60" s="277"/>
    </row>
    <row r="61" spans="1:12" ht="15" customHeight="1" x14ac:dyDescent="0.25">
      <c r="A61" s="94" t="s">
        <v>123</v>
      </c>
      <c r="B61" t="s">
        <v>124</v>
      </c>
      <c r="E61" s="104">
        <v>15</v>
      </c>
      <c r="F61" s="185"/>
      <c r="G61" s="185"/>
      <c r="H61" s="185"/>
      <c r="I61" s="185"/>
      <c r="J61" s="429"/>
      <c r="K61" s="429"/>
      <c r="L61" s="429"/>
    </row>
    <row r="62" spans="1:12" ht="15.6" customHeight="1" x14ac:dyDescent="0.25">
      <c r="A62" s="94"/>
      <c r="E62" s="95"/>
      <c r="F62" s="195"/>
      <c r="G62" s="195"/>
      <c r="H62" s="195"/>
      <c r="I62" s="195"/>
      <c r="J62" s="277"/>
      <c r="K62" s="277"/>
      <c r="L62" s="277"/>
    </row>
    <row r="63" spans="1:12" x14ac:dyDescent="0.25">
      <c r="A63" s="94" t="s">
        <v>125</v>
      </c>
      <c r="B63" t="s">
        <v>126</v>
      </c>
      <c r="E63" s="107" t="s">
        <v>127</v>
      </c>
      <c r="F63" s="185"/>
      <c r="G63" s="185">
        <f>+'Balans &amp; Res.rek'!G62</f>
        <v>0</v>
      </c>
      <c r="H63" s="185">
        <f>+'Balans &amp; Res.rek'!H62</f>
        <v>0</v>
      </c>
      <c r="I63" s="185">
        <f>+'Balans &amp; Res.rek'!I62</f>
        <v>0</v>
      </c>
      <c r="J63" s="429">
        <v>0</v>
      </c>
      <c r="K63" s="429">
        <v>0</v>
      </c>
      <c r="L63" s="429">
        <v>0</v>
      </c>
    </row>
    <row r="64" spans="1:12" ht="15" customHeight="1" x14ac:dyDescent="0.25">
      <c r="A64" s="94"/>
      <c r="E64" s="95"/>
      <c r="F64" s="195"/>
      <c r="G64" s="195"/>
      <c r="H64" s="195"/>
      <c r="I64" s="195"/>
      <c r="J64" s="277"/>
      <c r="K64" s="277"/>
      <c r="L64" s="277"/>
    </row>
    <row r="65" spans="1:12" ht="15" customHeight="1" x14ac:dyDescent="0.25">
      <c r="A65" s="94" t="s">
        <v>128</v>
      </c>
      <c r="B65" t="s">
        <v>129</v>
      </c>
      <c r="E65" s="104">
        <v>168</v>
      </c>
      <c r="F65" s="185"/>
      <c r="G65" s="185"/>
      <c r="H65" s="185"/>
      <c r="I65" s="185"/>
      <c r="J65" s="429"/>
      <c r="K65" s="429"/>
      <c r="L65" s="429"/>
    </row>
    <row r="66" spans="1:12" ht="15" customHeight="1" x14ac:dyDescent="0.25">
      <c r="A66" s="94"/>
      <c r="E66" s="95"/>
      <c r="F66" s="195"/>
      <c r="G66" s="195"/>
      <c r="H66" s="195"/>
      <c r="I66" s="195"/>
      <c r="J66" s="277"/>
      <c r="K66" s="277"/>
      <c r="L66" s="277"/>
    </row>
    <row r="67" spans="1:12" ht="15" customHeight="1" x14ac:dyDescent="0.25">
      <c r="A67" s="94" t="s">
        <v>130</v>
      </c>
      <c r="B67" t="s">
        <v>131</v>
      </c>
      <c r="E67" s="104">
        <v>17</v>
      </c>
      <c r="F67" s="185">
        <f t="shared" ref="F67:L67" si="12">SUM(F68:F71)</f>
        <v>0</v>
      </c>
      <c r="G67" s="185">
        <f t="shared" si="12"/>
        <v>0</v>
      </c>
      <c r="H67" s="185">
        <f t="shared" si="12"/>
        <v>950624.69</v>
      </c>
      <c r="I67" s="185">
        <f t="shared" si="12"/>
        <v>950625</v>
      </c>
      <c r="J67" s="429">
        <f t="shared" si="12"/>
        <v>945298.31</v>
      </c>
      <c r="K67" s="429">
        <f t="shared" si="12"/>
        <v>939865.08620000002</v>
      </c>
      <c r="L67" s="429">
        <f t="shared" si="12"/>
        <v>934323.19792399998</v>
      </c>
    </row>
    <row r="68" spans="1:12" ht="15" customHeight="1" x14ac:dyDescent="0.25">
      <c r="A68" s="94" t="s">
        <v>62</v>
      </c>
      <c r="B68" t="s">
        <v>132</v>
      </c>
      <c r="E68" s="106" t="s">
        <v>133</v>
      </c>
      <c r="F68" s="195">
        <v>0</v>
      </c>
      <c r="G68" s="195">
        <f>+'Balans &amp; Res.rek'!G67</f>
        <v>0</v>
      </c>
      <c r="H68" s="195">
        <f>+'Balans &amp; Res.rek'!H67</f>
        <v>950624.69</v>
      </c>
      <c r="I68" s="195">
        <f>+'Balans &amp; Res.rek'!I67</f>
        <v>950625</v>
      </c>
      <c r="J68" s="282">
        <f>+I68-I74</f>
        <v>945298.31</v>
      </c>
      <c r="K68" s="282">
        <f>+J68-J74</f>
        <v>939865.08620000002</v>
      </c>
      <c r="L68" s="282">
        <f>+K68-K74</f>
        <v>934323.19792399998</v>
      </c>
    </row>
    <row r="69" spans="1:12" ht="15" customHeight="1" x14ac:dyDescent="0.25">
      <c r="A69" s="94" t="s">
        <v>64</v>
      </c>
      <c r="B69" t="s">
        <v>134</v>
      </c>
      <c r="E69" s="106">
        <v>175</v>
      </c>
      <c r="F69" s="195"/>
      <c r="G69" s="195">
        <f>+'Balans &amp; Res.rek'!G68</f>
        <v>0</v>
      </c>
      <c r="H69" s="195">
        <f>+'Balans &amp; Res.rek'!H68</f>
        <v>0</v>
      </c>
      <c r="I69" s="195">
        <f>+'Balans &amp; Res.rek'!I68</f>
        <v>0</v>
      </c>
      <c r="J69" s="277"/>
      <c r="K69" s="277"/>
      <c r="L69" s="277"/>
    </row>
    <row r="70" spans="1:12" ht="15" customHeight="1" x14ac:dyDescent="0.25">
      <c r="A70" s="94" t="s">
        <v>66</v>
      </c>
      <c r="B70" t="s">
        <v>135</v>
      </c>
      <c r="E70" s="106">
        <v>176</v>
      </c>
      <c r="F70" s="195"/>
      <c r="G70" s="195">
        <f>+'Balans &amp; Res.rek'!G69</f>
        <v>0</v>
      </c>
      <c r="H70" s="195">
        <f>+'Balans &amp; Res.rek'!H69</f>
        <v>0</v>
      </c>
      <c r="I70" s="195">
        <f>+'Balans &amp; Res.rek'!I69</f>
        <v>0</v>
      </c>
      <c r="J70" s="277"/>
      <c r="K70" s="277"/>
      <c r="L70" s="277"/>
    </row>
    <row r="71" spans="1:12" ht="15" customHeight="1" x14ac:dyDescent="0.25">
      <c r="A71" s="94" t="s">
        <v>68</v>
      </c>
      <c r="B71" t="s">
        <v>136</v>
      </c>
      <c r="E71" s="106">
        <v>178</v>
      </c>
      <c r="F71" s="195"/>
      <c r="G71" s="195">
        <f>+'Balans &amp; Res.rek'!G70</f>
        <v>0</v>
      </c>
      <c r="H71" s="195">
        <f>+'Balans &amp; Res.rek'!H70</f>
        <v>0</v>
      </c>
      <c r="I71" s="195">
        <f>+'Balans &amp; Res.rek'!I70</f>
        <v>0</v>
      </c>
      <c r="J71" s="277"/>
      <c r="K71" s="277"/>
      <c r="L71" s="277"/>
    </row>
    <row r="72" spans="1:12" ht="15" customHeight="1" x14ac:dyDescent="0.25">
      <c r="A72" s="94"/>
      <c r="E72" s="106"/>
      <c r="F72" s="195"/>
      <c r="G72" s="195"/>
      <c r="H72" s="195"/>
      <c r="I72" s="195"/>
      <c r="J72" s="277"/>
      <c r="K72" s="277"/>
      <c r="L72" s="277"/>
    </row>
    <row r="73" spans="1:12" ht="15" customHeight="1" x14ac:dyDescent="0.25">
      <c r="A73" s="94" t="s">
        <v>137</v>
      </c>
      <c r="B73" t="s">
        <v>138</v>
      </c>
      <c r="E73" s="107" t="s">
        <v>139</v>
      </c>
      <c r="F73" s="185">
        <f t="shared" ref="F73:L73" si="13">SUM(F74:F79)</f>
        <v>0</v>
      </c>
      <c r="G73" s="185">
        <f t="shared" si="13"/>
        <v>0</v>
      </c>
      <c r="H73" s="185">
        <f t="shared" si="13"/>
        <v>122148.48</v>
      </c>
      <c r="I73" s="185">
        <f t="shared" si="13"/>
        <v>27910.46</v>
      </c>
      <c r="J73" s="429">
        <f t="shared" si="13"/>
        <v>29508.433799999995</v>
      </c>
      <c r="K73" s="429">
        <f t="shared" si="13"/>
        <v>37642.168275999997</v>
      </c>
      <c r="L73" s="429">
        <f t="shared" si="13"/>
        <v>31905.812708186666</v>
      </c>
    </row>
    <row r="74" spans="1:12" ht="15" customHeight="1" x14ac:dyDescent="0.25">
      <c r="A74" s="94" t="s">
        <v>62</v>
      </c>
      <c r="B74" t="s">
        <v>140</v>
      </c>
      <c r="E74" s="106">
        <v>42</v>
      </c>
      <c r="F74" s="195">
        <v>0</v>
      </c>
      <c r="G74" s="195">
        <f>+'Balans &amp; Res.rek'!G73</f>
        <v>0</v>
      </c>
      <c r="H74" s="195">
        <f>+'Balans &amp; Res.rek'!H73</f>
        <v>72506.62</v>
      </c>
      <c r="I74" s="195">
        <f>+'Balans &amp; Res.rek'!I73</f>
        <v>5326.69</v>
      </c>
      <c r="J74" s="277">
        <f>+I74*1.02</f>
        <v>5433.2237999999998</v>
      </c>
      <c r="K74" s="277">
        <f>+J74*1.02</f>
        <v>5541.8882759999997</v>
      </c>
      <c r="L74" s="277">
        <f>+K74*1.02</f>
        <v>5652.7260415199999</v>
      </c>
    </row>
    <row r="75" spans="1:12" ht="15" customHeight="1" x14ac:dyDescent="0.25">
      <c r="A75" s="94" t="s">
        <v>64</v>
      </c>
      <c r="B75" t="s">
        <v>132</v>
      </c>
      <c r="E75" s="106">
        <v>43</v>
      </c>
      <c r="F75" s="195"/>
      <c r="G75" s="195">
        <f>+'Balans &amp; Res.rek'!G74</f>
        <v>0</v>
      </c>
      <c r="H75" s="195">
        <f>+'Balans &amp; Res.rek'!H74</f>
        <v>0</v>
      </c>
      <c r="I75" s="195">
        <f>+'Balans &amp; Res.rek'!I74</f>
        <v>0</v>
      </c>
      <c r="J75" s="277">
        <f t="shared" ref="J75:L78" si="14">AVERAGE(G75:I75)</f>
        <v>0</v>
      </c>
      <c r="K75" s="277">
        <f t="shared" si="14"/>
        <v>0</v>
      </c>
      <c r="L75" s="277">
        <f t="shared" si="14"/>
        <v>0</v>
      </c>
    </row>
    <row r="76" spans="1:12" ht="15" customHeight="1" x14ac:dyDescent="0.25">
      <c r="A76" s="94" t="s">
        <v>66</v>
      </c>
      <c r="B76" t="s">
        <v>134</v>
      </c>
      <c r="E76" s="106">
        <v>44</v>
      </c>
      <c r="F76" s="195">
        <v>0</v>
      </c>
      <c r="G76" s="195">
        <f>+'Balans &amp; Res.rek'!G75</f>
        <v>0</v>
      </c>
      <c r="H76" s="195">
        <f>+'Balans &amp; Res.rek'!H75</f>
        <v>28851.81</v>
      </c>
      <c r="I76" s="195">
        <f>+'Balans &amp; Res.rek'!I75</f>
        <v>17598.86</v>
      </c>
      <c r="J76" s="277">
        <f t="shared" si="14"/>
        <v>15483.556666666665</v>
      </c>
      <c r="K76" s="277">
        <f t="shared" si="14"/>
        <v>20644.742222222219</v>
      </c>
      <c r="L76" s="277">
        <f t="shared" si="14"/>
        <v>17909.05296296296</v>
      </c>
    </row>
    <row r="77" spans="1:12" ht="15" customHeight="1" x14ac:dyDescent="0.25">
      <c r="A77" s="94" t="s">
        <v>68</v>
      </c>
      <c r="B77" t="str">
        <f>+B70</f>
        <v>Ontvangen vooruitbetalingen op bestel.</v>
      </c>
      <c r="E77" s="106">
        <v>46</v>
      </c>
      <c r="F77" s="195"/>
      <c r="G77" s="195">
        <f>+'Balans &amp; Res.rek'!G76</f>
        <v>0</v>
      </c>
      <c r="H77" s="195">
        <f>+'Balans &amp; Res.rek'!H76</f>
        <v>0</v>
      </c>
      <c r="I77" s="195">
        <f>+'Balans &amp; Res.rek'!I76</f>
        <v>0</v>
      </c>
      <c r="J77" s="277">
        <f t="shared" si="14"/>
        <v>0</v>
      </c>
      <c r="K77" s="277">
        <f t="shared" si="14"/>
        <v>0</v>
      </c>
      <c r="L77" s="277">
        <f t="shared" si="14"/>
        <v>0</v>
      </c>
    </row>
    <row r="78" spans="1:12" ht="15" customHeight="1" x14ac:dyDescent="0.25">
      <c r="A78" s="94" t="s">
        <v>70</v>
      </c>
      <c r="B78" t="s">
        <v>141</v>
      </c>
      <c r="E78" s="106">
        <v>45</v>
      </c>
      <c r="F78" s="195">
        <v>0</v>
      </c>
      <c r="G78" s="195">
        <f>+'Balans &amp; Res.rek'!G77</f>
        <v>0</v>
      </c>
      <c r="H78" s="195">
        <f>+'Balans &amp; Res.rek'!H77</f>
        <v>958.44</v>
      </c>
      <c r="I78" s="195">
        <f>'Balans &amp; Res.rek'!I77</f>
        <v>1887.91</v>
      </c>
      <c r="J78" s="277">
        <f t="shared" si="14"/>
        <v>948.78333333333342</v>
      </c>
      <c r="K78" s="277">
        <f t="shared" si="14"/>
        <v>1265.0444444444445</v>
      </c>
      <c r="L78" s="277">
        <f t="shared" si="14"/>
        <v>1367.245925925926</v>
      </c>
    </row>
    <row r="79" spans="1:12" ht="15" customHeight="1" x14ac:dyDescent="0.25">
      <c r="A79" s="94" t="s">
        <v>72</v>
      </c>
      <c r="B79" t="s">
        <v>136</v>
      </c>
      <c r="E79" s="106">
        <v>48</v>
      </c>
      <c r="F79" s="195"/>
      <c r="G79" s="195">
        <f>+'Balans &amp; Res.rek'!G78</f>
        <v>0</v>
      </c>
      <c r="H79" s="195">
        <f>+'Balans &amp; Res.rek'!H78</f>
        <v>19831.61</v>
      </c>
      <c r="I79" s="195">
        <f>'Balans &amp; Res.rek'!I78</f>
        <v>3097</v>
      </c>
      <c r="J79" s="277">
        <f>AVERAGE(G79:I79)</f>
        <v>7642.87</v>
      </c>
      <c r="K79" s="277">
        <f>AVERAGE(H79:J79)</f>
        <v>10190.493333333334</v>
      </c>
      <c r="L79" s="277">
        <f>AVERAGE(I79:K79)</f>
        <v>6976.7877777777785</v>
      </c>
    </row>
    <row r="80" spans="1:12" ht="15" customHeight="1" x14ac:dyDescent="0.25">
      <c r="A80" s="94"/>
      <c r="E80" s="106"/>
      <c r="F80" s="195"/>
      <c r="G80" s="195"/>
      <c r="H80" s="195"/>
      <c r="I80" s="195"/>
      <c r="J80" s="277"/>
      <c r="K80" s="277"/>
      <c r="L80" s="277"/>
    </row>
    <row r="81" spans="1:16" ht="15" customHeight="1" x14ac:dyDescent="0.25">
      <c r="A81" s="94" t="s">
        <v>142</v>
      </c>
      <c r="B81" t="s">
        <v>98</v>
      </c>
      <c r="E81" s="107" t="s">
        <v>143</v>
      </c>
      <c r="F81" s="185">
        <v>0</v>
      </c>
      <c r="G81" s="185">
        <f>+'Balans &amp; Res.rek'!G80</f>
        <v>0</v>
      </c>
      <c r="H81" s="185">
        <f>+'Balans &amp; Res.rek'!H80</f>
        <v>0</v>
      </c>
      <c r="I81" s="185">
        <f>'Balans &amp; Res.rek'!I80</f>
        <v>286.12</v>
      </c>
      <c r="J81" s="429">
        <f>AVERAGE(G81:I81)</f>
        <v>95.373333333333335</v>
      </c>
      <c r="K81" s="429">
        <f>AVERAGE(H81:J81)</f>
        <v>127.16444444444444</v>
      </c>
      <c r="L81" s="429">
        <f>AVERAGE(I81:K81)</f>
        <v>169.55259259259259</v>
      </c>
    </row>
    <row r="82" spans="1:16" ht="15" customHeight="1" x14ac:dyDescent="0.25">
      <c r="A82" s="10"/>
      <c r="E82" s="106"/>
      <c r="F82" s="205"/>
      <c r="G82" s="205"/>
      <c r="H82" s="205"/>
      <c r="I82" s="203"/>
      <c r="J82" s="203"/>
      <c r="K82" s="203"/>
      <c r="L82" s="203"/>
    </row>
    <row r="83" spans="1:16" x14ac:dyDescent="0.25">
      <c r="A83" s="110" t="s">
        <v>189</v>
      </c>
      <c r="B83" s="111"/>
      <c r="C83" s="111"/>
      <c r="D83" s="111"/>
      <c r="E83" s="112"/>
      <c r="F83" s="275">
        <f>+F81+F73+F67+F53+F51+F49+F45+F59+F61</f>
        <v>0</v>
      </c>
      <c r="G83" s="275">
        <f t="shared" ref="G83:L83" si="15">+G81+G73+G67+G53+G51+G49+G45+G59+G61+G63</f>
        <v>0</v>
      </c>
      <c r="H83" s="275">
        <f t="shared" si="15"/>
        <v>1582033.3299999998</v>
      </c>
      <c r="I83" s="275">
        <f t="shared" si="15"/>
        <v>1467693.03</v>
      </c>
      <c r="J83" s="428">
        <f t="shared" si="15"/>
        <v>1538394.5258351192</v>
      </c>
      <c r="K83" s="428">
        <f t="shared" si="15"/>
        <v>1621379.9180145396</v>
      </c>
      <c r="L83" s="428">
        <f t="shared" si="15"/>
        <v>1696370.1647767881</v>
      </c>
      <c r="N83" s="199"/>
      <c r="O83" s="199"/>
      <c r="P83" s="199"/>
    </row>
    <row r="84" spans="1:16" ht="15" customHeight="1" x14ac:dyDescent="0.25">
      <c r="G84" s="199">
        <f>+G83-'Balans &amp; Res.rek'!G82</f>
        <v>0</v>
      </c>
      <c r="H84" s="199">
        <f>+H83-'Balans &amp; Res.rek'!H82</f>
        <v>0</v>
      </c>
      <c r="I84" s="199"/>
    </row>
    <row r="85" spans="1:16" ht="11.45" customHeight="1" x14ac:dyDescent="0.25">
      <c r="A85" s="64"/>
      <c r="B85" s="66"/>
      <c r="C85" s="66"/>
      <c r="D85" s="27"/>
      <c r="E85" s="99"/>
      <c r="F85" s="28"/>
      <c r="G85" s="28"/>
      <c r="H85" s="28"/>
      <c r="I85" s="28"/>
      <c r="J85" s="28"/>
    </row>
    <row r="86" spans="1:16" x14ac:dyDescent="0.25">
      <c r="A86" s="459" t="s">
        <v>12</v>
      </c>
      <c r="B86" s="460"/>
      <c r="C86" s="460"/>
      <c r="D86" s="461"/>
      <c r="E86" s="14" t="s">
        <v>54</v>
      </c>
      <c r="F86" s="14">
        <f t="shared" ref="F86:L86" si="16">+F43</f>
        <v>0</v>
      </c>
      <c r="G86" s="329">
        <f t="shared" si="16"/>
        <v>45291</v>
      </c>
      <c r="H86" s="329">
        <f t="shared" si="16"/>
        <v>45657</v>
      </c>
      <c r="I86" s="332">
        <f t="shared" si="16"/>
        <v>45838</v>
      </c>
      <c r="J86" s="329">
        <f t="shared" si="16"/>
        <v>46022</v>
      </c>
      <c r="K86" s="329">
        <f t="shared" si="16"/>
        <v>46387</v>
      </c>
      <c r="L86" s="329">
        <f t="shared" si="16"/>
        <v>46752</v>
      </c>
    </row>
    <row r="87" spans="1:16" x14ac:dyDescent="0.25">
      <c r="A87" s="12"/>
      <c r="B87" s="13"/>
      <c r="C87" s="13"/>
      <c r="D87" s="13"/>
      <c r="E87" s="100"/>
      <c r="F87" s="41"/>
      <c r="G87" s="41"/>
      <c r="H87" s="41"/>
      <c r="I87" s="333"/>
      <c r="J87" s="105"/>
      <c r="K87" s="105"/>
      <c r="L87" s="105"/>
    </row>
    <row r="88" spans="1:16" x14ac:dyDescent="0.25">
      <c r="A88" s="10" t="s">
        <v>145</v>
      </c>
      <c r="E88" s="107" t="s">
        <v>146</v>
      </c>
      <c r="F88" s="185">
        <f t="shared" ref="F88:L88" si="17">SUM(F89:F92)</f>
        <v>0</v>
      </c>
      <c r="G88" s="185">
        <f t="shared" si="17"/>
        <v>0</v>
      </c>
      <c r="H88" s="185">
        <f t="shared" si="17"/>
        <v>167785</v>
      </c>
      <c r="I88" s="334">
        <f t="shared" si="17"/>
        <v>107382.88</v>
      </c>
      <c r="J88" s="429">
        <f t="shared" si="17"/>
        <v>182372.95666666667</v>
      </c>
      <c r="K88" s="429">
        <f t="shared" si="17"/>
        <v>191608.68822222223</v>
      </c>
      <c r="L88" s="429">
        <f t="shared" si="17"/>
        <v>201345.23426296297</v>
      </c>
      <c r="N88" s="54"/>
    </row>
    <row r="89" spans="1:16" x14ac:dyDescent="0.25">
      <c r="A89" s="94" t="s">
        <v>62</v>
      </c>
      <c r="B89" t="s">
        <v>147</v>
      </c>
      <c r="E89" s="106">
        <v>70</v>
      </c>
      <c r="F89" s="195">
        <v>0</v>
      </c>
      <c r="G89" s="195">
        <f>+'Balans &amp; Res.rek'!G89</f>
        <v>0</v>
      </c>
      <c r="H89" s="195">
        <f>+'Balans &amp; Res.rek'!H89</f>
        <v>167785</v>
      </c>
      <c r="I89" s="335">
        <f>+'Balans &amp; Res.rek'!I89</f>
        <v>106143.17</v>
      </c>
      <c r="J89" s="277">
        <f>I89/7*12</f>
        <v>181959.72</v>
      </c>
      <c r="K89" s="277">
        <f>J89*1.05</f>
        <v>191057.70600000001</v>
      </c>
      <c r="L89" s="277">
        <f>K89*1.05</f>
        <v>200610.5913</v>
      </c>
      <c r="N89" s="199"/>
      <c r="O89" s="199"/>
    </row>
    <row r="90" spans="1:16" x14ac:dyDescent="0.25">
      <c r="A90" s="94" t="s">
        <v>64</v>
      </c>
      <c r="B90" t="s">
        <v>148</v>
      </c>
      <c r="E90" s="106">
        <v>71</v>
      </c>
      <c r="F90" s="195">
        <v>0</v>
      </c>
      <c r="G90" s="195">
        <f>+'Balans &amp; Res.rek'!G90</f>
        <v>0</v>
      </c>
      <c r="H90" s="195">
        <f>+'Balans &amp; Res.rek'!H90</f>
        <v>0</v>
      </c>
      <c r="I90" s="335">
        <f>+'Balans &amp; Res.rek'!I90</f>
        <v>0</v>
      </c>
      <c r="J90" s="277">
        <f>+J28-I28</f>
        <v>0</v>
      </c>
      <c r="K90" s="277">
        <f>+K28-J28</f>
        <v>0</v>
      </c>
      <c r="L90" s="277">
        <f>+L28-K28</f>
        <v>0</v>
      </c>
    </row>
    <row r="91" spans="1:16" x14ac:dyDescent="0.25">
      <c r="A91" s="94" t="s">
        <v>66</v>
      </c>
      <c r="B91" t="s">
        <v>149</v>
      </c>
      <c r="E91" s="106">
        <v>72</v>
      </c>
      <c r="F91" s="195"/>
      <c r="G91" s="195">
        <f>+'Balans &amp; Res.rek'!G91</f>
        <v>0</v>
      </c>
      <c r="H91" s="195">
        <f>+'Balans &amp; Res.rek'!H91</f>
        <v>0</v>
      </c>
      <c r="I91" s="335">
        <f>+'Balans &amp; Res.rek'!I91</f>
        <v>0</v>
      </c>
      <c r="J91" s="277"/>
      <c r="K91" s="277"/>
      <c r="L91" s="277"/>
    </row>
    <row r="92" spans="1:16" x14ac:dyDescent="0.25">
      <c r="A92" s="94" t="s">
        <v>68</v>
      </c>
      <c r="B92" t="s">
        <v>150</v>
      </c>
      <c r="E92" s="106">
        <v>74</v>
      </c>
      <c r="F92" s="195">
        <v>0</v>
      </c>
      <c r="G92" s="195">
        <f>+'Balans &amp; Res.rek'!G92</f>
        <v>0</v>
      </c>
      <c r="H92" s="195">
        <f>+'Balans &amp; Res.rek'!H92</f>
        <v>0</v>
      </c>
      <c r="I92" s="335">
        <f>+'Balans &amp; Res.rek'!I92</f>
        <v>1239.71</v>
      </c>
      <c r="J92" s="277">
        <f>AVERAGE(G92:I92)</f>
        <v>413.23666666666668</v>
      </c>
      <c r="K92" s="277">
        <f>AVERAGE(H92:J92)</f>
        <v>550.98222222222228</v>
      </c>
      <c r="L92" s="277">
        <f>AVERAGE(I92:K92)</f>
        <v>734.642962962963</v>
      </c>
    </row>
    <row r="93" spans="1:16" x14ac:dyDescent="0.25">
      <c r="A93" s="10"/>
      <c r="E93" s="106"/>
      <c r="F93" s="195"/>
      <c r="G93" s="195"/>
      <c r="H93" s="195"/>
      <c r="I93" s="335"/>
      <c r="J93" s="277"/>
      <c r="K93" s="277"/>
      <c r="L93" s="277"/>
    </row>
    <row r="94" spans="1:16" x14ac:dyDescent="0.25">
      <c r="A94" s="10" t="s">
        <v>151</v>
      </c>
      <c r="E94" s="107">
        <v>6064</v>
      </c>
      <c r="F94" s="185">
        <f t="shared" ref="F94:L94" si="18">SUM(F95:F102)</f>
        <v>0</v>
      </c>
      <c r="G94" s="185">
        <f t="shared" si="18"/>
        <v>0</v>
      </c>
      <c r="H94" s="185">
        <f t="shared" si="18"/>
        <v>31533.360000000001</v>
      </c>
      <c r="I94" s="334">
        <f t="shared" si="18"/>
        <v>43460.539999999994</v>
      </c>
      <c r="J94" s="429">
        <f t="shared" si="18"/>
        <v>74626.205714285708</v>
      </c>
      <c r="K94" s="429">
        <f t="shared" si="18"/>
        <v>76490.044457142838</v>
      </c>
      <c r="L94" s="429">
        <f t="shared" si="18"/>
        <v>78400.442840571428</v>
      </c>
    </row>
    <row r="95" spans="1:16" x14ac:dyDescent="0.25">
      <c r="A95" s="94" t="s">
        <v>62</v>
      </c>
      <c r="B95" t="s">
        <v>153</v>
      </c>
      <c r="E95" s="106">
        <v>60</v>
      </c>
      <c r="F95" s="195">
        <v>0</v>
      </c>
      <c r="G95" s="195">
        <f>+'Balans &amp; Res.rek'!G95</f>
        <v>0</v>
      </c>
      <c r="H95" s="195">
        <f>+'Balans &amp; Res.rek'!H95</f>
        <v>0</v>
      </c>
      <c r="I95" s="335">
        <f>+'Balans &amp; Res.rek'!I95</f>
        <v>0</v>
      </c>
      <c r="J95" s="277">
        <f>I95/7*12</f>
        <v>0</v>
      </c>
      <c r="K95" s="277">
        <f>J95*1.025</f>
        <v>0</v>
      </c>
      <c r="L95" s="277">
        <f>K95*1.025</f>
        <v>0</v>
      </c>
      <c r="N95" s="114"/>
    </row>
    <row r="96" spans="1:16" x14ac:dyDescent="0.25">
      <c r="A96" s="94" t="s">
        <v>64</v>
      </c>
      <c r="B96" t="s">
        <v>154</v>
      </c>
      <c r="E96" s="106">
        <v>61</v>
      </c>
      <c r="F96" s="195">
        <v>0</v>
      </c>
      <c r="G96" s="195">
        <f>+'Balans &amp; Res.rek'!G96</f>
        <v>0</v>
      </c>
      <c r="H96" s="195">
        <f>+'Balans &amp; Res.rek'!H96</f>
        <v>16077.19</v>
      </c>
      <c r="I96" s="335">
        <f>+'Balans &amp; Res.rek'!I96</f>
        <v>20026.199999999997</v>
      </c>
      <c r="J96" s="277">
        <f t="shared" ref="J96:J98" si="19">I96/7*12</f>
        <v>34330.628571428562</v>
      </c>
      <c r="K96" s="277">
        <f t="shared" ref="K96:L98" si="20">J96*1.025</f>
        <v>35188.894285714276</v>
      </c>
      <c r="L96" s="277">
        <f t="shared" si="20"/>
        <v>36068.616642857131</v>
      </c>
    </row>
    <row r="97" spans="1:12" x14ac:dyDescent="0.25">
      <c r="A97" s="94" t="s">
        <v>66</v>
      </c>
      <c r="B97" t="s">
        <v>155</v>
      </c>
      <c r="E97" s="106">
        <v>62</v>
      </c>
      <c r="F97" s="195">
        <v>0</v>
      </c>
      <c r="G97" s="195">
        <f>+'Balans &amp; Res.rek'!G97</f>
        <v>0</v>
      </c>
      <c r="H97" s="195">
        <f>+'Balans &amp; Res.rek'!H97</f>
        <v>0</v>
      </c>
      <c r="I97" s="335">
        <f>+'Balans &amp; Res.rek'!I97</f>
        <v>0</v>
      </c>
      <c r="J97" s="277">
        <f t="shared" si="19"/>
        <v>0</v>
      </c>
      <c r="K97" s="277">
        <f t="shared" si="20"/>
        <v>0</v>
      </c>
      <c r="L97" s="277">
        <f t="shared" si="20"/>
        <v>0</v>
      </c>
    </row>
    <row r="98" spans="1:12" x14ac:dyDescent="0.25">
      <c r="A98" s="94" t="s">
        <v>68</v>
      </c>
      <c r="B98" t="s">
        <v>156</v>
      </c>
      <c r="E98" s="106">
        <v>63</v>
      </c>
      <c r="F98" s="195">
        <v>0</v>
      </c>
      <c r="G98" s="195">
        <f>+'Balans &amp; Res.rek'!G98</f>
        <v>0</v>
      </c>
      <c r="H98" s="195">
        <f>+'Balans &amp; Res.rek'!H98</f>
        <v>14506.83</v>
      </c>
      <c r="I98" s="335">
        <f>+'Balans &amp; Res.rek'!I98</f>
        <v>23293.84</v>
      </c>
      <c r="J98" s="277">
        <f t="shared" si="19"/>
        <v>39932.297142857147</v>
      </c>
      <c r="K98" s="277">
        <f t="shared" si="20"/>
        <v>40930.604571428572</v>
      </c>
      <c r="L98" s="277">
        <f t="shared" si="20"/>
        <v>41953.869685714286</v>
      </c>
    </row>
    <row r="99" spans="1:12" x14ac:dyDescent="0.25">
      <c r="A99" s="94" t="s">
        <v>70</v>
      </c>
      <c r="B99" t="s">
        <v>157</v>
      </c>
      <c r="E99" s="106" t="s">
        <v>158</v>
      </c>
      <c r="F99" s="195">
        <v>0</v>
      </c>
      <c r="G99" s="195">
        <f>+'Balans &amp; Res.rek'!G99</f>
        <v>0</v>
      </c>
      <c r="H99" s="195">
        <f>+'Balans &amp; Res.rek'!H99</f>
        <v>0</v>
      </c>
      <c r="I99" s="335">
        <f>+'Balans &amp; Res.rek'!I99</f>
        <v>0</v>
      </c>
      <c r="J99" s="277">
        <v>0</v>
      </c>
      <c r="K99" s="277">
        <v>0</v>
      </c>
      <c r="L99" s="277">
        <v>0</v>
      </c>
    </row>
    <row r="100" spans="1:12" x14ac:dyDescent="0.25">
      <c r="A100" s="94" t="s">
        <v>72</v>
      </c>
      <c r="B100" t="s">
        <v>126</v>
      </c>
      <c r="E100" s="106" t="s">
        <v>159</v>
      </c>
      <c r="F100" s="195">
        <v>0</v>
      </c>
      <c r="G100" s="195">
        <f>+'Balans &amp; Res.rek'!G100</f>
        <v>0</v>
      </c>
      <c r="H100" s="195">
        <f>+'Balans &amp; Res.rek'!H100</f>
        <v>0</v>
      </c>
      <c r="I100" s="335">
        <f>+'Balans &amp; Res.rek'!I100</f>
        <v>0</v>
      </c>
      <c r="J100" s="277">
        <v>0</v>
      </c>
      <c r="K100" s="277">
        <v>0</v>
      </c>
      <c r="L100" s="277">
        <v>0</v>
      </c>
    </row>
    <row r="101" spans="1:12" x14ac:dyDescent="0.25">
      <c r="A101" s="94" t="s">
        <v>160</v>
      </c>
      <c r="B101" t="s">
        <v>161</v>
      </c>
      <c r="E101" s="106" t="s">
        <v>162</v>
      </c>
      <c r="F101" s="195">
        <v>0</v>
      </c>
      <c r="G101" s="195">
        <f>+'Balans &amp; Res.rek'!G101</f>
        <v>0</v>
      </c>
      <c r="H101" s="195">
        <f>+'Balans &amp; Res.rek'!H101</f>
        <v>949.34</v>
      </c>
      <c r="I101" s="335">
        <f>+'Balans &amp; Res.rek'!I101</f>
        <v>140.5</v>
      </c>
      <c r="J101" s="277">
        <f>+AVERAGE(G101:I101)</f>
        <v>363.28000000000003</v>
      </c>
      <c r="K101" s="277">
        <f>+J101*1.02</f>
        <v>370.54560000000004</v>
      </c>
      <c r="L101" s="277">
        <f>+K101*1.02</f>
        <v>377.95651200000003</v>
      </c>
    </row>
    <row r="102" spans="1:12" x14ac:dyDescent="0.25">
      <c r="A102" s="94" t="s">
        <v>163</v>
      </c>
      <c r="B102" t="s">
        <v>164</v>
      </c>
      <c r="E102" s="106">
        <v>649</v>
      </c>
      <c r="F102" s="195">
        <v>0</v>
      </c>
      <c r="G102" s="195">
        <f>+'Balans &amp; Res.rek'!G102</f>
        <v>0</v>
      </c>
      <c r="H102" s="195">
        <f>+'Balans &amp; Res.rek'!H102</f>
        <v>0</v>
      </c>
      <c r="I102" s="335">
        <f>+'Balans &amp; Res.rek'!I102</f>
        <v>0</v>
      </c>
      <c r="J102" s="277">
        <v>0</v>
      </c>
      <c r="K102" s="277">
        <v>0</v>
      </c>
      <c r="L102" s="277">
        <v>0</v>
      </c>
    </row>
    <row r="103" spans="1:12" x14ac:dyDescent="0.25">
      <c r="A103" s="94"/>
      <c r="E103" s="106"/>
      <c r="F103" s="195"/>
      <c r="G103" s="195"/>
      <c r="H103" s="195"/>
      <c r="I103" s="335"/>
      <c r="J103" s="277"/>
      <c r="K103" s="277"/>
      <c r="L103" s="277"/>
    </row>
    <row r="104" spans="1:12" x14ac:dyDescent="0.25">
      <c r="A104" s="108" t="s">
        <v>165</v>
      </c>
      <c r="E104" s="109">
        <v>9901</v>
      </c>
      <c r="F104" s="266">
        <f t="shared" ref="F104:L104" si="21">+F88-F94</f>
        <v>0</v>
      </c>
      <c r="G104" s="266">
        <f t="shared" si="21"/>
        <v>0</v>
      </c>
      <c r="H104" s="266">
        <f t="shared" si="21"/>
        <v>136251.64000000001</v>
      </c>
      <c r="I104" s="336">
        <f t="shared" si="21"/>
        <v>63922.340000000011</v>
      </c>
      <c r="J104" s="432">
        <f t="shared" si="21"/>
        <v>107746.75095238096</v>
      </c>
      <c r="K104" s="432">
        <f t="shared" si="21"/>
        <v>115118.6437650794</v>
      </c>
      <c r="L104" s="432">
        <f t="shared" si="21"/>
        <v>122944.79142239154</v>
      </c>
    </row>
    <row r="105" spans="1:12" x14ac:dyDescent="0.25">
      <c r="A105" s="94"/>
      <c r="E105" s="106"/>
      <c r="F105" s="195"/>
      <c r="G105" s="195"/>
      <c r="H105" s="195"/>
      <c r="I105" s="335"/>
      <c r="J105" s="277"/>
      <c r="K105" s="277"/>
      <c r="L105" s="277"/>
    </row>
    <row r="106" spans="1:12" x14ac:dyDescent="0.25">
      <c r="A106" s="108" t="s">
        <v>166</v>
      </c>
      <c r="E106" s="107">
        <v>75</v>
      </c>
      <c r="F106" s="185">
        <f t="shared" ref="F106:L106" si="22">SUM(F107:F109)</f>
        <v>0</v>
      </c>
      <c r="G106" s="185">
        <f t="shared" si="22"/>
        <v>0</v>
      </c>
      <c r="H106" s="185">
        <f t="shared" si="22"/>
        <v>1855.3</v>
      </c>
      <c r="I106" s="334">
        <f t="shared" si="22"/>
        <v>0.01</v>
      </c>
      <c r="J106" s="429">
        <f t="shared" si="22"/>
        <v>630.80539999999996</v>
      </c>
      <c r="K106" s="429">
        <f t="shared" si="22"/>
        <v>643.42150800000002</v>
      </c>
      <c r="L106" s="429">
        <f t="shared" si="22"/>
        <v>656.28993816000002</v>
      </c>
    </row>
    <row r="107" spans="1:12" x14ac:dyDescent="0.25">
      <c r="A107" s="94" t="s">
        <v>62</v>
      </c>
      <c r="B107" t="s">
        <v>167</v>
      </c>
      <c r="E107" s="106">
        <v>750</v>
      </c>
      <c r="F107" s="195">
        <v>0</v>
      </c>
      <c r="G107" s="195">
        <f>+'Balans &amp; Res.rek'!G108</f>
        <v>0</v>
      </c>
      <c r="H107" s="195">
        <f>+'Balans &amp; Res.rek'!H108</f>
        <v>1855.3</v>
      </c>
      <c r="I107" s="335">
        <f>+'Balans &amp; Res.rek'!I108</f>
        <v>0.01</v>
      </c>
      <c r="J107" s="277">
        <f>AVERAGE(G107:I107)*1.02</f>
        <v>630.80539999999996</v>
      </c>
      <c r="K107" s="277">
        <f t="shared" ref="K107:L109" si="23">+J107*1.02</f>
        <v>643.42150800000002</v>
      </c>
      <c r="L107" s="277">
        <f t="shared" si="23"/>
        <v>656.28993816000002</v>
      </c>
    </row>
    <row r="108" spans="1:12" x14ac:dyDescent="0.25">
      <c r="A108" s="94" t="s">
        <v>64</v>
      </c>
      <c r="B108" t="s">
        <v>168</v>
      </c>
      <c r="E108" s="106">
        <v>751</v>
      </c>
      <c r="F108" s="195">
        <v>0</v>
      </c>
      <c r="G108" s="195">
        <f>+'Balans &amp; Res.rek'!G109</f>
        <v>0</v>
      </c>
      <c r="H108" s="195">
        <f>+'Balans &amp; Res.rek'!H109</f>
        <v>0</v>
      </c>
      <c r="I108" s="335">
        <f>+'Balans &amp; Res.rek'!I109</f>
        <v>0</v>
      </c>
      <c r="J108" s="277">
        <f>AVERAGE(G108:I108)*1.02</f>
        <v>0</v>
      </c>
      <c r="K108" s="277">
        <f t="shared" si="23"/>
        <v>0</v>
      </c>
      <c r="L108" s="277">
        <f t="shared" si="23"/>
        <v>0</v>
      </c>
    </row>
    <row r="109" spans="1:12" x14ac:dyDescent="0.25">
      <c r="A109" s="94" t="s">
        <v>66</v>
      </c>
      <c r="B109" t="s">
        <v>169</v>
      </c>
      <c r="E109" s="106" t="s">
        <v>170</v>
      </c>
      <c r="F109" s="195">
        <v>0</v>
      </c>
      <c r="G109" s="195">
        <f>+'Balans &amp; Res.rek'!G110</f>
        <v>0</v>
      </c>
      <c r="H109" s="195">
        <f>+'Balans &amp; Res.rek'!H110</f>
        <v>0</v>
      </c>
      <c r="I109" s="335">
        <f>+'Balans &amp; Res.rek'!I110</f>
        <v>0</v>
      </c>
      <c r="J109" s="277">
        <f>AVERAGE(G109:I109)*1.02</f>
        <v>0</v>
      </c>
      <c r="K109" s="277">
        <f t="shared" si="23"/>
        <v>0</v>
      </c>
      <c r="L109" s="277">
        <f t="shared" si="23"/>
        <v>0</v>
      </c>
    </row>
    <row r="110" spans="1:12" x14ac:dyDescent="0.25">
      <c r="A110" s="94"/>
      <c r="E110" s="106"/>
      <c r="F110" s="195"/>
      <c r="G110" s="195"/>
      <c r="H110" s="195"/>
      <c r="I110" s="335"/>
      <c r="J110" s="277"/>
      <c r="K110" s="277"/>
      <c r="L110" s="277"/>
    </row>
    <row r="111" spans="1:12" x14ac:dyDescent="0.25">
      <c r="A111" s="108" t="s">
        <v>171</v>
      </c>
      <c r="E111" s="107">
        <v>65</v>
      </c>
      <c r="F111" s="185">
        <f t="shared" ref="F111:L111" si="24">SUM(F112:F114)</f>
        <v>0</v>
      </c>
      <c r="G111" s="185">
        <f t="shared" si="24"/>
        <v>0</v>
      </c>
      <c r="H111" s="185">
        <f t="shared" si="24"/>
        <v>17157.990000000002</v>
      </c>
      <c r="I111" s="334">
        <f t="shared" si="24"/>
        <v>9007.9447500000024</v>
      </c>
      <c r="J111" s="429">
        <f t="shared" si="24"/>
        <v>8882.9447500000024</v>
      </c>
      <c r="K111" s="429">
        <f t="shared" si="24"/>
        <v>8757.9447500000024</v>
      </c>
      <c r="L111" s="429">
        <f t="shared" si="24"/>
        <v>8632.9447500000024</v>
      </c>
    </row>
    <row r="112" spans="1:12" x14ac:dyDescent="0.25">
      <c r="A112" s="94" t="s">
        <v>62</v>
      </c>
      <c r="B112" t="s">
        <v>172</v>
      </c>
      <c r="E112" s="106">
        <v>650</v>
      </c>
      <c r="F112" s="195">
        <v>0</v>
      </c>
      <c r="G112" s="195">
        <f>+'Balans &amp; Res.rek'!G113</f>
        <v>0</v>
      </c>
      <c r="H112" s="195">
        <f>+'Balans &amp; Res.rek'!H113</f>
        <v>17157.990000000002</v>
      </c>
      <c r="I112" s="335">
        <f>H112*0.9/12*7</f>
        <v>9007.9447500000024</v>
      </c>
      <c r="J112" s="277">
        <f>+I112-125</f>
        <v>8882.9447500000024</v>
      </c>
      <c r="K112" s="277">
        <f>+J112-125</f>
        <v>8757.9447500000024</v>
      </c>
      <c r="L112" s="277">
        <f>+K112-125</f>
        <v>8632.9447500000024</v>
      </c>
    </row>
    <row r="113" spans="1:12" x14ac:dyDescent="0.25">
      <c r="A113" s="94" t="s">
        <v>64</v>
      </c>
      <c r="B113" t="s">
        <v>173</v>
      </c>
      <c r="E113" s="106">
        <v>651</v>
      </c>
      <c r="F113" s="195">
        <v>0</v>
      </c>
      <c r="G113" s="195">
        <f>+'Balans &amp; Res.rek'!G114</f>
        <v>0</v>
      </c>
      <c r="H113" s="195">
        <f>+'Balans &amp; Res.rek'!H114</f>
        <v>0</v>
      </c>
      <c r="I113" s="335">
        <f>+'Balans &amp; Res.rek'!I114</f>
        <v>0</v>
      </c>
      <c r="J113" s="277">
        <v>0</v>
      </c>
      <c r="K113" s="277">
        <v>0</v>
      </c>
      <c r="L113" s="277">
        <v>0</v>
      </c>
    </row>
    <row r="114" spans="1:12" x14ac:dyDescent="0.25">
      <c r="A114" s="94" t="s">
        <v>66</v>
      </c>
      <c r="B114" t="s">
        <v>174</v>
      </c>
      <c r="E114" s="106" t="s">
        <v>175</v>
      </c>
      <c r="F114" s="195">
        <v>0</v>
      </c>
      <c r="G114" s="195">
        <f>+'Balans &amp; Res.rek'!G115</f>
        <v>0</v>
      </c>
      <c r="H114" s="195">
        <f>+'Balans &amp; Res.rek'!H115</f>
        <v>0</v>
      </c>
      <c r="I114" s="335">
        <f>+'Balans &amp; Res.rek'!I115</f>
        <v>0</v>
      </c>
      <c r="J114" s="277">
        <f>(I114/I89)*J89</f>
        <v>0</v>
      </c>
      <c r="K114" s="277">
        <f>(J114/J89)*K89</f>
        <v>0</v>
      </c>
      <c r="L114" s="277">
        <f>(K114/K89)*L89</f>
        <v>0</v>
      </c>
    </row>
    <row r="115" spans="1:12" x14ac:dyDescent="0.25">
      <c r="A115" s="94"/>
      <c r="E115" s="106"/>
      <c r="F115" s="195"/>
      <c r="G115" s="195"/>
      <c r="H115" s="195"/>
      <c r="I115" s="335"/>
      <c r="J115" s="277"/>
      <c r="K115" s="277"/>
      <c r="L115" s="277"/>
    </row>
    <row r="116" spans="1:12" x14ac:dyDescent="0.25">
      <c r="A116" s="108" t="s">
        <v>176</v>
      </c>
      <c r="E116" s="109">
        <v>9902</v>
      </c>
      <c r="F116" s="266">
        <f t="shared" ref="F116:L116" si="25">+F104+F106-F111</f>
        <v>0</v>
      </c>
      <c r="G116" s="266">
        <f t="shared" si="25"/>
        <v>0</v>
      </c>
      <c r="H116" s="266">
        <f t="shared" si="25"/>
        <v>120948.95</v>
      </c>
      <c r="I116" s="336">
        <f t="shared" si="25"/>
        <v>54914.405250000011</v>
      </c>
      <c r="J116" s="432">
        <f t="shared" si="25"/>
        <v>99494.611602380959</v>
      </c>
      <c r="K116" s="432">
        <f t="shared" si="25"/>
        <v>107004.12052307939</v>
      </c>
      <c r="L116" s="432">
        <f t="shared" si="25"/>
        <v>114968.13661055153</v>
      </c>
    </row>
    <row r="117" spans="1:12" x14ac:dyDescent="0.25">
      <c r="A117" s="94"/>
      <c r="E117" s="106"/>
      <c r="F117" s="195"/>
      <c r="G117" s="195"/>
      <c r="H117" s="195"/>
      <c r="I117" s="335"/>
      <c r="J117" s="277"/>
      <c r="K117" s="277"/>
      <c r="L117" s="277"/>
    </row>
    <row r="118" spans="1:12" x14ac:dyDescent="0.25">
      <c r="A118" s="108" t="s">
        <v>177</v>
      </c>
      <c r="E118" s="107"/>
      <c r="F118" s="185">
        <f t="shared" ref="F118:L118" si="26">+F119-F120</f>
        <v>0</v>
      </c>
      <c r="G118" s="185">
        <f t="shared" si="26"/>
        <v>0</v>
      </c>
      <c r="H118" s="185">
        <f t="shared" si="26"/>
        <v>0</v>
      </c>
      <c r="I118" s="334">
        <f t="shared" si="26"/>
        <v>0</v>
      </c>
      <c r="J118" s="429">
        <f t="shared" si="26"/>
        <v>0</v>
      </c>
      <c r="K118" s="429">
        <f t="shared" si="26"/>
        <v>0</v>
      </c>
      <c r="L118" s="429">
        <f t="shared" si="26"/>
        <v>0</v>
      </c>
    </row>
    <row r="119" spans="1:12" x14ac:dyDescent="0.25">
      <c r="A119" s="94"/>
      <c r="B119" t="s">
        <v>178</v>
      </c>
      <c r="E119" s="106">
        <v>76</v>
      </c>
      <c r="F119" s="195">
        <v>0</v>
      </c>
      <c r="G119" s="195">
        <f>+'Balans &amp; Res.rek'!G120</f>
        <v>0</v>
      </c>
      <c r="H119" s="195">
        <f>+'Balans &amp; Res.rek'!H120</f>
        <v>0</v>
      </c>
      <c r="I119" s="335">
        <f>+'Balans &amp; Res.rek'!I120</f>
        <v>0</v>
      </c>
      <c r="J119" s="277">
        <v>0</v>
      </c>
      <c r="K119" s="277">
        <v>0</v>
      </c>
      <c r="L119" s="277">
        <f>+K119</f>
        <v>0</v>
      </c>
    </row>
    <row r="120" spans="1:12" x14ac:dyDescent="0.25">
      <c r="A120" s="94"/>
      <c r="B120" t="s">
        <v>179</v>
      </c>
      <c r="E120" s="106">
        <v>66</v>
      </c>
      <c r="F120" s="195">
        <v>0</v>
      </c>
      <c r="G120" s="195">
        <f>+'Balans &amp; Res.rek'!G121</f>
        <v>0</v>
      </c>
      <c r="H120" s="195">
        <f>+'Balans &amp; Res.rek'!H121</f>
        <v>0</v>
      </c>
      <c r="I120" s="335">
        <f>+'Balans &amp; Res.rek'!I121</f>
        <v>0</v>
      </c>
      <c r="J120" s="277">
        <v>0</v>
      </c>
      <c r="K120" s="277">
        <f>+J120</f>
        <v>0</v>
      </c>
      <c r="L120" s="277">
        <f>+K120</f>
        <v>0</v>
      </c>
    </row>
    <row r="121" spans="1:12" x14ac:dyDescent="0.25">
      <c r="A121" s="94"/>
      <c r="E121" s="106"/>
      <c r="F121" s="195"/>
      <c r="G121" s="195"/>
      <c r="H121" s="195"/>
      <c r="I121" s="335"/>
      <c r="J121" s="277"/>
      <c r="K121" s="277"/>
      <c r="L121" s="277"/>
    </row>
    <row r="122" spans="1:12" x14ac:dyDescent="0.25">
      <c r="A122" s="108" t="s">
        <v>176</v>
      </c>
      <c r="E122" s="109">
        <v>9903</v>
      </c>
      <c r="F122" s="266">
        <f t="shared" ref="F122:L122" si="27">+F116+F118</f>
        <v>0</v>
      </c>
      <c r="G122" s="266">
        <f t="shared" si="27"/>
        <v>0</v>
      </c>
      <c r="H122" s="266">
        <f t="shared" si="27"/>
        <v>120948.95</v>
      </c>
      <c r="I122" s="336">
        <f t="shared" si="27"/>
        <v>54914.405250000011</v>
      </c>
      <c r="J122" s="432">
        <f t="shared" si="27"/>
        <v>99494.611602380959</v>
      </c>
      <c r="K122" s="432">
        <f t="shared" si="27"/>
        <v>107004.12052307939</v>
      </c>
      <c r="L122" s="432">
        <f t="shared" si="27"/>
        <v>114968.13661055153</v>
      </c>
    </row>
    <row r="123" spans="1:12" x14ac:dyDescent="0.25">
      <c r="A123" s="108"/>
      <c r="E123" s="106"/>
      <c r="F123" s="195"/>
      <c r="G123" s="195"/>
      <c r="H123" s="195"/>
      <c r="I123" s="335"/>
      <c r="J123" s="277"/>
      <c r="K123" s="277"/>
      <c r="L123" s="277"/>
    </row>
    <row r="124" spans="1:12" x14ac:dyDescent="0.25">
      <c r="A124" s="10" t="s">
        <v>129</v>
      </c>
      <c r="E124" s="106" t="s">
        <v>180</v>
      </c>
      <c r="F124" s="195">
        <v>0</v>
      </c>
      <c r="G124" s="195">
        <f>+'Balans &amp; Res.rek'!G125</f>
        <v>0</v>
      </c>
      <c r="H124" s="195">
        <f>+'Balans &amp; Res.rek'!H125</f>
        <v>0</v>
      </c>
      <c r="I124" s="335">
        <f>+'Balans &amp; Res.rek'!I125</f>
        <v>0</v>
      </c>
      <c r="J124" s="277">
        <v>0</v>
      </c>
      <c r="K124" s="277">
        <v>0</v>
      </c>
      <c r="L124" s="277">
        <v>0</v>
      </c>
    </row>
    <row r="125" spans="1:12" x14ac:dyDescent="0.25">
      <c r="A125" s="10" t="s">
        <v>181</v>
      </c>
      <c r="E125" s="106" t="s">
        <v>182</v>
      </c>
      <c r="F125" s="195">
        <v>0</v>
      </c>
      <c r="G125" s="195">
        <f>+'Balans &amp; Res.rek'!G126</f>
        <v>0</v>
      </c>
      <c r="H125" s="195">
        <f>+'Balans &amp; Res.rek'!H126</f>
        <v>0</v>
      </c>
      <c r="I125" s="335">
        <f>+'Balans &amp; Res.rek'!I126</f>
        <v>0</v>
      </c>
      <c r="J125" s="277">
        <f>J122*0.25</f>
        <v>24873.65290059524</v>
      </c>
      <c r="K125" s="277">
        <f>K122*0.25</f>
        <v>26751.030130769846</v>
      </c>
      <c r="L125" s="277">
        <f>L122*0.25</f>
        <v>28742.034152637883</v>
      </c>
    </row>
    <row r="126" spans="1:12" x14ac:dyDescent="0.25">
      <c r="A126" s="94"/>
      <c r="E126" s="106"/>
      <c r="F126" s="195"/>
      <c r="G126" s="195"/>
      <c r="H126" s="195"/>
      <c r="I126" s="335"/>
      <c r="J126" s="277"/>
      <c r="K126" s="277"/>
      <c r="L126" s="277"/>
    </row>
    <row r="127" spans="1:12" x14ac:dyDescent="0.25">
      <c r="A127" s="108" t="s">
        <v>183</v>
      </c>
      <c r="E127" s="109">
        <v>9904</v>
      </c>
      <c r="F127" s="266">
        <f t="shared" ref="F127:L127" si="28">+F122-F125-F124</f>
        <v>0</v>
      </c>
      <c r="G127" s="266">
        <f t="shared" si="28"/>
        <v>0</v>
      </c>
      <c r="H127" s="266">
        <f t="shared" si="28"/>
        <v>120948.95</v>
      </c>
      <c r="I127" s="336">
        <f t="shared" si="28"/>
        <v>54914.405250000011</v>
      </c>
      <c r="J127" s="432">
        <f t="shared" si="28"/>
        <v>74620.958701785712</v>
      </c>
      <c r="K127" s="432">
        <f t="shared" si="28"/>
        <v>80253.090392309532</v>
      </c>
      <c r="L127" s="432">
        <f t="shared" si="28"/>
        <v>86226.102457913657</v>
      </c>
    </row>
    <row r="128" spans="1:12" x14ac:dyDescent="0.25">
      <c r="A128" s="108"/>
      <c r="E128" s="106"/>
      <c r="F128" s="195"/>
      <c r="G128" s="195"/>
      <c r="H128" s="195"/>
      <c r="I128" s="335"/>
      <c r="J128" s="277"/>
      <c r="K128" s="277"/>
      <c r="L128" s="277"/>
    </row>
    <row r="129" spans="1:12" x14ac:dyDescent="0.25">
      <c r="A129" s="10" t="s">
        <v>184</v>
      </c>
      <c r="E129" s="106"/>
      <c r="F129" s="185">
        <f t="shared" ref="F129:L129" si="29">+F130-F131</f>
        <v>0</v>
      </c>
      <c r="G129" s="185">
        <f t="shared" si="29"/>
        <v>0</v>
      </c>
      <c r="H129" s="185">
        <f t="shared" si="29"/>
        <v>0</v>
      </c>
      <c r="I129" s="334">
        <f t="shared" si="29"/>
        <v>0</v>
      </c>
      <c r="J129" s="429">
        <f t="shared" si="29"/>
        <v>0</v>
      </c>
      <c r="K129" s="429">
        <f t="shared" si="29"/>
        <v>0</v>
      </c>
      <c r="L129" s="429">
        <f t="shared" si="29"/>
        <v>0</v>
      </c>
    </row>
    <row r="130" spans="1:12" x14ac:dyDescent="0.25">
      <c r="A130" s="10"/>
      <c r="B130" t="s">
        <v>185</v>
      </c>
      <c r="E130" s="106">
        <v>789</v>
      </c>
      <c r="F130" s="195">
        <v>0</v>
      </c>
      <c r="G130" s="195">
        <v>0</v>
      </c>
      <c r="H130" s="195">
        <v>0</v>
      </c>
      <c r="I130" s="335">
        <v>0</v>
      </c>
      <c r="J130" s="277">
        <v>0</v>
      </c>
      <c r="K130" s="277">
        <v>0</v>
      </c>
      <c r="L130" s="277">
        <v>0</v>
      </c>
    </row>
    <row r="131" spans="1:12" x14ac:dyDescent="0.25">
      <c r="A131" s="94"/>
      <c r="B131" t="s">
        <v>186</v>
      </c>
      <c r="E131" s="106">
        <v>689</v>
      </c>
      <c r="F131" s="195">
        <v>0</v>
      </c>
      <c r="G131" s="195">
        <f>+'Balans &amp; Res.rek'!G132</f>
        <v>0</v>
      </c>
      <c r="H131" s="195">
        <f>+'Balans &amp; Res.rek'!H132</f>
        <v>0</v>
      </c>
      <c r="I131" s="335">
        <v>0</v>
      </c>
      <c r="J131" s="277">
        <v>0</v>
      </c>
      <c r="K131" s="277">
        <v>0</v>
      </c>
      <c r="L131" s="277">
        <v>0</v>
      </c>
    </row>
    <row r="132" spans="1:12" x14ac:dyDescent="0.25">
      <c r="A132" s="94"/>
      <c r="E132" s="106"/>
      <c r="F132" s="195"/>
      <c r="G132" s="195"/>
      <c r="H132" s="195"/>
      <c r="I132" s="335"/>
      <c r="J132" s="277"/>
      <c r="K132" s="277"/>
      <c r="L132" s="277"/>
    </row>
    <row r="133" spans="1:12" x14ac:dyDescent="0.25">
      <c r="A133" s="110" t="s">
        <v>187</v>
      </c>
      <c r="B133" s="111"/>
      <c r="C133" s="111"/>
      <c r="D133" s="111"/>
      <c r="E133" s="112">
        <v>9905</v>
      </c>
      <c r="F133" s="275">
        <f t="shared" ref="F133:L133" si="30">+F127+F129</f>
        <v>0</v>
      </c>
      <c r="G133" s="275">
        <f t="shared" si="30"/>
        <v>0</v>
      </c>
      <c r="H133" s="275">
        <f t="shared" si="30"/>
        <v>120948.95</v>
      </c>
      <c r="I133" s="337">
        <f t="shared" si="30"/>
        <v>54914.405250000011</v>
      </c>
      <c r="J133" s="428">
        <f t="shared" si="30"/>
        <v>74620.958701785712</v>
      </c>
      <c r="K133" s="428">
        <f t="shared" si="30"/>
        <v>80253.090392309532</v>
      </c>
      <c r="L133" s="428">
        <f t="shared" si="30"/>
        <v>86226.102457913657</v>
      </c>
    </row>
    <row r="135" spans="1:12" x14ac:dyDescent="0.25">
      <c r="A135" s="309" t="s">
        <v>190</v>
      </c>
      <c r="G135" s="114"/>
      <c r="H135" s="114"/>
      <c r="I135" s="114"/>
      <c r="J135" s="135"/>
      <c r="K135" s="135"/>
      <c r="L135" s="135"/>
    </row>
    <row r="136" spans="1:12" hidden="1" x14ac:dyDescent="0.25"/>
    <row r="137" spans="1:12" x14ac:dyDescent="0.25">
      <c r="A137" s="273" t="s">
        <v>145</v>
      </c>
      <c r="B137" s="273"/>
      <c r="C137" s="273"/>
      <c r="D137" s="273"/>
      <c r="E137" s="326"/>
      <c r="F137" s="273"/>
    </row>
    <row r="138" spans="1:12" x14ac:dyDescent="0.25">
      <c r="A138" s="327" t="s">
        <v>62</v>
      </c>
      <c r="B138" s="273" t="s">
        <v>147</v>
      </c>
      <c r="C138" s="273"/>
      <c r="D138" s="273"/>
      <c r="E138" s="326"/>
      <c r="F138" s="273"/>
    </row>
    <row r="139" spans="1:12" x14ac:dyDescent="0.25">
      <c r="A139" s="273"/>
      <c r="C139" s="273"/>
      <c r="D139" s="273"/>
      <c r="E139" s="326"/>
      <c r="F139" s="273"/>
    </row>
    <row r="140" spans="1:12" x14ac:dyDescent="0.25">
      <c r="A140" s="273"/>
      <c r="C140" s="273"/>
      <c r="D140" s="273"/>
      <c r="E140" s="326"/>
      <c r="F140" s="273"/>
    </row>
    <row r="141" spans="1:12" x14ac:dyDescent="0.25">
      <c r="A141" s="273"/>
      <c r="C141" s="273"/>
      <c r="D141" s="273"/>
      <c r="E141" s="326"/>
      <c r="F141" s="273"/>
    </row>
    <row r="142" spans="1:12" x14ac:dyDescent="0.25">
      <c r="A142" s="273" t="s">
        <v>151</v>
      </c>
      <c r="C142" s="273"/>
      <c r="D142" s="273"/>
      <c r="E142" s="326"/>
      <c r="F142" s="273"/>
    </row>
    <row r="143" spans="1:12" x14ac:dyDescent="0.25">
      <c r="A143" s="326" t="s">
        <v>64</v>
      </c>
      <c r="B143" s="448"/>
      <c r="C143" s="448"/>
      <c r="D143" s="448"/>
      <c r="E143" s="448"/>
      <c r="F143" s="448"/>
      <c r="G143" s="448"/>
      <c r="H143" s="448"/>
      <c r="I143" s="448"/>
      <c r="J143" s="448"/>
      <c r="K143" s="448"/>
    </row>
    <row r="144" spans="1:12" x14ac:dyDescent="0.25">
      <c r="A144" s="326"/>
      <c r="B144" s="448"/>
      <c r="C144" s="448"/>
      <c r="D144" s="448"/>
      <c r="E144" s="448"/>
      <c r="F144" s="448"/>
      <c r="G144" s="448"/>
      <c r="H144" s="448"/>
      <c r="I144" s="448"/>
      <c r="J144" s="448"/>
      <c r="K144" s="448"/>
    </row>
    <row r="145" spans="1:12" x14ac:dyDescent="0.25">
      <c r="A145" s="326" t="s">
        <v>66</v>
      </c>
      <c r="C145" s="273"/>
      <c r="D145" s="273"/>
      <c r="E145" s="326"/>
      <c r="F145" s="273"/>
    </row>
    <row r="146" spans="1:12" x14ac:dyDescent="0.25">
      <c r="A146" s="326" t="s">
        <v>68</v>
      </c>
      <c r="B146" s="462"/>
      <c r="C146" s="448"/>
      <c r="D146" s="448"/>
      <c r="E146" s="448"/>
      <c r="F146" s="448"/>
      <c r="G146" s="448"/>
      <c r="H146" s="448"/>
      <c r="I146" s="448"/>
      <c r="J146" s="448"/>
      <c r="K146" s="448"/>
    </row>
    <row r="147" spans="1:12" x14ac:dyDescent="0.25">
      <c r="A147" s="326"/>
      <c r="B147" s="448"/>
      <c r="C147" s="448"/>
      <c r="D147" s="448"/>
      <c r="E147" s="448"/>
      <c r="F147" s="448"/>
      <c r="G147" s="448"/>
      <c r="H147" s="448"/>
      <c r="I147" s="448"/>
      <c r="J147" s="448"/>
      <c r="K147" s="448"/>
    </row>
    <row r="148" spans="1:12" x14ac:dyDescent="0.25">
      <c r="A148" s="83" t="s">
        <v>191</v>
      </c>
      <c r="B148" s="273"/>
      <c r="C148" s="273"/>
      <c r="D148" s="328"/>
      <c r="E148" s="326"/>
      <c r="G148" s="273"/>
    </row>
    <row r="149" spans="1:12" x14ac:dyDescent="0.25">
      <c r="A149" s="58"/>
      <c r="B149" s="273"/>
      <c r="C149" s="273"/>
      <c r="D149" s="328"/>
      <c r="E149" s="326"/>
      <c r="G149" s="273"/>
    </row>
    <row r="150" spans="1:12" x14ac:dyDescent="0.25">
      <c r="A150" s="273" t="s">
        <v>171</v>
      </c>
      <c r="C150" s="462"/>
      <c r="D150" s="448"/>
      <c r="E150" s="448"/>
      <c r="F150" s="448"/>
      <c r="G150" s="448"/>
      <c r="H150" s="448"/>
      <c r="I150" s="448"/>
      <c r="J150" s="448"/>
      <c r="K150" s="448"/>
      <c r="L150" s="9"/>
    </row>
    <row r="151" spans="1:12" x14ac:dyDescent="0.25">
      <c r="A151" s="273"/>
      <c r="C151" s="448"/>
      <c r="D151" s="448"/>
      <c r="E151" s="448"/>
      <c r="F151" s="448"/>
      <c r="G151" s="448"/>
      <c r="H151" s="448"/>
      <c r="I151" s="448"/>
      <c r="J151" s="448"/>
      <c r="K151" s="448"/>
      <c r="L151" s="9">
        <v>9</v>
      </c>
    </row>
  </sheetData>
  <mergeCells count="6">
    <mergeCell ref="C150:K151"/>
    <mergeCell ref="A86:D86"/>
    <mergeCell ref="A3:D3"/>
    <mergeCell ref="A43:D43"/>
    <mergeCell ref="B146:K147"/>
    <mergeCell ref="B143:K144"/>
  </mergeCells>
  <pageMargins left="0.70866141732283472" right="0.70866141732283472" top="0.74803149606299213" bottom="0.74803149606299213" header="0.31496062992125984" footer="0.31496062992125984"/>
  <pageSetup paperSize="9" scale="97" firstPageNumber="23" fitToHeight="0" orientation="portrait" useFirstPageNumber="1" r:id="rId1"/>
  <headerFooter>
    <oddHeader>&amp;R&amp;D</oddHeader>
  </headerFooter>
  <rowBreaks count="1" manualBreakCount="1">
    <brk id="151" max="16383"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G223"/>
  <sheetViews>
    <sheetView view="pageLayout" topLeftCell="A90" zoomScaleNormal="100" workbookViewId="0">
      <selection activeCell="H19" sqref="H19"/>
    </sheetView>
  </sheetViews>
  <sheetFormatPr defaultRowHeight="15.75" x14ac:dyDescent="0.25"/>
  <cols>
    <col min="1" max="1" width="8.5703125" style="69" customWidth="1"/>
    <col min="2" max="2" width="5.7109375" style="69" customWidth="1"/>
    <col min="3" max="4" width="16.140625" style="69" customWidth="1"/>
    <col min="5" max="5" width="7.28515625" style="69" customWidth="1"/>
    <col min="6" max="6" width="20.7109375" style="69" customWidth="1"/>
    <col min="7" max="7" width="13.28515625" style="69" customWidth="1"/>
    <col min="8" max="9" width="6.42578125" style="69" customWidth="1"/>
    <col min="10" max="10" width="15.140625" style="69" customWidth="1"/>
    <col min="11" max="11" width="12.140625" style="69" customWidth="1"/>
    <col min="12" max="252" width="8.85546875" style="69"/>
    <col min="253" max="253" width="11.5703125" style="69" customWidth="1"/>
    <col min="254" max="254" width="17" style="69" customWidth="1"/>
    <col min="255" max="255" width="8.85546875" style="69"/>
    <col min="256" max="256" width="2.85546875" style="69" customWidth="1"/>
    <col min="257" max="257" width="14.140625" style="69" customWidth="1"/>
    <col min="258" max="258" width="15.42578125" style="69" customWidth="1"/>
    <col min="259" max="259" width="13.5703125" style="69" customWidth="1"/>
    <col min="260" max="260" width="13.85546875" style="69" customWidth="1"/>
    <col min="261" max="261" width="13.140625" style="69" customWidth="1"/>
    <col min="262" max="262" width="14.85546875" style="69" bestFit="1" customWidth="1"/>
    <col min="263" max="263" width="2.7109375" style="69" customWidth="1"/>
    <col min="264" max="264" width="8.85546875" style="69"/>
    <col min="265" max="265" width="10.85546875" style="69" customWidth="1"/>
    <col min="266" max="266" width="7.85546875" style="69" customWidth="1"/>
    <col min="267" max="267" width="11.28515625" style="69" customWidth="1"/>
    <col min="268" max="508" width="8.85546875" style="69"/>
    <col min="509" max="509" width="11.5703125" style="69" customWidth="1"/>
    <col min="510" max="510" width="17" style="69" customWidth="1"/>
    <col min="511" max="511" width="8.85546875" style="69"/>
    <col min="512" max="512" width="2.85546875" style="69" customWidth="1"/>
    <col min="513" max="513" width="14.140625" style="69" customWidth="1"/>
    <col min="514" max="514" width="15.42578125" style="69" customWidth="1"/>
    <col min="515" max="515" width="13.5703125" style="69" customWidth="1"/>
    <col min="516" max="516" width="13.85546875" style="69" customWidth="1"/>
    <col min="517" max="517" width="13.140625" style="69" customWidth="1"/>
    <col min="518" max="518" width="14.85546875" style="69" bestFit="1" customWidth="1"/>
    <col min="519" max="519" width="2.7109375" style="69" customWidth="1"/>
    <col min="520" max="520" width="8.85546875" style="69"/>
    <col min="521" max="521" width="10.85546875" style="69" customWidth="1"/>
    <col min="522" max="522" width="7.85546875" style="69" customWidth="1"/>
    <col min="523" max="523" width="11.28515625" style="69" customWidth="1"/>
    <col min="524" max="764" width="8.85546875" style="69"/>
    <col min="765" max="765" width="11.5703125" style="69" customWidth="1"/>
    <col min="766" max="766" width="17" style="69" customWidth="1"/>
    <col min="767" max="767" width="8.85546875" style="69"/>
    <col min="768" max="768" width="2.85546875" style="69" customWidth="1"/>
    <col min="769" max="769" width="14.140625" style="69" customWidth="1"/>
    <col min="770" max="770" width="15.42578125" style="69" customWidth="1"/>
    <col min="771" max="771" width="13.5703125" style="69" customWidth="1"/>
    <col min="772" max="772" width="13.85546875" style="69" customWidth="1"/>
    <col min="773" max="773" width="13.140625" style="69" customWidth="1"/>
    <col min="774" max="774" width="14.85546875" style="69" bestFit="1" customWidth="1"/>
    <col min="775" max="775" width="2.7109375" style="69" customWidth="1"/>
    <col min="776" max="776" width="8.85546875" style="69"/>
    <col min="777" max="777" width="10.85546875" style="69" customWidth="1"/>
    <col min="778" max="778" width="7.85546875" style="69" customWidth="1"/>
    <col min="779" max="779" width="11.28515625" style="69" customWidth="1"/>
    <col min="780" max="1020" width="8.85546875" style="69"/>
    <col min="1021" max="1021" width="11.5703125" style="69" customWidth="1"/>
    <col min="1022" max="1022" width="17" style="69" customWidth="1"/>
    <col min="1023" max="1023" width="8.85546875" style="69"/>
    <col min="1024" max="1024" width="2.85546875" style="69" customWidth="1"/>
    <col min="1025" max="1025" width="14.140625" style="69" customWidth="1"/>
    <col min="1026" max="1026" width="15.42578125" style="69" customWidth="1"/>
    <col min="1027" max="1027" width="13.5703125" style="69" customWidth="1"/>
    <col min="1028" max="1028" width="13.85546875" style="69" customWidth="1"/>
    <col min="1029" max="1029" width="13.140625" style="69" customWidth="1"/>
    <col min="1030" max="1030" width="14.85546875" style="69" bestFit="1" customWidth="1"/>
    <col min="1031" max="1031" width="2.7109375" style="69" customWidth="1"/>
    <col min="1032" max="1032" width="8.85546875" style="69"/>
    <col min="1033" max="1033" width="10.85546875" style="69" customWidth="1"/>
    <col min="1034" max="1034" width="7.85546875" style="69" customWidth="1"/>
    <col min="1035" max="1035" width="11.28515625" style="69" customWidth="1"/>
    <col min="1036" max="1276" width="8.85546875" style="69"/>
    <col min="1277" max="1277" width="11.5703125" style="69" customWidth="1"/>
    <col min="1278" max="1278" width="17" style="69" customWidth="1"/>
    <col min="1279" max="1279" width="8.85546875" style="69"/>
    <col min="1280" max="1280" width="2.85546875" style="69" customWidth="1"/>
    <col min="1281" max="1281" width="14.140625" style="69" customWidth="1"/>
    <col min="1282" max="1282" width="15.42578125" style="69" customWidth="1"/>
    <col min="1283" max="1283" width="13.5703125" style="69" customWidth="1"/>
    <col min="1284" max="1284" width="13.85546875" style="69" customWidth="1"/>
    <col min="1285" max="1285" width="13.140625" style="69" customWidth="1"/>
    <col min="1286" max="1286" width="14.85546875" style="69" bestFit="1" customWidth="1"/>
    <col min="1287" max="1287" width="2.7109375" style="69" customWidth="1"/>
    <col min="1288" max="1288" width="8.85546875" style="69"/>
    <col min="1289" max="1289" width="10.85546875" style="69" customWidth="1"/>
    <col min="1290" max="1290" width="7.85546875" style="69" customWidth="1"/>
    <col min="1291" max="1291" width="11.28515625" style="69" customWidth="1"/>
    <col min="1292" max="1532" width="8.85546875" style="69"/>
    <col min="1533" max="1533" width="11.5703125" style="69" customWidth="1"/>
    <col min="1534" max="1534" width="17" style="69" customWidth="1"/>
    <col min="1535" max="1535" width="8.85546875" style="69"/>
    <col min="1536" max="1536" width="2.85546875" style="69" customWidth="1"/>
    <col min="1537" max="1537" width="14.140625" style="69" customWidth="1"/>
    <col min="1538" max="1538" width="15.42578125" style="69" customWidth="1"/>
    <col min="1539" max="1539" width="13.5703125" style="69" customWidth="1"/>
    <col min="1540" max="1540" width="13.85546875" style="69" customWidth="1"/>
    <col min="1541" max="1541" width="13.140625" style="69" customWidth="1"/>
    <col min="1542" max="1542" width="14.85546875" style="69" bestFit="1" customWidth="1"/>
    <col min="1543" max="1543" width="2.7109375" style="69" customWidth="1"/>
    <col min="1544" max="1544" width="8.85546875" style="69"/>
    <col min="1545" max="1545" width="10.85546875" style="69" customWidth="1"/>
    <col min="1546" max="1546" width="7.85546875" style="69" customWidth="1"/>
    <col min="1547" max="1547" width="11.28515625" style="69" customWidth="1"/>
    <col min="1548" max="1788" width="8.85546875" style="69"/>
    <col min="1789" max="1789" width="11.5703125" style="69" customWidth="1"/>
    <col min="1790" max="1790" width="17" style="69" customWidth="1"/>
    <col min="1791" max="1791" width="8.85546875" style="69"/>
    <col min="1792" max="1792" width="2.85546875" style="69" customWidth="1"/>
    <col min="1793" max="1793" width="14.140625" style="69" customWidth="1"/>
    <col min="1794" max="1794" width="15.42578125" style="69" customWidth="1"/>
    <col min="1795" max="1795" width="13.5703125" style="69" customWidth="1"/>
    <col min="1796" max="1796" width="13.85546875" style="69" customWidth="1"/>
    <col min="1797" max="1797" width="13.140625" style="69" customWidth="1"/>
    <col min="1798" max="1798" width="14.85546875" style="69" bestFit="1" customWidth="1"/>
    <col min="1799" max="1799" width="2.7109375" style="69" customWidth="1"/>
    <col min="1800" max="1800" width="8.85546875" style="69"/>
    <col min="1801" max="1801" width="10.85546875" style="69" customWidth="1"/>
    <col min="1802" max="1802" width="7.85546875" style="69" customWidth="1"/>
    <col min="1803" max="1803" width="11.28515625" style="69" customWidth="1"/>
    <col min="1804" max="2044" width="8.85546875" style="69"/>
    <col min="2045" max="2045" width="11.5703125" style="69" customWidth="1"/>
    <col min="2046" max="2046" width="17" style="69" customWidth="1"/>
    <col min="2047" max="2047" width="8.85546875" style="69"/>
    <col min="2048" max="2048" width="2.85546875" style="69" customWidth="1"/>
    <col min="2049" max="2049" width="14.140625" style="69" customWidth="1"/>
    <col min="2050" max="2050" width="15.42578125" style="69" customWidth="1"/>
    <col min="2051" max="2051" width="13.5703125" style="69" customWidth="1"/>
    <col min="2052" max="2052" width="13.85546875" style="69" customWidth="1"/>
    <col min="2053" max="2053" width="13.140625" style="69" customWidth="1"/>
    <col min="2054" max="2054" width="14.85546875" style="69" bestFit="1" customWidth="1"/>
    <col min="2055" max="2055" width="2.7109375" style="69" customWidth="1"/>
    <col min="2056" max="2056" width="8.85546875" style="69"/>
    <col min="2057" max="2057" width="10.85546875" style="69" customWidth="1"/>
    <col min="2058" max="2058" width="7.85546875" style="69" customWidth="1"/>
    <col min="2059" max="2059" width="11.28515625" style="69" customWidth="1"/>
    <col min="2060" max="2300" width="8.85546875" style="69"/>
    <col min="2301" max="2301" width="11.5703125" style="69" customWidth="1"/>
    <col min="2302" max="2302" width="17" style="69" customWidth="1"/>
    <col min="2303" max="2303" width="8.85546875" style="69"/>
    <col min="2304" max="2304" width="2.85546875" style="69" customWidth="1"/>
    <col min="2305" max="2305" width="14.140625" style="69" customWidth="1"/>
    <col min="2306" max="2306" width="15.42578125" style="69" customWidth="1"/>
    <col min="2307" max="2307" width="13.5703125" style="69" customWidth="1"/>
    <col min="2308" max="2308" width="13.85546875" style="69" customWidth="1"/>
    <col min="2309" max="2309" width="13.140625" style="69" customWidth="1"/>
    <col min="2310" max="2310" width="14.85546875" style="69" bestFit="1" customWidth="1"/>
    <col min="2311" max="2311" width="2.7109375" style="69" customWidth="1"/>
    <col min="2312" max="2312" width="8.85546875" style="69"/>
    <col min="2313" max="2313" width="10.85546875" style="69" customWidth="1"/>
    <col min="2314" max="2314" width="7.85546875" style="69" customWidth="1"/>
    <col min="2315" max="2315" width="11.28515625" style="69" customWidth="1"/>
    <col min="2316" max="2556" width="8.85546875" style="69"/>
    <col min="2557" max="2557" width="11.5703125" style="69" customWidth="1"/>
    <col min="2558" max="2558" width="17" style="69" customWidth="1"/>
    <col min="2559" max="2559" width="8.85546875" style="69"/>
    <col min="2560" max="2560" width="2.85546875" style="69" customWidth="1"/>
    <col min="2561" max="2561" width="14.140625" style="69" customWidth="1"/>
    <col min="2562" max="2562" width="15.42578125" style="69" customWidth="1"/>
    <col min="2563" max="2563" width="13.5703125" style="69" customWidth="1"/>
    <col min="2564" max="2564" width="13.85546875" style="69" customWidth="1"/>
    <col min="2565" max="2565" width="13.140625" style="69" customWidth="1"/>
    <col min="2566" max="2566" width="14.85546875" style="69" bestFit="1" customWidth="1"/>
    <col min="2567" max="2567" width="2.7109375" style="69" customWidth="1"/>
    <col min="2568" max="2568" width="8.85546875" style="69"/>
    <col min="2569" max="2569" width="10.85546875" style="69" customWidth="1"/>
    <col min="2570" max="2570" width="7.85546875" style="69" customWidth="1"/>
    <col min="2571" max="2571" width="11.28515625" style="69" customWidth="1"/>
    <col min="2572" max="2812" width="8.85546875" style="69"/>
    <col min="2813" max="2813" width="11.5703125" style="69" customWidth="1"/>
    <col min="2814" max="2814" width="17" style="69" customWidth="1"/>
    <col min="2815" max="2815" width="8.85546875" style="69"/>
    <col min="2816" max="2816" width="2.85546875" style="69" customWidth="1"/>
    <col min="2817" max="2817" width="14.140625" style="69" customWidth="1"/>
    <col min="2818" max="2818" width="15.42578125" style="69" customWidth="1"/>
    <col min="2819" max="2819" width="13.5703125" style="69" customWidth="1"/>
    <col min="2820" max="2820" width="13.85546875" style="69" customWidth="1"/>
    <col min="2821" max="2821" width="13.140625" style="69" customWidth="1"/>
    <col min="2822" max="2822" width="14.85546875" style="69" bestFit="1" customWidth="1"/>
    <col min="2823" max="2823" width="2.7109375" style="69" customWidth="1"/>
    <col min="2824" max="2824" width="8.85546875" style="69"/>
    <col min="2825" max="2825" width="10.85546875" style="69" customWidth="1"/>
    <col min="2826" max="2826" width="7.85546875" style="69" customWidth="1"/>
    <col min="2827" max="2827" width="11.28515625" style="69" customWidth="1"/>
    <col min="2828" max="3068" width="8.85546875" style="69"/>
    <col min="3069" max="3069" width="11.5703125" style="69" customWidth="1"/>
    <col min="3070" max="3070" width="17" style="69" customWidth="1"/>
    <col min="3071" max="3071" width="8.85546875" style="69"/>
    <col min="3072" max="3072" width="2.85546875" style="69" customWidth="1"/>
    <col min="3073" max="3073" width="14.140625" style="69" customWidth="1"/>
    <col min="3074" max="3074" width="15.42578125" style="69" customWidth="1"/>
    <col min="3075" max="3075" width="13.5703125" style="69" customWidth="1"/>
    <col min="3076" max="3076" width="13.85546875" style="69" customWidth="1"/>
    <col min="3077" max="3077" width="13.140625" style="69" customWidth="1"/>
    <col min="3078" max="3078" width="14.85546875" style="69" bestFit="1" customWidth="1"/>
    <col min="3079" max="3079" width="2.7109375" style="69" customWidth="1"/>
    <col min="3080" max="3080" width="8.85546875" style="69"/>
    <col min="3081" max="3081" width="10.85546875" style="69" customWidth="1"/>
    <col min="3082" max="3082" width="7.85546875" style="69" customWidth="1"/>
    <col min="3083" max="3083" width="11.28515625" style="69" customWidth="1"/>
    <col min="3084" max="3324" width="8.85546875" style="69"/>
    <col min="3325" max="3325" width="11.5703125" style="69" customWidth="1"/>
    <col min="3326" max="3326" width="17" style="69" customWidth="1"/>
    <col min="3327" max="3327" width="8.85546875" style="69"/>
    <col min="3328" max="3328" width="2.85546875" style="69" customWidth="1"/>
    <col min="3329" max="3329" width="14.140625" style="69" customWidth="1"/>
    <col min="3330" max="3330" width="15.42578125" style="69" customWidth="1"/>
    <col min="3331" max="3331" width="13.5703125" style="69" customWidth="1"/>
    <col min="3332" max="3332" width="13.85546875" style="69" customWidth="1"/>
    <col min="3333" max="3333" width="13.140625" style="69" customWidth="1"/>
    <col min="3334" max="3334" width="14.85546875" style="69" bestFit="1" customWidth="1"/>
    <col min="3335" max="3335" width="2.7109375" style="69" customWidth="1"/>
    <col min="3336" max="3336" width="8.85546875" style="69"/>
    <col min="3337" max="3337" width="10.85546875" style="69" customWidth="1"/>
    <col min="3338" max="3338" width="7.85546875" style="69" customWidth="1"/>
    <col min="3339" max="3339" width="11.28515625" style="69" customWidth="1"/>
    <col min="3340" max="3580" width="8.85546875" style="69"/>
    <col min="3581" max="3581" width="11.5703125" style="69" customWidth="1"/>
    <col min="3582" max="3582" width="17" style="69" customWidth="1"/>
    <col min="3583" max="3583" width="8.85546875" style="69"/>
    <col min="3584" max="3584" width="2.85546875" style="69" customWidth="1"/>
    <col min="3585" max="3585" width="14.140625" style="69" customWidth="1"/>
    <col min="3586" max="3586" width="15.42578125" style="69" customWidth="1"/>
    <col min="3587" max="3587" width="13.5703125" style="69" customWidth="1"/>
    <col min="3588" max="3588" width="13.85546875" style="69" customWidth="1"/>
    <col min="3589" max="3589" width="13.140625" style="69" customWidth="1"/>
    <col min="3590" max="3590" width="14.85546875" style="69" bestFit="1" customWidth="1"/>
    <col min="3591" max="3591" width="2.7109375" style="69" customWidth="1"/>
    <col min="3592" max="3592" width="8.85546875" style="69"/>
    <col min="3593" max="3593" width="10.85546875" style="69" customWidth="1"/>
    <col min="3594" max="3594" width="7.85546875" style="69" customWidth="1"/>
    <col min="3595" max="3595" width="11.28515625" style="69" customWidth="1"/>
    <col min="3596" max="3836" width="8.85546875" style="69"/>
    <col min="3837" max="3837" width="11.5703125" style="69" customWidth="1"/>
    <col min="3838" max="3838" width="17" style="69" customWidth="1"/>
    <col min="3839" max="3839" width="8.85546875" style="69"/>
    <col min="3840" max="3840" width="2.85546875" style="69" customWidth="1"/>
    <col min="3841" max="3841" width="14.140625" style="69" customWidth="1"/>
    <col min="3842" max="3842" width="15.42578125" style="69" customWidth="1"/>
    <col min="3843" max="3843" width="13.5703125" style="69" customWidth="1"/>
    <col min="3844" max="3844" width="13.85546875" style="69" customWidth="1"/>
    <col min="3845" max="3845" width="13.140625" style="69" customWidth="1"/>
    <col min="3846" max="3846" width="14.85546875" style="69" bestFit="1" customWidth="1"/>
    <col min="3847" max="3847" width="2.7109375" style="69" customWidth="1"/>
    <col min="3848" max="3848" width="8.85546875" style="69"/>
    <col min="3849" max="3849" width="10.85546875" style="69" customWidth="1"/>
    <col min="3850" max="3850" width="7.85546875" style="69" customWidth="1"/>
    <col min="3851" max="3851" width="11.28515625" style="69" customWidth="1"/>
    <col min="3852" max="4092" width="8.85546875" style="69"/>
    <col min="4093" max="4093" width="11.5703125" style="69" customWidth="1"/>
    <col min="4094" max="4094" width="17" style="69" customWidth="1"/>
    <col min="4095" max="4095" width="8.85546875" style="69"/>
    <col min="4096" max="4096" width="2.85546875" style="69" customWidth="1"/>
    <col min="4097" max="4097" width="14.140625" style="69" customWidth="1"/>
    <col min="4098" max="4098" width="15.42578125" style="69" customWidth="1"/>
    <col min="4099" max="4099" width="13.5703125" style="69" customWidth="1"/>
    <col min="4100" max="4100" width="13.85546875" style="69" customWidth="1"/>
    <col min="4101" max="4101" width="13.140625" style="69" customWidth="1"/>
    <col min="4102" max="4102" width="14.85546875" style="69" bestFit="1" customWidth="1"/>
    <col min="4103" max="4103" width="2.7109375" style="69" customWidth="1"/>
    <col min="4104" max="4104" width="8.85546875" style="69"/>
    <col min="4105" max="4105" width="10.85546875" style="69" customWidth="1"/>
    <col min="4106" max="4106" width="7.85546875" style="69" customWidth="1"/>
    <col min="4107" max="4107" width="11.28515625" style="69" customWidth="1"/>
    <col min="4108" max="4348" width="8.85546875" style="69"/>
    <col min="4349" max="4349" width="11.5703125" style="69" customWidth="1"/>
    <col min="4350" max="4350" width="17" style="69" customWidth="1"/>
    <col min="4351" max="4351" width="8.85546875" style="69"/>
    <col min="4352" max="4352" width="2.85546875" style="69" customWidth="1"/>
    <col min="4353" max="4353" width="14.140625" style="69" customWidth="1"/>
    <col min="4354" max="4354" width="15.42578125" style="69" customWidth="1"/>
    <col min="4355" max="4355" width="13.5703125" style="69" customWidth="1"/>
    <col min="4356" max="4356" width="13.85546875" style="69" customWidth="1"/>
    <col min="4357" max="4357" width="13.140625" style="69" customWidth="1"/>
    <col min="4358" max="4358" width="14.85546875" style="69" bestFit="1" customWidth="1"/>
    <col min="4359" max="4359" width="2.7109375" style="69" customWidth="1"/>
    <col min="4360" max="4360" width="8.85546875" style="69"/>
    <col min="4361" max="4361" width="10.85546875" style="69" customWidth="1"/>
    <col min="4362" max="4362" width="7.85546875" style="69" customWidth="1"/>
    <col min="4363" max="4363" width="11.28515625" style="69" customWidth="1"/>
    <col min="4364" max="4604" width="8.85546875" style="69"/>
    <col min="4605" max="4605" width="11.5703125" style="69" customWidth="1"/>
    <col min="4606" max="4606" width="17" style="69" customWidth="1"/>
    <col min="4607" max="4607" width="8.85546875" style="69"/>
    <col min="4608" max="4608" width="2.85546875" style="69" customWidth="1"/>
    <col min="4609" max="4609" width="14.140625" style="69" customWidth="1"/>
    <col min="4610" max="4610" width="15.42578125" style="69" customWidth="1"/>
    <col min="4611" max="4611" width="13.5703125" style="69" customWidth="1"/>
    <col min="4612" max="4612" width="13.85546875" style="69" customWidth="1"/>
    <col min="4613" max="4613" width="13.140625" style="69" customWidth="1"/>
    <col min="4614" max="4614" width="14.85546875" style="69" bestFit="1" customWidth="1"/>
    <col min="4615" max="4615" width="2.7109375" style="69" customWidth="1"/>
    <col min="4616" max="4616" width="8.85546875" style="69"/>
    <col min="4617" max="4617" width="10.85546875" style="69" customWidth="1"/>
    <col min="4618" max="4618" width="7.85546875" style="69" customWidth="1"/>
    <col min="4619" max="4619" width="11.28515625" style="69" customWidth="1"/>
    <col min="4620" max="4860" width="8.85546875" style="69"/>
    <col min="4861" max="4861" width="11.5703125" style="69" customWidth="1"/>
    <col min="4862" max="4862" width="17" style="69" customWidth="1"/>
    <col min="4863" max="4863" width="8.85546875" style="69"/>
    <col min="4864" max="4864" width="2.85546875" style="69" customWidth="1"/>
    <col min="4865" max="4865" width="14.140625" style="69" customWidth="1"/>
    <col min="4866" max="4866" width="15.42578125" style="69" customWidth="1"/>
    <col min="4867" max="4867" width="13.5703125" style="69" customWidth="1"/>
    <col min="4868" max="4868" width="13.85546875" style="69" customWidth="1"/>
    <col min="4869" max="4869" width="13.140625" style="69" customWidth="1"/>
    <col min="4870" max="4870" width="14.85546875" style="69" bestFit="1" customWidth="1"/>
    <col min="4871" max="4871" width="2.7109375" style="69" customWidth="1"/>
    <col min="4872" max="4872" width="8.85546875" style="69"/>
    <col min="4873" max="4873" width="10.85546875" style="69" customWidth="1"/>
    <col min="4874" max="4874" width="7.85546875" style="69" customWidth="1"/>
    <col min="4875" max="4875" width="11.28515625" style="69" customWidth="1"/>
    <col min="4876" max="5116" width="8.85546875" style="69"/>
    <col min="5117" max="5117" width="11.5703125" style="69" customWidth="1"/>
    <col min="5118" max="5118" width="17" style="69" customWidth="1"/>
    <col min="5119" max="5119" width="8.85546875" style="69"/>
    <col min="5120" max="5120" width="2.85546875" style="69" customWidth="1"/>
    <col min="5121" max="5121" width="14.140625" style="69" customWidth="1"/>
    <col min="5122" max="5122" width="15.42578125" style="69" customWidth="1"/>
    <col min="5123" max="5123" width="13.5703125" style="69" customWidth="1"/>
    <col min="5124" max="5124" width="13.85546875" style="69" customWidth="1"/>
    <col min="5125" max="5125" width="13.140625" style="69" customWidth="1"/>
    <col min="5126" max="5126" width="14.85546875" style="69" bestFit="1" customWidth="1"/>
    <col min="5127" max="5127" width="2.7109375" style="69" customWidth="1"/>
    <col min="5128" max="5128" width="8.85546875" style="69"/>
    <col min="5129" max="5129" width="10.85546875" style="69" customWidth="1"/>
    <col min="5130" max="5130" width="7.85546875" style="69" customWidth="1"/>
    <col min="5131" max="5131" width="11.28515625" style="69" customWidth="1"/>
    <col min="5132" max="5372" width="8.85546875" style="69"/>
    <col min="5373" max="5373" width="11.5703125" style="69" customWidth="1"/>
    <col min="5374" max="5374" width="17" style="69" customWidth="1"/>
    <col min="5375" max="5375" width="8.85546875" style="69"/>
    <col min="5376" max="5376" width="2.85546875" style="69" customWidth="1"/>
    <col min="5377" max="5377" width="14.140625" style="69" customWidth="1"/>
    <col min="5378" max="5378" width="15.42578125" style="69" customWidth="1"/>
    <col min="5379" max="5379" width="13.5703125" style="69" customWidth="1"/>
    <col min="5380" max="5380" width="13.85546875" style="69" customWidth="1"/>
    <col min="5381" max="5381" width="13.140625" style="69" customWidth="1"/>
    <col min="5382" max="5382" width="14.85546875" style="69" bestFit="1" customWidth="1"/>
    <col min="5383" max="5383" width="2.7109375" style="69" customWidth="1"/>
    <col min="5384" max="5384" width="8.85546875" style="69"/>
    <col min="5385" max="5385" width="10.85546875" style="69" customWidth="1"/>
    <col min="5386" max="5386" width="7.85546875" style="69" customWidth="1"/>
    <col min="5387" max="5387" width="11.28515625" style="69" customWidth="1"/>
    <col min="5388" max="5628" width="8.85546875" style="69"/>
    <col min="5629" max="5629" width="11.5703125" style="69" customWidth="1"/>
    <col min="5630" max="5630" width="17" style="69" customWidth="1"/>
    <col min="5631" max="5631" width="8.85546875" style="69"/>
    <col min="5632" max="5632" width="2.85546875" style="69" customWidth="1"/>
    <col min="5633" max="5633" width="14.140625" style="69" customWidth="1"/>
    <col min="5634" max="5634" width="15.42578125" style="69" customWidth="1"/>
    <col min="5635" max="5635" width="13.5703125" style="69" customWidth="1"/>
    <col min="5636" max="5636" width="13.85546875" style="69" customWidth="1"/>
    <col min="5637" max="5637" width="13.140625" style="69" customWidth="1"/>
    <col min="5638" max="5638" width="14.85546875" style="69" bestFit="1" customWidth="1"/>
    <col min="5639" max="5639" width="2.7109375" style="69" customWidth="1"/>
    <col min="5640" max="5640" width="8.85546875" style="69"/>
    <col min="5641" max="5641" width="10.85546875" style="69" customWidth="1"/>
    <col min="5642" max="5642" width="7.85546875" style="69" customWidth="1"/>
    <col min="5643" max="5643" width="11.28515625" style="69" customWidth="1"/>
    <col min="5644" max="5884" width="8.85546875" style="69"/>
    <col min="5885" max="5885" width="11.5703125" style="69" customWidth="1"/>
    <col min="5886" max="5886" width="17" style="69" customWidth="1"/>
    <col min="5887" max="5887" width="8.85546875" style="69"/>
    <col min="5888" max="5888" width="2.85546875" style="69" customWidth="1"/>
    <col min="5889" max="5889" width="14.140625" style="69" customWidth="1"/>
    <col min="5890" max="5890" width="15.42578125" style="69" customWidth="1"/>
    <col min="5891" max="5891" width="13.5703125" style="69" customWidth="1"/>
    <col min="5892" max="5892" width="13.85546875" style="69" customWidth="1"/>
    <col min="5893" max="5893" width="13.140625" style="69" customWidth="1"/>
    <col min="5894" max="5894" width="14.85546875" style="69" bestFit="1" customWidth="1"/>
    <col min="5895" max="5895" width="2.7109375" style="69" customWidth="1"/>
    <col min="5896" max="5896" width="8.85546875" style="69"/>
    <col min="5897" max="5897" width="10.85546875" style="69" customWidth="1"/>
    <col min="5898" max="5898" width="7.85546875" style="69" customWidth="1"/>
    <col min="5899" max="5899" width="11.28515625" style="69" customWidth="1"/>
    <col min="5900" max="6140" width="8.85546875" style="69"/>
    <col min="6141" max="6141" width="11.5703125" style="69" customWidth="1"/>
    <col min="6142" max="6142" width="17" style="69" customWidth="1"/>
    <col min="6143" max="6143" width="8.85546875" style="69"/>
    <col min="6144" max="6144" width="2.85546875" style="69" customWidth="1"/>
    <col min="6145" max="6145" width="14.140625" style="69" customWidth="1"/>
    <col min="6146" max="6146" width="15.42578125" style="69" customWidth="1"/>
    <col min="6147" max="6147" width="13.5703125" style="69" customWidth="1"/>
    <col min="6148" max="6148" width="13.85546875" style="69" customWidth="1"/>
    <col min="6149" max="6149" width="13.140625" style="69" customWidth="1"/>
    <col min="6150" max="6150" width="14.85546875" style="69" bestFit="1" customWidth="1"/>
    <col min="6151" max="6151" width="2.7109375" style="69" customWidth="1"/>
    <col min="6152" max="6152" width="8.85546875" style="69"/>
    <col min="6153" max="6153" width="10.85546875" style="69" customWidth="1"/>
    <col min="6154" max="6154" width="7.85546875" style="69" customWidth="1"/>
    <col min="6155" max="6155" width="11.28515625" style="69" customWidth="1"/>
    <col min="6156" max="6396" width="8.85546875" style="69"/>
    <col min="6397" max="6397" width="11.5703125" style="69" customWidth="1"/>
    <col min="6398" max="6398" width="17" style="69" customWidth="1"/>
    <col min="6399" max="6399" width="8.85546875" style="69"/>
    <col min="6400" max="6400" width="2.85546875" style="69" customWidth="1"/>
    <col min="6401" max="6401" width="14.140625" style="69" customWidth="1"/>
    <col min="6402" max="6402" width="15.42578125" style="69" customWidth="1"/>
    <col min="6403" max="6403" width="13.5703125" style="69" customWidth="1"/>
    <col min="6404" max="6404" width="13.85546875" style="69" customWidth="1"/>
    <col min="6405" max="6405" width="13.140625" style="69" customWidth="1"/>
    <col min="6406" max="6406" width="14.85546875" style="69" bestFit="1" customWidth="1"/>
    <col min="6407" max="6407" width="2.7109375" style="69" customWidth="1"/>
    <col min="6408" max="6408" width="8.85546875" style="69"/>
    <col min="6409" max="6409" width="10.85546875" style="69" customWidth="1"/>
    <col min="6410" max="6410" width="7.85546875" style="69" customWidth="1"/>
    <col min="6411" max="6411" width="11.28515625" style="69" customWidth="1"/>
    <col min="6412" max="6652" width="8.85546875" style="69"/>
    <col min="6653" max="6653" width="11.5703125" style="69" customWidth="1"/>
    <col min="6654" max="6654" width="17" style="69" customWidth="1"/>
    <col min="6655" max="6655" width="8.85546875" style="69"/>
    <col min="6656" max="6656" width="2.85546875" style="69" customWidth="1"/>
    <col min="6657" max="6657" width="14.140625" style="69" customWidth="1"/>
    <col min="6658" max="6658" width="15.42578125" style="69" customWidth="1"/>
    <col min="6659" max="6659" width="13.5703125" style="69" customWidth="1"/>
    <col min="6660" max="6660" width="13.85546875" style="69" customWidth="1"/>
    <col min="6661" max="6661" width="13.140625" style="69" customWidth="1"/>
    <col min="6662" max="6662" width="14.85546875" style="69" bestFit="1" customWidth="1"/>
    <col min="6663" max="6663" width="2.7109375" style="69" customWidth="1"/>
    <col min="6664" max="6664" width="8.85546875" style="69"/>
    <col min="6665" max="6665" width="10.85546875" style="69" customWidth="1"/>
    <col min="6666" max="6666" width="7.85546875" style="69" customWidth="1"/>
    <col min="6667" max="6667" width="11.28515625" style="69" customWidth="1"/>
    <col min="6668" max="6908" width="8.85546875" style="69"/>
    <col min="6909" max="6909" width="11.5703125" style="69" customWidth="1"/>
    <col min="6910" max="6910" width="17" style="69" customWidth="1"/>
    <col min="6911" max="6911" width="8.85546875" style="69"/>
    <col min="6912" max="6912" width="2.85546875" style="69" customWidth="1"/>
    <col min="6913" max="6913" width="14.140625" style="69" customWidth="1"/>
    <col min="6914" max="6914" width="15.42578125" style="69" customWidth="1"/>
    <col min="6915" max="6915" width="13.5703125" style="69" customWidth="1"/>
    <col min="6916" max="6916" width="13.85546875" style="69" customWidth="1"/>
    <col min="6917" max="6917" width="13.140625" style="69" customWidth="1"/>
    <col min="6918" max="6918" width="14.85546875" style="69" bestFit="1" customWidth="1"/>
    <col min="6919" max="6919" width="2.7109375" style="69" customWidth="1"/>
    <col min="6920" max="6920" width="8.85546875" style="69"/>
    <col min="6921" max="6921" width="10.85546875" style="69" customWidth="1"/>
    <col min="6922" max="6922" width="7.85546875" style="69" customWidth="1"/>
    <col min="6923" max="6923" width="11.28515625" style="69" customWidth="1"/>
    <col min="6924" max="7164" width="8.85546875" style="69"/>
    <col min="7165" max="7165" width="11.5703125" style="69" customWidth="1"/>
    <col min="7166" max="7166" width="17" style="69" customWidth="1"/>
    <col min="7167" max="7167" width="8.85546875" style="69"/>
    <col min="7168" max="7168" width="2.85546875" style="69" customWidth="1"/>
    <col min="7169" max="7169" width="14.140625" style="69" customWidth="1"/>
    <col min="7170" max="7170" width="15.42578125" style="69" customWidth="1"/>
    <col min="7171" max="7171" width="13.5703125" style="69" customWidth="1"/>
    <col min="7172" max="7172" width="13.85546875" style="69" customWidth="1"/>
    <col min="7173" max="7173" width="13.140625" style="69" customWidth="1"/>
    <col min="7174" max="7174" width="14.85546875" style="69" bestFit="1" customWidth="1"/>
    <col min="7175" max="7175" width="2.7109375" style="69" customWidth="1"/>
    <col min="7176" max="7176" width="8.85546875" style="69"/>
    <col min="7177" max="7177" width="10.85546875" style="69" customWidth="1"/>
    <col min="7178" max="7178" width="7.85546875" style="69" customWidth="1"/>
    <col min="7179" max="7179" width="11.28515625" style="69" customWidth="1"/>
    <col min="7180" max="7420" width="8.85546875" style="69"/>
    <col min="7421" max="7421" width="11.5703125" style="69" customWidth="1"/>
    <col min="7422" max="7422" width="17" style="69" customWidth="1"/>
    <col min="7423" max="7423" width="8.85546875" style="69"/>
    <col min="7424" max="7424" width="2.85546875" style="69" customWidth="1"/>
    <col min="7425" max="7425" width="14.140625" style="69" customWidth="1"/>
    <col min="7426" max="7426" width="15.42578125" style="69" customWidth="1"/>
    <col min="7427" max="7427" width="13.5703125" style="69" customWidth="1"/>
    <col min="7428" max="7428" width="13.85546875" style="69" customWidth="1"/>
    <col min="7429" max="7429" width="13.140625" style="69" customWidth="1"/>
    <col min="7430" max="7430" width="14.85546875" style="69" bestFit="1" customWidth="1"/>
    <col min="7431" max="7431" width="2.7109375" style="69" customWidth="1"/>
    <col min="7432" max="7432" width="8.85546875" style="69"/>
    <col min="7433" max="7433" width="10.85546875" style="69" customWidth="1"/>
    <col min="7434" max="7434" width="7.85546875" style="69" customWidth="1"/>
    <col min="7435" max="7435" width="11.28515625" style="69" customWidth="1"/>
    <col min="7436" max="7676" width="8.85546875" style="69"/>
    <col min="7677" max="7677" width="11.5703125" style="69" customWidth="1"/>
    <col min="7678" max="7678" width="17" style="69" customWidth="1"/>
    <col min="7679" max="7679" width="8.85546875" style="69"/>
    <col min="7680" max="7680" width="2.85546875" style="69" customWidth="1"/>
    <col min="7681" max="7681" width="14.140625" style="69" customWidth="1"/>
    <col min="7682" max="7682" width="15.42578125" style="69" customWidth="1"/>
    <col min="7683" max="7683" width="13.5703125" style="69" customWidth="1"/>
    <col min="7684" max="7684" width="13.85546875" style="69" customWidth="1"/>
    <col min="7685" max="7685" width="13.140625" style="69" customWidth="1"/>
    <col min="7686" max="7686" width="14.85546875" style="69" bestFit="1" customWidth="1"/>
    <col min="7687" max="7687" width="2.7109375" style="69" customWidth="1"/>
    <col min="7688" max="7688" width="8.85546875" style="69"/>
    <col min="7689" max="7689" width="10.85546875" style="69" customWidth="1"/>
    <col min="7690" max="7690" width="7.85546875" style="69" customWidth="1"/>
    <col min="7691" max="7691" width="11.28515625" style="69" customWidth="1"/>
    <col min="7692" max="7932" width="8.85546875" style="69"/>
    <col min="7933" max="7933" width="11.5703125" style="69" customWidth="1"/>
    <col min="7934" max="7934" width="17" style="69" customWidth="1"/>
    <col min="7935" max="7935" width="8.85546875" style="69"/>
    <col min="7936" max="7936" width="2.85546875" style="69" customWidth="1"/>
    <col min="7937" max="7937" width="14.140625" style="69" customWidth="1"/>
    <col min="7938" max="7938" width="15.42578125" style="69" customWidth="1"/>
    <col min="7939" max="7939" width="13.5703125" style="69" customWidth="1"/>
    <col min="7940" max="7940" width="13.85546875" style="69" customWidth="1"/>
    <col min="7941" max="7941" width="13.140625" style="69" customWidth="1"/>
    <col min="7942" max="7942" width="14.85546875" style="69" bestFit="1" customWidth="1"/>
    <col min="7943" max="7943" width="2.7109375" style="69" customWidth="1"/>
    <col min="7944" max="7944" width="8.85546875" style="69"/>
    <col min="7945" max="7945" width="10.85546875" style="69" customWidth="1"/>
    <col min="7946" max="7946" width="7.85546875" style="69" customWidth="1"/>
    <col min="7947" max="7947" width="11.28515625" style="69" customWidth="1"/>
    <col min="7948" max="8188" width="8.85546875" style="69"/>
    <col min="8189" max="8189" width="11.5703125" style="69" customWidth="1"/>
    <col min="8190" max="8190" width="17" style="69" customWidth="1"/>
    <col min="8191" max="8191" width="8.85546875" style="69"/>
    <col min="8192" max="8192" width="2.85546875" style="69" customWidth="1"/>
    <col min="8193" max="8193" width="14.140625" style="69" customWidth="1"/>
    <col min="8194" max="8194" width="15.42578125" style="69" customWidth="1"/>
    <col min="8195" max="8195" width="13.5703125" style="69" customWidth="1"/>
    <col min="8196" max="8196" width="13.85546875" style="69" customWidth="1"/>
    <col min="8197" max="8197" width="13.140625" style="69" customWidth="1"/>
    <col min="8198" max="8198" width="14.85546875" style="69" bestFit="1" customWidth="1"/>
    <col min="8199" max="8199" width="2.7109375" style="69" customWidth="1"/>
    <col min="8200" max="8200" width="8.85546875" style="69"/>
    <col min="8201" max="8201" width="10.85546875" style="69" customWidth="1"/>
    <col min="8202" max="8202" width="7.85546875" style="69" customWidth="1"/>
    <col min="8203" max="8203" width="11.28515625" style="69" customWidth="1"/>
    <col min="8204" max="8444" width="8.85546875" style="69"/>
    <col min="8445" max="8445" width="11.5703125" style="69" customWidth="1"/>
    <col min="8446" max="8446" width="17" style="69" customWidth="1"/>
    <col min="8447" max="8447" width="8.85546875" style="69"/>
    <col min="8448" max="8448" width="2.85546875" style="69" customWidth="1"/>
    <col min="8449" max="8449" width="14.140625" style="69" customWidth="1"/>
    <col min="8450" max="8450" width="15.42578125" style="69" customWidth="1"/>
    <col min="8451" max="8451" width="13.5703125" style="69" customWidth="1"/>
    <col min="8452" max="8452" width="13.85546875" style="69" customWidth="1"/>
    <col min="8453" max="8453" width="13.140625" style="69" customWidth="1"/>
    <col min="8454" max="8454" width="14.85546875" style="69" bestFit="1" customWidth="1"/>
    <col min="8455" max="8455" width="2.7109375" style="69" customWidth="1"/>
    <col min="8456" max="8456" width="8.85546875" style="69"/>
    <col min="8457" max="8457" width="10.85546875" style="69" customWidth="1"/>
    <col min="8458" max="8458" width="7.85546875" style="69" customWidth="1"/>
    <col min="8459" max="8459" width="11.28515625" style="69" customWidth="1"/>
    <col min="8460" max="8700" width="8.85546875" style="69"/>
    <col min="8701" max="8701" width="11.5703125" style="69" customWidth="1"/>
    <col min="8702" max="8702" width="17" style="69" customWidth="1"/>
    <col min="8703" max="8703" width="8.85546875" style="69"/>
    <col min="8704" max="8704" width="2.85546875" style="69" customWidth="1"/>
    <col min="8705" max="8705" width="14.140625" style="69" customWidth="1"/>
    <col min="8706" max="8706" width="15.42578125" style="69" customWidth="1"/>
    <col min="8707" max="8707" width="13.5703125" style="69" customWidth="1"/>
    <col min="8708" max="8708" width="13.85546875" style="69" customWidth="1"/>
    <col min="8709" max="8709" width="13.140625" style="69" customWidth="1"/>
    <col min="8710" max="8710" width="14.85546875" style="69" bestFit="1" customWidth="1"/>
    <col min="8711" max="8711" width="2.7109375" style="69" customWidth="1"/>
    <col min="8712" max="8712" width="8.85546875" style="69"/>
    <col min="8713" max="8713" width="10.85546875" style="69" customWidth="1"/>
    <col min="8714" max="8714" width="7.85546875" style="69" customWidth="1"/>
    <col min="8715" max="8715" width="11.28515625" style="69" customWidth="1"/>
    <col min="8716" max="8956" width="8.85546875" style="69"/>
    <col min="8957" max="8957" width="11.5703125" style="69" customWidth="1"/>
    <col min="8958" max="8958" width="17" style="69" customWidth="1"/>
    <col min="8959" max="8959" width="8.85546875" style="69"/>
    <col min="8960" max="8960" width="2.85546875" style="69" customWidth="1"/>
    <col min="8961" max="8961" width="14.140625" style="69" customWidth="1"/>
    <col min="8962" max="8962" width="15.42578125" style="69" customWidth="1"/>
    <col min="8963" max="8963" width="13.5703125" style="69" customWidth="1"/>
    <col min="8964" max="8964" width="13.85546875" style="69" customWidth="1"/>
    <col min="8965" max="8965" width="13.140625" style="69" customWidth="1"/>
    <col min="8966" max="8966" width="14.85546875" style="69" bestFit="1" customWidth="1"/>
    <col min="8967" max="8967" width="2.7109375" style="69" customWidth="1"/>
    <col min="8968" max="8968" width="8.85546875" style="69"/>
    <col min="8969" max="8969" width="10.85546875" style="69" customWidth="1"/>
    <col min="8970" max="8970" width="7.85546875" style="69" customWidth="1"/>
    <col min="8971" max="8971" width="11.28515625" style="69" customWidth="1"/>
    <col min="8972" max="9212" width="8.85546875" style="69"/>
    <col min="9213" max="9213" width="11.5703125" style="69" customWidth="1"/>
    <col min="9214" max="9214" width="17" style="69" customWidth="1"/>
    <col min="9215" max="9215" width="8.85546875" style="69"/>
    <col min="9216" max="9216" width="2.85546875" style="69" customWidth="1"/>
    <col min="9217" max="9217" width="14.140625" style="69" customWidth="1"/>
    <col min="9218" max="9218" width="15.42578125" style="69" customWidth="1"/>
    <col min="9219" max="9219" width="13.5703125" style="69" customWidth="1"/>
    <col min="9220" max="9220" width="13.85546875" style="69" customWidth="1"/>
    <col min="9221" max="9221" width="13.140625" style="69" customWidth="1"/>
    <col min="9222" max="9222" width="14.85546875" style="69" bestFit="1" customWidth="1"/>
    <col min="9223" max="9223" width="2.7109375" style="69" customWidth="1"/>
    <col min="9224" max="9224" width="8.85546875" style="69"/>
    <col min="9225" max="9225" width="10.85546875" style="69" customWidth="1"/>
    <col min="9226" max="9226" width="7.85546875" style="69" customWidth="1"/>
    <col min="9227" max="9227" width="11.28515625" style="69" customWidth="1"/>
    <col min="9228" max="9468" width="8.85546875" style="69"/>
    <col min="9469" max="9469" width="11.5703125" style="69" customWidth="1"/>
    <col min="9470" max="9470" width="17" style="69" customWidth="1"/>
    <col min="9471" max="9471" width="8.85546875" style="69"/>
    <col min="9472" max="9472" width="2.85546875" style="69" customWidth="1"/>
    <col min="9473" max="9473" width="14.140625" style="69" customWidth="1"/>
    <col min="9474" max="9474" width="15.42578125" style="69" customWidth="1"/>
    <col min="9475" max="9475" width="13.5703125" style="69" customWidth="1"/>
    <col min="9476" max="9476" width="13.85546875" style="69" customWidth="1"/>
    <col min="9477" max="9477" width="13.140625" style="69" customWidth="1"/>
    <col min="9478" max="9478" width="14.85546875" style="69" bestFit="1" customWidth="1"/>
    <col min="9479" max="9479" width="2.7109375" style="69" customWidth="1"/>
    <col min="9480" max="9480" width="8.85546875" style="69"/>
    <col min="9481" max="9481" width="10.85546875" style="69" customWidth="1"/>
    <col min="9482" max="9482" width="7.85546875" style="69" customWidth="1"/>
    <col min="9483" max="9483" width="11.28515625" style="69" customWidth="1"/>
    <col min="9484" max="9724" width="8.85546875" style="69"/>
    <col min="9725" max="9725" width="11.5703125" style="69" customWidth="1"/>
    <col min="9726" max="9726" width="17" style="69" customWidth="1"/>
    <col min="9727" max="9727" width="8.85546875" style="69"/>
    <col min="9728" max="9728" width="2.85546875" style="69" customWidth="1"/>
    <col min="9729" max="9729" width="14.140625" style="69" customWidth="1"/>
    <col min="9730" max="9730" width="15.42578125" style="69" customWidth="1"/>
    <col min="9731" max="9731" width="13.5703125" style="69" customWidth="1"/>
    <col min="9732" max="9732" width="13.85546875" style="69" customWidth="1"/>
    <col min="9733" max="9733" width="13.140625" style="69" customWidth="1"/>
    <col min="9734" max="9734" width="14.85546875" style="69" bestFit="1" customWidth="1"/>
    <col min="9735" max="9735" width="2.7109375" style="69" customWidth="1"/>
    <col min="9736" max="9736" width="8.85546875" style="69"/>
    <col min="9737" max="9737" width="10.85546875" style="69" customWidth="1"/>
    <col min="9738" max="9738" width="7.85546875" style="69" customWidth="1"/>
    <col min="9739" max="9739" width="11.28515625" style="69" customWidth="1"/>
    <col min="9740" max="9980" width="8.85546875" style="69"/>
    <col min="9981" max="9981" width="11.5703125" style="69" customWidth="1"/>
    <col min="9982" max="9982" width="17" style="69" customWidth="1"/>
    <col min="9983" max="9983" width="8.85546875" style="69"/>
    <col min="9984" max="9984" width="2.85546875" style="69" customWidth="1"/>
    <col min="9985" max="9985" width="14.140625" style="69" customWidth="1"/>
    <col min="9986" max="9986" width="15.42578125" style="69" customWidth="1"/>
    <col min="9987" max="9987" width="13.5703125" style="69" customWidth="1"/>
    <col min="9988" max="9988" width="13.85546875" style="69" customWidth="1"/>
    <col min="9989" max="9989" width="13.140625" style="69" customWidth="1"/>
    <col min="9990" max="9990" width="14.85546875" style="69" bestFit="1" customWidth="1"/>
    <col min="9991" max="9991" width="2.7109375" style="69" customWidth="1"/>
    <col min="9992" max="9992" width="8.85546875" style="69"/>
    <col min="9993" max="9993" width="10.85546875" style="69" customWidth="1"/>
    <col min="9994" max="9994" width="7.85546875" style="69" customWidth="1"/>
    <col min="9995" max="9995" width="11.28515625" style="69" customWidth="1"/>
    <col min="9996" max="10236" width="8.85546875" style="69"/>
    <col min="10237" max="10237" width="11.5703125" style="69" customWidth="1"/>
    <col min="10238" max="10238" width="17" style="69" customWidth="1"/>
    <col min="10239" max="10239" width="8.85546875" style="69"/>
    <col min="10240" max="10240" width="2.85546875" style="69" customWidth="1"/>
    <col min="10241" max="10241" width="14.140625" style="69" customWidth="1"/>
    <col min="10242" max="10242" width="15.42578125" style="69" customWidth="1"/>
    <col min="10243" max="10243" width="13.5703125" style="69" customWidth="1"/>
    <col min="10244" max="10244" width="13.85546875" style="69" customWidth="1"/>
    <col min="10245" max="10245" width="13.140625" style="69" customWidth="1"/>
    <col min="10246" max="10246" width="14.85546875" style="69" bestFit="1" customWidth="1"/>
    <col min="10247" max="10247" width="2.7109375" style="69" customWidth="1"/>
    <col min="10248" max="10248" width="8.85546875" style="69"/>
    <col min="10249" max="10249" width="10.85546875" style="69" customWidth="1"/>
    <col min="10250" max="10250" width="7.85546875" style="69" customWidth="1"/>
    <col min="10251" max="10251" width="11.28515625" style="69" customWidth="1"/>
    <col min="10252" max="10492" width="8.85546875" style="69"/>
    <col min="10493" max="10493" width="11.5703125" style="69" customWidth="1"/>
    <col min="10494" max="10494" width="17" style="69" customWidth="1"/>
    <col min="10495" max="10495" width="8.85546875" style="69"/>
    <col min="10496" max="10496" width="2.85546875" style="69" customWidth="1"/>
    <col min="10497" max="10497" width="14.140625" style="69" customWidth="1"/>
    <col min="10498" max="10498" width="15.42578125" style="69" customWidth="1"/>
    <col min="10499" max="10499" width="13.5703125" style="69" customWidth="1"/>
    <col min="10500" max="10500" width="13.85546875" style="69" customWidth="1"/>
    <col min="10501" max="10501" width="13.140625" style="69" customWidth="1"/>
    <col min="10502" max="10502" width="14.85546875" style="69" bestFit="1" customWidth="1"/>
    <col min="10503" max="10503" width="2.7109375" style="69" customWidth="1"/>
    <col min="10504" max="10504" width="8.85546875" style="69"/>
    <col min="10505" max="10505" width="10.85546875" style="69" customWidth="1"/>
    <col min="10506" max="10506" width="7.85546875" style="69" customWidth="1"/>
    <col min="10507" max="10507" width="11.28515625" style="69" customWidth="1"/>
    <col min="10508" max="10748" width="8.85546875" style="69"/>
    <col min="10749" max="10749" width="11.5703125" style="69" customWidth="1"/>
    <col min="10750" max="10750" width="17" style="69" customWidth="1"/>
    <col min="10751" max="10751" width="8.85546875" style="69"/>
    <col min="10752" max="10752" width="2.85546875" style="69" customWidth="1"/>
    <col min="10753" max="10753" width="14.140625" style="69" customWidth="1"/>
    <col min="10754" max="10754" width="15.42578125" style="69" customWidth="1"/>
    <col min="10755" max="10755" width="13.5703125" style="69" customWidth="1"/>
    <col min="10756" max="10756" width="13.85546875" style="69" customWidth="1"/>
    <col min="10757" max="10757" width="13.140625" style="69" customWidth="1"/>
    <col min="10758" max="10758" width="14.85546875" style="69" bestFit="1" customWidth="1"/>
    <col min="10759" max="10759" width="2.7109375" style="69" customWidth="1"/>
    <col min="10760" max="10760" width="8.85546875" style="69"/>
    <col min="10761" max="10761" width="10.85546875" style="69" customWidth="1"/>
    <col min="10762" max="10762" width="7.85546875" style="69" customWidth="1"/>
    <col min="10763" max="10763" width="11.28515625" style="69" customWidth="1"/>
    <col min="10764" max="11004" width="8.85546875" style="69"/>
    <col min="11005" max="11005" width="11.5703125" style="69" customWidth="1"/>
    <col min="11006" max="11006" width="17" style="69" customWidth="1"/>
    <col min="11007" max="11007" width="8.85546875" style="69"/>
    <col min="11008" max="11008" width="2.85546875" style="69" customWidth="1"/>
    <col min="11009" max="11009" width="14.140625" style="69" customWidth="1"/>
    <col min="11010" max="11010" width="15.42578125" style="69" customWidth="1"/>
    <col min="11011" max="11011" width="13.5703125" style="69" customWidth="1"/>
    <col min="11012" max="11012" width="13.85546875" style="69" customWidth="1"/>
    <col min="11013" max="11013" width="13.140625" style="69" customWidth="1"/>
    <col min="11014" max="11014" width="14.85546875" style="69" bestFit="1" customWidth="1"/>
    <col min="11015" max="11015" width="2.7109375" style="69" customWidth="1"/>
    <col min="11016" max="11016" width="8.85546875" style="69"/>
    <col min="11017" max="11017" width="10.85546875" style="69" customWidth="1"/>
    <col min="11018" max="11018" width="7.85546875" style="69" customWidth="1"/>
    <col min="11019" max="11019" width="11.28515625" style="69" customWidth="1"/>
    <col min="11020" max="11260" width="8.85546875" style="69"/>
    <col min="11261" max="11261" width="11.5703125" style="69" customWidth="1"/>
    <col min="11262" max="11262" width="17" style="69" customWidth="1"/>
    <col min="11263" max="11263" width="8.85546875" style="69"/>
    <col min="11264" max="11264" width="2.85546875" style="69" customWidth="1"/>
    <col min="11265" max="11265" width="14.140625" style="69" customWidth="1"/>
    <col min="11266" max="11266" width="15.42578125" style="69" customWidth="1"/>
    <col min="11267" max="11267" width="13.5703125" style="69" customWidth="1"/>
    <col min="11268" max="11268" width="13.85546875" style="69" customWidth="1"/>
    <col min="11269" max="11269" width="13.140625" style="69" customWidth="1"/>
    <col min="11270" max="11270" width="14.85546875" style="69" bestFit="1" customWidth="1"/>
    <col min="11271" max="11271" width="2.7109375" style="69" customWidth="1"/>
    <col min="11272" max="11272" width="8.85546875" style="69"/>
    <col min="11273" max="11273" width="10.85546875" style="69" customWidth="1"/>
    <col min="11274" max="11274" width="7.85546875" style="69" customWidth="1"/>
    <col min="11275" max="11275" width="11.28515625" style="69" customWidth="1"/>
    <col min="11276" max="11516" width="8.85546875" style="69"/>
    <col min="11517" max="11517" width="11.5703125" style="69" customWidth="1"/>
    <col min="11518" max="11518" width="17" style="69" customWidth="1"/>
    <col min="11519" max="11519" width="8.85546875" style="69"/>
    <col min="11520" max="11520" width="2.85546875" style="69" customWidth="1"/>
    <col min="11521" max="11521" width="14.140625" style="69" customWidth="1"/>
    <col min="11522" max="11522" width="15.42578125" style="69" customWidth="1"/>
    <col min="11523" max="11523" width="13.5703125" style="69" customWidth="1"/>
    <col min="11524" max="11524" width="13.85546875" style="69" customWidth="1"/>
    <col min="11525" max="11525" width="13.140625" style="69" customWidth="1"/>
    <col min="11526" max="11526" width="14.85546875" style="69" bestFit="1" customWidth="1"/>
    <col min="11527" max="11527" width="2.7109375" style="69" customWidth="1"/>
    <col min="11528" max="11528" width="8.85546875" style="69"/>
    <col min="11529" max="11529" width="10.85546875" style="69" customWidth="1"/>
    <col min="11530" max="11530" width="7.85546875" style="69" customWidth="1"/>
    <col min="11531" max="11531" width="11.28515625" style="69" customWidth="1"/>
    <col min="11532" max="11772" width="8.85546875" style="69"/>
    <col min="11773" max="11773" width="11.5703125" style="69" customWidth="1"/>
    <col min="11774" max="11774" width="17" style="69" customWidth="1"/>
    <col min="11775" max="11775" width="8.85546875" style="69"/>
    <col min="11776" max="11776" width="2.85546875" style="69" customWidth="1"/>
    <col min="11777" max="11777" width="14.140625" style="69" customWidth="1"/>
    <col min="11778" max="11778" width="15.42578125" style="69" customWidth="1"/>
    <col min="11779" max="11779" width="13.5703125" style="69" customWidth="1"/>
    <col min="11780" max="11780" width="13.85546875" style="69" customWidth="1"/>
    <col min="11781" max="11781" width="13.140625" style="69" customWidth="1"/>
    <col min="11782" max="11782" width="14.85546875" style="69" bestFit="1" customWidth="1"/>
    <col min="11783" max="11783" width="2.7109375" style="69" customWidth="1"/>
    <col min="11784" max="11784" width="8.85546875" style="69"/>
    <col min="11785" max="11785" width="10.85546875" style="69" customWidth="1"/>
    <col min="11786" max="11786" width="7.85546875" style="69" customWidth="1"/>
    <col min="11787" max="11787" width="11.28515625" style="69" customWidth="1"/>
    <col min="11788" max="12028" width="8.85546875" style="69"/>
    <col min="12029" max="12029" width="11.5703125" style="69" customWidth="1"/>
    <col min="12030" max="12030" width="17" style="69" customWidth="1"/>
    <col min="12031" max="12031" width="8.85546875" style="69"/>
    <col min="12032" max="12032" width="2.85546875" style="69" customWidth="1"/>
    <col min="12033" max="12033" width="14.140625" style="69" customWidth="1"/>
    <col min="12034" max="12034" width="15.42578125" style="69" customWidth="1"/>
    <col min="12035" max="12035" width="13.5703125" style="69" customWidth="1"/>
    <col min="12036" max="12036" width="13.85546875" style="69" customWidth="1"/>
    <col min="12037" max="12037" width="13.140625" style="69" customWidth="1"/>
    <col min="12038" max="12038" width="14.85546875" style="69" bestFit="1" customWidth="1"/>
    <col min="12039" max="12039" width="2.7109375" style="69" customWidth="1"/>
    <col min="12040" max="12040" width="8.85546875" style="69"/>
    <col min="12041" max="12041" width="10.85546875" style="69" customWidth="1"/>
    <col min="12042" max="12042" width="7.85546875" style="69" customWidth="1"/>
    <col min="12043" max="12043" width="11.28515625" style="69" customWidth="1"/>
    <col min="12044" max="12284" width="8.85546875" style="69"/>
    <col min="12285" max="12285" width="11.5703125" style="69" customWidth="1"/>
    <col min="12286" max="12286" width="17" style="69" customWidth="1"/>
    <col min="12287" max="12287" width="8.85546875" style="69"/>
    <col min="12288" max="12288" width="2.85546875" style="69" customWidth="1"/>
    <col min="12289" max="12289" width="14.140625" style="69" customWidth="1"/>
    <col min="12290" max="12290" width="15.42578125" style="69" customWidth="1"/>
    <col min="12291" max="12291" width="13.5703125" style="69" customWidth="1"/>
    <col min="12292" max="12292" width="13.85546875" style="69" customWidth="1"/>
    <col min="12293" max="12293" width="13.140625" style="69" customWidth="1"/>
    <col min="12294" max="12294" width="14.85546875" style="69" bestFit="1" customWidth="1"/>
    <col min="12295" max="12295" width="2.7109375" style="69" customWidth="1"/>
    <col min="12296" max="12296" width="8.85546875" style="69"/>
    <col min="12297" max="12297" width="10.85546875" style="69" customWidth="1"/>
    <col min="12298" max="12298" width="7.85546875" style="69" customWidth="1"/>
    <col min="12299" max="12299" width="11.28515625" style="69" customWidth="1"/>
    <col min="12300" max="12540" width="8.85546875" style="69"/>
    <col min="12541" max="12541" width="11.5703125" style="69" customWidth="1"/>
    <col min="12542" max="12542" width="17" style="69" customWidth="1"/>
    <col min="12543" max="12543" width="8.85546875" style="69"/>
    <col min="12544" max="12544" width="2.85546875" style="69" customWidth="1"/>
    <col min="12545" max="12545" width="14.140625" style="69" customWidth="1"/>
    <col min="12546" max="12546" width="15.42578125" style="69" customWidth="1"/>
    <col min="12547" max="12547" width="13.5703125" style="69" customWidth="1"/>
    <col min="12548" max="12548" width="13.85546875" style="69" customWidth="1"/>
    <col min="12549" max="12549" width="13.140625" style="69" customWidth="1"/>
    <col min="12550" max="12550" width="14.85546875" style="69" bestFit="1" customWidth="1"/>
    <col min="12551" max="12551" width="2.7109375" style="69" customWidth="1"/>
    <col min="12552" max="12552" width="8.85546875" style="69"/>
    <col min="12553" max="12553" width="10.85546875" style="69" customWidth="1"/>
    <col min="12554" max="12554" width="7.85546875" style="69" customWidth="1"/>
    <col min="12555" max="12555" width="11.28515625" style="69" customWidth="1"/>
    <col min="12556" max="12796" width="8.85546875" style="69"/>
    <col min="12797" max="12797" width="11.5703125" style="69" customWidth="1"/>
    <col min="12798" max="12798" width="17" style="69" customWidth="1"/>
    <col min="12799" max="12799" width="8.85546875" style="69"/>
    <col min="12800" max="12800" width="2.85546875" style="69" customWidth="1"/>
    <col min="12801" max="12801" width="14.140625" style="69" customWidth="1"/>
    <col min="12802" max="12802" width="15.42578125" style="69" customWidth="1"/>
    <col min="12803" max="12803" width="13.5703125" style="69" customWidth="1"/>
    <col min="12804" max="12804" width="13.85546875" style="69" customWidth="1"/>
    <col min="12805" max="12805" width="13.140625" style="69" customWidth="1"/>
    <col min="12806" max="12806" width="14.85546875" style="69" bestFit="1" customWidth="1"/>
    <col min="12807" max="12807" width="2.7109375" style="69" customWidth="1"/>
    <col min="12808" max="12808" width="8.85546875" style="69"/>
    <col min="12809" max="12809" width="10.85546875" style="69" customWidth="1"/>
    <col min="12810" max="12810" width="7.85546875" style="69" customWidth="1"/>
    <col min="12811" max="12811" width="11.28515625" style="69" customWidth="1"/>
    <col min="12812" max="13052" width="8.85546875" style="69"/>
    <col min="13053" max="13053" width="11.5703125" style="69" customWidth="1"/>
    <col min="13054" max="13054" width="17" style="69" customWidth="1"/>
    <col min="13055" max="13055" width="8.85546875" style="69"/>
    <col min="13056" max="13056" width="2.85546875" style="69" customWidth="1"/>
    <col min="13057" max="13057" width="14.140625" style="69" customWidth="1"/>
    <col min="13058" max="13058" width="15.42578125" style="69" customWidth="1"/>
    <col min="13059" max="13059" width="13.5703125" style="69" customWidth="1"/>
    <col min="13060" max="13060" width="13.85546875" style="69" customWidth="1"/>
    <col min="13061" max="13061" width="13.140625" style="69" customWidth="1"/>
    <col min="13062" max="13062" width="14.85546875" style="69" bestFit="1" customWidth="1"/>
    <col min="13063" max="13063" width="2.7109375" style="69" customWidth="1"/>
    <col min="13064" max="13064" width="8.85546875" style="69"/>
    <col min="13065" max="13065" width="10.85546875" style="69" customWidth="1"/>
    <col min="13066" max="13066" width="7.85546875" style="69" customWidth="1"/>
    <col min="13067" max="13067" width="11.28515625" style="69" customWidth="1"/>
    <col min="13068" max="13308" width="8.85546875" style="69"/>
    <col min="13309" max="13309" width="11.5703125" style="69" customWidth="1"/>
    <col min="13310" max="13310" width="17" style="69" customWidth="1"/>
    <col min="13311" max="13311" width="8.85546875" style="69"/>
    <col min="13312" max="13312" width="2.85546875" style="69" customWidth="1"/>
    <col min="13313" max="13313" width="14.140625" style="69" customWidth="1"/>
    <col min="13314" max="13314" width="15.42578125" style="69" customWidth="1"/>
    <col min="13315" max="13315" width="13.5703125" style="69" customWidth="1"/>
    <col min="13316" max="13316" width="13.85546875" style="69" customWidth="1"/>
    <col min="13317" max="13317" width="13.140625" style="69" customWidth="1"/>
    <col min="13318" max="13318" width="14.85546875" style="69" bestFit="1" customWidth="1"/>
    <col min="13319" max="13319" width="2.7109375" style="69" customWidth="1"/>
    <col min="13320" max="13320" width="8.85546875" style="69"/>
    <col min="13321" max="13321" width="10.85546875" style="69" customWidth="1"/>
    <col min="13322" max="13322" width="7.85546875" style="69" customWidth="1"/>
    <col min="13323" max="13323" width="11.28515625" style="69" customWidth="1"/>
    <col min="13324" max="13564" width="8.85546875" style="69"/>
    <col min="13565" max="13565" width="11.5703125" style="69" customWidth="1"/>
    <col min="13566" max="13566" width="17" style="69" customWidth="1"/>
    <col min="13567" max="13567" width="8.85546875" style="69"/>
    <col min="13568" max="13568" width="2.85546875" style="69" customWidth="1"/>
    <col min="13569" max="13569" width="14.140625" style="69" customWidth="1"/>
    <col min="13570" max="13570" width="15.42578125" style="69" customWidth="1"/>
    <col min="13571" max="13571" width="13.5703125" style="69" customWidth="1"/>
    <col min="13572" max="13572" width="13.85546875" style="69" customWidth="1"/>
    <col min="13573" max="13573" width="13.140625" style="69" customWidth="1"/>
    <col min="13574" max="13574" width="14.85546875" style="69" bestFit="1" customWidth="1"/>
    <col min="13575" max="13575" width="2.7109375" style="69" customWidth="1"/>
    <col min="13576" max="13576" width="8.85546875" style="69"/>
    <col min="13577" max="13577" width="10.85546875" style="69" customWidth="1"/>
    <col min="13578" max="13578" width="7.85546875" style="69" customWidth="1"/>
    <col min="13579" max="13579" width="11.28515625" style="69" customWidth="1"/>
    <col min="13580" max="13820" width="8.85546875" style="69"/>
    <col min="13821" max="13821" width="11.5703125" style="69" customWidth="1"/>
    <col min="13822" max="13822" width="17" style="69" customWidth="1"/>
    <col min="13823" max="13823" width="8.85546875" style="69"/>
    <col min="13824" max="13824" width="2.85546875" style="69" customWidth="1"/>
    <col min="13825" max="13825" width="14.140625" style="69" customWidth="1"/>
    <col min="13826" max="13826" width="15.42578125" style="69" customWidth="1"/>
    <col min="13827" max="13827" width="13.5703125" style="69" customWidth="1"/>
    <col min="13828" max="13828" width="13.85546875" style="69" customWidth="1"/>
    <col min="13829" max="13829" width="13.140625" style="69" customWidth="1"/>
    <col min="13830" max="13830" width="14.85546875" style="69" bestFit="1" customWidth="1"/>
    <col min="13831" max="13831" width="2.7109375" style="69" customWidth="1"/>
    <col min="13832" max="13832" width="8.85546875" style="69"/>
    <col min="13833" max="13833" width="10.85546875" style="69" customWidth="1"/>
    <col min="13834" max="13834" width="7.85546875" style="69" customWidth="1"/>
    <col min="13835" max="13835" width="11.28515625" style="69" customWidth="1"/>
    <col min="13836" max="14076" width="8.85546875" style="69"/>
    <col min="14077" max="14077" width="11.5703125" style="69" customWidth="1"/>
    <col min="14078" max="14078" width="17" style="69" customWidth="1"/>
    <col min="14079" max="14079" width="8.85546875" style="69"/>
    <col min="14080" max="14080" width="2.85546875" style="69" customWidth="1"/>
    <col min="14081" max="14081" width="14.140625" style="69" customWidth="1"/>
    <col min="14082" max="14082" width="15.42578125" style="69" customWidth="1"/>
    <col min="14083" max="14083" width="13.5703125" style="69" customWidth="1"/>
    <col min="14084" max="14084" width="13.85546875" style="69" customWidth="1"/>
    <col min="14085" max="14085" width="13.140625" style="69" customWidth="1"/>
    <col min="14086" max="14086" width="14.85546875" style="69" bestFit="1" customWidth="1"/>
    <col min="14087" max="14087" width="2.7109375" style="69" customWidth="1"/>
    <col min="14088" max="14088" width="8.85546875" style="69"/>
    <col min="14089" max="14089" width="10.85546875" style="69" customWidth="1"/>
    <col min="14090" max="14090" width="7.85546875" style="69" customWidth="1"/>
    <col min="14091" max="14091" width="11.28515625" style="69" customWidth="1"/>
    <col min="14092" max="14332" width="8.85546875" style="69"/>
    <col min="14333" max="14333" width="11.5703125" style="69" customWidth="1"/>
    <col min="14334" max="14334" width="17" style="69" customWidth="1"/>
    <col min="14335" max="14335" width="8.85546875" style="69"/>
    <col min="14336" max="14336" width="2.85546875" style="69" customWidth="1"/>
    <col min="14337" max="14337" width="14.140625" style="69" customWidth="1"/>
    <col min="14338" max="14338" width="15.42578125" style="69" customWidth="1"/>
    <col min="14339" max="14339" width="13.5703125" style="69" customWidth="1"/>
    <col min="14340" max="14340" width="13.85546875" style="69" customWidth="1"/>
    <col min="14341" max="14341" width="13.140625" style="69" customWidth="1"/>
    <col min="14342" max="14342" width="14.85546875" style="69" bestFit="1" customWidth="1"/>
    <col min="14343" max="14343" width="2.7109375" style="69" customWidth="1"/>
    <col min="14344" max="14344" width="8.85546875" style="69"/>
    <col min="14345" max="14345" width="10.85546875" style="69" customWidth="1"/>
    <col min="14346" max="14346" width="7.85546875" style="69" customWidth="1"/>
    <col min="14347" max="14347" width="11.28515625" style="69" customWidth="1"/>
    <col min="14348" max="14588" width="8.85546875" style="69"/>
    <col min="14589" max="14589" width="11.5703125" style="69" customWidth="1"/>
    <col min="14590" max="14590" width="17" style="69" customWidth="1"/>
    <col min="14591" max="14591" width="8.85546875" style="69"/>
    <col min="14592" max="14592" width="2.85546875" style="69" customWidth="1"/>
    <col min="14593" max="14593" width="14.140625" style="69" customWidth="1"/>
    <col min="14594" max="14594" width="15.42578125" style="69" customWidth="1"/>
    <col min="14595" max="14595" width="13.5703125" style="69" customWidth="1"/>
    <col min="14596" max="14596" width="13.85546875" style="69" customWidth="1"/>
    <col min="14597" max="14597" width="13.140625" style="69" customWidth="1"/>
    <col min="14598" max="14598" width="14.85546875" style="69" bestFit="1" customWidth="1"/>
    <col min="14599" max="14599" width="2.7109375" style="69" customWidth="1"/>
    <col min="14600" max="14600" width="8.85546875" style="69"/>
    <col min="14601" max="14601" width="10.85546875" style="69" customWidth="1"/>
    <col min="14602" max="14602" width="7.85546875" style="69" customWidth="1"/>
    <col min="14603" max="14603" width="11.28515625" style="69" customWidth="1"/>
    <col min="14604" max="14844" width="8.85546875" style="69"/>
    <col min="14845" max="14845" width="11.5703125" style="69" customWidth="1"/>
    <col min="14846" max="14846" width="17" style="69" customWidth="1"/>
    <col min="14847" max="14847" width="8.85546875" style="69"/>
    <col min="14848" max="14848" width="2.85546875" style="69" customWidth="1"/>
    <col min="14849" max="14849" width="14.140625" style="69" customWidth="1"/>
    <col min="14850" max="14850" width="15.42578125" style="69" customWidth="1"/>
    <col min="14851" max="14851" width="13.5703125" style="69" customWidth="1"/>
    <col min="14852" max="14852" width="13.85546875" style="69" customWidth="1"/>
    <col min="14853" max="14853" width="13.140625" style="69" customWidth="1"/>
    <col min="14854" max="14854" width="14.85546875" style="69" bestFit="1" customWidth="1"/>
    <col min="14855" max="14855" width="2.7109375" style="69" customWidth="1"/>
    <col min="14856" max="14856" width="8.85546875" style="69"/>
    <col min="14857" max="14857" width="10.85546875" style="69" customWidth="1"/>
    <col min="14858" max="14858" width="7.85546875" style="69" customWidth="1"/>
    <col min="14859" max="14859" width="11.28515625" style="69" customWidth="1"/>
    <col min="14860" max="15100" width="8.85546875" style="69"/>
    <col min="15101" max="15101" width="11.5703125" style="69" customWidth="1"/>
    <col min="15102" max="15102" width="17" style="69" customWidth="1"/>
    <col min="15103" max="15103" width="8.85546875" style="69"/>
    <col min="15104" max="15104" width="2.85546875" style="69" customWidth="1"/>
    <col min="15105" max="15105" width="14.140625" style="69" customWidth="1"/>
    <col min="15106" max="15106" width="15.42578125" style="69" customWidth="1"/>
    <col min="15107" max="15107" width="13.5703125" style="69" customWidth="1"/>
    <col min="15108" max="15108" width="13.85546875" style="69" customWidth="1"/>
    <col min="15109" max="15109" width="13.140625" style="69" customWidth="1"/>
    <col min="15110" max="15110" width="14.85546875" style="69" bestFit="1" customWidth="1"/>
    <col min="15111" max="15111" width="2.7109375" style="69" customWidth="1"/>
    <col min="15112" max="15112" width="8.85546875" style="69"/>
    <col min="15113" max="15113" width="10.85546875" style="69" customWidth="1"/>
    <col min="15114" max="15114" width="7.85546875" style="69" customWidth="1"/>
    <col min="15115" max="15115" width="11.28515625" style="69" customWidth="1"/>
    <col min="15116" max="15356" width="8.85546875" style="69"/>
    <col min="15357" max="15357" width="11.5703125" style="69" customWidth="1"/>
    <col min="15358" max="15358" width="17" style="69" customWidth="1"/>
    <col min="15359" max="15359" width="8.85546875" style="69"/>
    <col min="15360" max="15360" width="2.85546875" style="69" customWidth="1"/>
    <col min="15361" max="15361" width="14.140625" style="69" customWidth="1"/>
    <col min="15362" max="15362" width="15.42578125" style="69" customWidth="1"/>
    <col min="15363" max="15363" width="13.5703125" style="69" customWidth="1"/>
    <col min="15364" max="15364" width="13.85546875" style="69" customWidth="1"/>
    <col min="15365" max="15365" width="13.140625" style="69" customWidth="1"/>
    <col min="15366" max="15366" width="14.85546875" style="69" bestFit="1" customWidth="1"/>
    <col min="15367" max="15367" width="2.7109375" style="69" customWidth="1"/>
    <col min="15368" max="15368" width="8.85546875" style="69"/>
    <col min="15369" max="15369" width="10.85546875" style="69" customWidth="1"/>
    <col min="15370" max="15370" width="7.85546875" style="69" customWidth="1"/>
    <col min="15371" max="15371" width="11.28515625" style="69" customWidth="1"/>
    <col min="15372" max="15612" width="8.85546875" style="69"/>
    <col min="15613" max="15613" width="11.5703125" style="69" customWidth="1"/>
    <col min="15614" max="15614" width="17" style="69" customWidth="1"/>
    <col min="15615" max="15615" width="8.85546875" style="69"/>
    <col min="15616" max="15616" width="2.85546875" style="69" customWidth="1"/>
    <col min="15617" max="15617" width="14.140625" style="69" customWidth="1"/>
    <col min="15618" max="15618" width="15.42578125" style="69" customWidth="1"/>
    <col min="15619" max="15619" width="13.5703125" style="69" customWidth="1"/>
    <col min="15620" max="15620" width="13.85546875" style="69" customWidth="1"/>
    <col min="15621" max="15621" width="13.140625" style="69" customWidth="1"/>
    <col min="15622" max="15622" width="14.85546875" style="69" bestFit="1" customWidth="1"/>
    <col min="15623" max="15623" width="2.7109375" style="69" customWidth="1"/>
    <col min="15624" max="15624" width="8.85546875" style="69"/>
    <col min="15625" max="15625" width="10.85546875" style="69" customWidth="1"/>
    <col min="15626" max="15626" width="7.85546875" style="69" customWidth="1"/>
    <col min="15627" max="15627" width="11.28515625" style="69" customWidth="1"/>
    <col min="15628" max="15868" width="8.85546875" style="69"/>
    <col min="15869" max="15869" width="11.5703125" style="69" customWidth="1"/>
    <col min="15870" max="15870" width="17" style="69" customWidth="1"/>
    <col min="15871" max="15871" width="8.85546875" style="69"/>
    <col min="15872" max="15872" width="2.85546875" style="69" customWidth="1"/>
    <col min="15873" max="15873" width="14.140625" style="69" customWidth="1"/>
    <col min="15874" max="15874" width="15.42578125" style="69" customWidth="1"/>
    <col min="15875" max="15875" width="13.5703125" style="69" customWidth="1"/>
    <col min="15876" max="15876" width="13.85546875" style="69" customWidth="1"/>
    <col min="15877" max="15877" width="13.140625" style="69" customWidth="1"/>
    <col min="15878" max="15878" width="14.85546875" style="69" bestFit="1" customWidth="1"/>
    <col min="15879" max="15879" width="2.7109375" style="69" customWidth="1"/>
    <col min="15880" max="15880" width="8.85546875" style="69"/>
    <col min="15881" max="15881" width="10.85546875" style="69" customWidth="1"/>
    <col min="15882" max="15882" width="7.85546875" style="69" customWidth="1"/>
    <col min="15883" max="15883" width="11.28515625" style="69" customWidth="1"/>
    <col min="15884" max="16124" width="8.85546875" style="69"/>
    <col min="16125" max="16125" width="11.5703125" style="69" customWidth="1"/>
    <col min="16126" max="16126" width="17" style="69" customWidth="1"/>
    <col min="16127" max="16127" width="8.85546875" style="69"/>
    <col min="16128" max="16128" width="2.85546875" style="69" customWidth="1"/>
    <col min="16129" max="16129" width="14.140625" style="69" customWidth="1"/>
    <col min="16130" max="16130" width="15.42578125" style="69" customWidth="1"/>
    <col min="16131" max="16131" width="13.5703125" style="69" customWidth="1"/>
    <col min="16132" max="16132" width="13.85546875" style="69" customWidth="1"/>
    <col min="16133" max="16133" width="13.140625" style="69" customWidth="1"/>
    <col min="16134" max="16134" width="14.85546875" style="69" bestFit="1" customWidth="1"/>
    <col min="16135" max="16135" width="2.7109375" style="69" customWidth="1"/>
    <col min="16136" max="16136" width="8.85546875" style="69"/>
    <col min="16137" max="16137" width="10.85546875" style="69" customWidth="1"/>
    <col min="16138" max="16138" width="7.85546875" style="69" customWidth="1"/>
    <col min="16139" max="16139" width="11.28515625" style="69" customWidth="1"/>
    <col min="16140" max="16384" width="8.85546875" style="69"/>
  </cols>
  <sheetData>
    <row r="1" spans="1:7" customFormat="1" ht="23.25" x14ac:dyDescent="0.35">
      <c r="A1" s="65" t="s">
        <v>17</v>
      </c>
      <c r="B1" s="67"/>
      <c r="C1" s="69"/>
    </row>
    <row r="2" spans="1:7" customFormat="1" ht="18.75" hidden="1" x14ac:dyDescent="0.3">
      <c r="B2" s="67"/>
      <c r="C2" s="69"/>
    </row>
    <row r="3" spans="1:7" customFormat="1" ht="15" hidden="1" x14ac:dyDescent="0.25">
      <c r="A3" s="454">
        <f>+waarderingsrapport!B17</f>
        <v>0</v>
      </c>
      <c r="B3" s="455"/>
      <c r="C3" s="455"/>
      <c r="D3" s="455"/>
      <c r="E3" s="66"/>
    </row>
    <row r="4" spans="1:7" customFormat="1" ht="18.75" x14ac:dyDescent="0.25">
      <c r="A4" s="66"/>
      <c r="B4" s="68"/>
      <c r="C4" s="70"/>
      <c r="D4" s="66"/>
      <c r="E4" s="66"/>
    </row>
    <row r="5" spans="1:7" customFormat="1" ht="18.75" x14ac:dyDescent="0.25">
      <c r="A5" s="240" t="s">
        <v>192</v>
      </c>
      <c r="B5" s="74"/>
      <c r="C5" s="75"/>
      <c r="D5" s="76"/>
      <c r="E5" s="76"/>
      <c r="F5" s="77"/>
      <c r="G5" s="77"/>
    </row>
    <row r="6" spans="1:7" customFormat="1" x14ac:dyDescent="0.25">
      <c r="C6" s="69"/>
    </row>
    <row r="7" spans="1:7" customFormat="1" ht="15" hidden="1" x14ac:dyDescent="0.25">
      <c r="B7" s="83" t="s">
        <v>193</v>
      </c>
      <c r="C7" s="83" t="s">
        <v>102</v>
      </c>
    </row>
    <row r="8" spans="1:7" customFormat="1" ht="15" x14ac:dyDescent="0.25">
      <c r="B8" s="83" t="s">
        <v>194</v>
      </c>
      <c r="C8" s="331" t="s">
        <v>548</v>
      </c>
    </row>
    <row r="9" spans="1:7" customFormat="1" ht="15" x14ac:dyDescent="0.25">
      <c r="B9" s="83" t="s">
        <v>195</v>
      </c>
      <c r="C9" s="331">
        <v>45657</v>
      </c>
    </row>
    <row r="10" spans="1:7" customFormat="1" ht="15" x14ac:dyDescent="0.25">
      <c r="B10" s="83" t="s">
        <v>196</v>
      </c>
      <c r="C10" s="331">
        <v>45838</v>
      </c>
    </row>
    <row r="11" spans="1:7" customFormat="1" ht="15" x14ac:dyDescent="0.25">
      <c r="B11" s="83" t="s">
        <v>197</v>
      </c>
      <c r="C11" s="331" t="s">
        <v>548</v>
      </c>
    </row>
    <row r="12" spans="1:7" customFormat="1" ht="15" x14ac:dyDescent="0.25">
      <c r="B12" s="83" t="s">
        <v>198</v>
      </c>
      <c r="C12" s="331" t="s">
        <v>548</v>
      </c>
    </row>
    <row r="13" spans="1:7" customFormat="1" ht="15" x14ac:dyDescent="0.25">
      <c r="B13" s="83" t="s">
        <v>199</v>
      </c>
      <c r="C13" s="331" t="s">
        <v>548</v>
      </c>
    </row>
    <row r="14" spans="1:7" customFormat="1" ht="18.75" x14ac:dyDescent="0.3">
      <c r="B14" s="67"/>
      <c r="C14" s="69"/>
    </row>
    <row r="15" spans="1:7" customFormat="1" ht="18.75" x14ac:dyDescent="0.3">
      <c r="A15" s="240" t="s">
        <v>200</v>
      </c>
      <c r="B15" s="85"/>
      <c r="C15" s="72"/>
      <c r="D15" s="71"/>
      <c r="E15" s="71"/>
      <c r="F15" s="71"/>
      <c r="G15" s="71"/>
    </row>
    <row r="16" spans="1:7" customFormat="1" ht="18.75" x14ac:dyDescent="0.3">
      <c r="B16" s="67"/>
      <c r="C16" s="69"/>
    </row>
    <row r="17" spans="1:7" customFormat="1" ht="18.75" x14ac:dyDescent="0.3">
      <c r="A17" s="310" t="s">
        <v>549</v>
      </c>
      <c r="B17" s="67"/>
      <c r="C17" s="69"/>
    </row>
    <row r="18" spans="1:7" customFormat="1" ht="18.75" x14ac:dyDescent="0.3">
      <c r="A18" s="310" t="s">
        <v>550</v>
      </c>
      <c r="B18" s="67"/>
      <c r="C18" s="69"/>
    </row>
    <row r="19" spans="1:7" customFormat="1" ht="18.75" x14ac:dyDescent="0.3">
      <c r="A19" s="310" t="s">
        <v>551</v>
      </c>
      <c r="B19" s="67"/>
      <c r="C19" s="69"/>
    </row>
    <row r="20" spans="1:7" customFormat="1" ht="18.75" x14ac:dyDescent="0.3">
      <c r="B20" s="67"/>
      <c r="C20" s="69"/>
    </row>
    <row r="21" spans="1:7" customFormat="1" ht="18.75" x14ac:dyDescent="0.3">
      <c r="A21" s="240" t="s">
        <v>201</v>
      </c>
      <c r="B21" s="85"/>
      <c r="C21" s="72"/>
      <c r="D21" s="71"/>
      <c r="E21" s="71"/>
      <c r="F21" s="71"/>
      <c r="G21" s="71"/>
    </row>
    <row r="22" spans="1:7" customFormat="1" ht="18.75" x14ac:dyDescent="0.3">
      <c r="A22" s="274" t="s">
        <v>202</v>
      </c>
      <c r="B22" s="67"/>
      <c r="C22" s="69"/>
    </row>
    <row r="23" spans="1:7" customFormat="1" ht="15" x14ac:dyDescent="0.25">
      <c r="A23" s="24" t="s">
        <v>203</v>
      </c>
    </row>
    <row r="24" spans="1:7" customFormat="1" ht="15" x14ac:dyDescent="0.25">
      <c r="A24" s="24" t="s">
        <v>204</v>
      </c>
    </row>
    <row r="25" spans="1:7" customFormat="1" ht="15" x14ac:dyDescent="0.25">
      <c r="A25" s="24" t="s">
        <v>558</v>
      </c>
    </row>
    <row r="26" spans="1:7" customFormat="1" ht="15" x14ac:dyDescent="0.25">
      <c r="A26" s="24" t="s">
        <v>205</v>
      </c>
    </row>
    <row r="27" spans="1:7" customFormat="1" ht="15" x14ac:dyDescent="0.25">
      <c r="A27" s="24" t="s">
        <v>206</v>
      </c>
    </row>
    <row r="28" spans="1:7" customFormat="1" ht="15" x14ac:dyDescent="0.25">
      <c r="A28" s="24"/>
    </row>
    <row r="29" spans="1:7" customFormat="1" ht="15" x14ac:dyDescent="0.25">
      <c r="A29" t="s">
        <v>207</v>
      </c>
      <c r="G29" s="114">
        <v>2.9600000000000001E-2</v>
      </c>
    </row>
    <row r="30" spans="1:7" customFormat="1" ht="15" x14ac:dyDescent="0.25">
      <c r="A30" s="273" t="s">
        <v>532</v>
      </c>
      <c r="G30" s="114"/>
    </row>
    <row r="31" spans="1:7" customFormat="1" ht="15" x14ac:dyDescent="0.25">
      <c r="B31" s="84"/>
    </row>
    <row r="32" spans="1:7" customFormat="1" hidden="1" x14ac:dyDescent="0.25">
      <c r="A32" s="69"/>
      <c r="B32" s="86"/>
      <c r="C32" s="69"/>
      <c r="D32" s="69"/>
      <c r="E32" s="69"/>
      <c r="F32" s="69"/>
      <c r="G32" s="69"/>
    </row>
    <row r="33" spans="1:7" customFormat="1" x14ac:dyDescent="0.25">
      <c r="A33" s="87" t="s">
        <v>208</v>
      </c>
      <c r="B33" s="86"/>
      <c r="C33" s="69"/>
      <c r="D33" s="69"/>
      <c r="E33" s="69"/>
      <c r="F33" s="69"/>
      <c r="G33" s="69"/>
    </row>
    <row r="34" spans="1:7" customFormat="1" ht="15" x14ac:dyDescent="0.25">
      <c r="A34" t="s">
        <v>209</v>
      </c>
      <c r="B34" s="84"/>
    </row>
    <row r="35" spans="1:7" customFormat="1" ht="15" x14ac:dyDescent="0.25">
      <c r="B35" t="s">
        <v>210</v>
      </c>
    </row>
    <row r="36" spans="1:7" customFormat="1" ht="15" x14ac:dyDescent="0.25"/>
    <row r="37" spans="1:7" customFormat="1" ht="15" x14ac:dyDescent="0.25">
      <c r="A37" t="s">
        <v>211</v>
      </c>
      <c r="B37" s="84"/>
    </row>
    <row r="38" spans="1:7" customFormat="1" ht="15" x14ac:dyDescent="0.25">
      <c r="B38" s="448" t="s">
        <v>212</v>
      </c>
      <c r="C38" s="448"/>
      <c r="D38" s="448"/>
      <c r="E38" s="448"/>
      <c r="F38" s="448"/>
      <c r="G38" s="448"/>
    </row>
    <row r="39" spans="1:7" customFormat="1" ht="15" x14ac:dyDescent="0.25">
      <c r="B39" s="448"/>
      <c r="C39" s="448"/>
      <c r="D39" s="448"/>
      <c r="E39" s="448"/>
      <c r="F39" s="448"/>
      <c r="G39" s="448"/>
    </row>
    <row r="40" spans="1:7" customFormat="1" ht="15" x14ac:dyDescent="0.25">
      <c r="B40" s="448"/>
      <c r="C40" s="448"/>
      <c r="D40" s="448"/>
      <c r="E40" s="448"/>
      <c r="F40" s="448"/>
      <c r="G40" s="448"/>
    </row>
    <row r="41" spans="1:7" customFormat="1" ht="15" x14ac:dyDescent="0.25"/>
    <row r="42" spans="1:7" customFormat="1" ht="15" x14ac:dyDescent="0.25">
      <c r="A42" t="s">
        <v>213</v>
      </c>
    </row>
    <row r="43" spans="1:7" customFormat="1" ht="15" x14ac:dyDescent="0.25">
      <c r="B43" t="s">
        <v>214</v>
      </c>
    </row>
    <row r="44" spans="1:7" customFormat="1" ht="15" x14ac:dyDescent="0.25"/>
    <row r="45" spans="1:7" customFormat="1" ht="15" x14ac:dyDescent="0.25">
      <c r="A45" s="448" t="s">
        <v>215</v>
      </c>
      <c r="B45" s="448"/>
      <c r="C45" s="448"/>
      <c r="D45" s="448"/>
      <c r="E45" s="448"/>
      <c r="F45" s="448"/>
      <c r="G45" s="448"/>
    </row>
    <row r="46" spans="1:7" customFormat="1" ht="15" x14ac:dyDescent="0.25">
      <c r="A46" s="448"/>
      <c r="B46" s="448"/>
      <c r="C46" s="448"/>
      <c r="D46" s="448"/>
      <c r="E46" s="448"/>
      <c r="F46" s="448"/>
      <c r="G46" s="448"/>
    </row>
    <row r="47" spans="1:7" customFormat="1" ht="15" x14ac:dyDescent="0.25">
      <c r="A47" s="448"/>
      <c r="B47" s="448"/>
      <c r="C47" s="448"/>
      <c r="D47" s="448"/>
      <c r="E47" s="448"/>
      <c r="F47" s="448"/>
      <c r="G47" s="448"/>
    </row>
    <row r="48" spans="1:7" customFormat="1" ht="15" x14ac:dyDescent="0.25"/>
    <row r="49" spans="1:7" customFormat="1" ht="15" x14ac:dyDescent="0.25"/>
    <row r="50" spans="1:7" customFormat="1" ht="15" x14ac:dyDescent="0.25">
      <c r="G50" s="273"/>
    </row>
    <row r="51" spans="1:7" customFormat="1" ht="15" x14ac:dyDescent="0.25"/>
    <row r="52" spans="1:7" customFormat="1" ht="15" x14ac:dyDescent="0.25"/>
    <row r="53" spans="1:7" customFormat="1" ht="15" x14ac:dyDescent="0.25">
      <c r="A53" t="s">
        <v>216</v>
      </c>
    </row>
    <row r="54" spans="1:7" customFormat="1" x14ac:dyDescent="0.25">
      <c r="A54" s="69"/>
      <c r="B54" s="69"/>
      <c r="C54" s="69"/>
      <c r="D54" s="69"/>
      <c r="E54" s="69"/>
      <c r="F54" s="69"/>
      <c r="G54" s="69"/>
    </row>
    <row r="55" spans="1:7" customFormat="1" ht="15" x14ac:dyDescent="0.25">
      <c r="A55" t="s">
        <v>217</v>
      </c>
      <c r="G55" s="114">
        <v>2.1600000000000001E-2</v>
      </c>
    </row>
    <row r="56" spans="1:7" customFormat="1" ht="15" hidden="1" x14ac:dyDescent="0.25">
      <c r="B56" s="84" t="s">
        <v>218</v>
      </c>
    </row>
    <row r="57" spans="1:7" customFormat="1" ht="15" x14ac:dyDescent="0.25"/>
    <row r="58" spans="1:7" customFormat="1" ht="15" x14ac:dyDescent="0.25">
      <c r="A58" s="447" t="s">
        <v>592</v>
      </c>
      <c r="B58" s="447"/>
      <c r="C58" s="447"/>
      <c r="D58" s="447"/>
      <c r="E58" s="447"/>
      <c r="F58" s="447"/>
      <c r="G58" s="447"/>
    </row>
    <row r="59" spans="1:7" customFormat="1" ht="15" x14ac:dyDescent="0.25">
      <c r="A59" s="447"/>
      <c r="B59" s="447"/>
      <c r="C59" s="447"/>
      <c r="D59" s="447"/>
      <c r="E59" s="447"/>
      <c r="F59" s="447"/>
      <c r="G59" s="447"/>
    </row>
    <row r="60" spans="1:7" customFormat="1" ht="15" x14ac:dyDescent="0.25">
      <c r="A60" s="447"/>
      <c r="B60" s="447"/>
      <c r="C60" s="447"/>
      <c r="D60" s="447"/>
      <c r="E60" s="447"/>
      <c r="F60" s="447"/>
      <c r="G60" s="447"/>
    </row>
    <row r="61" spans="1:7" customFormat="1" ht="15" x14ac:dyDescent="0.25">
      <c r="A61" s="447"/>
      <c r="B61" s="447"/>
      <c r="C61" s="447"/>
      <c r="D61" s="447"/>
      <c r="E61" s="447"/>
      <c r="F61" s="447"/>
      <c r="G61" s="447"/>
    </row>
    <row r="62" spans="1:7" customFormat="1" ht="15" x14ac:dyDescent="0.25">
      <c r="A62" s="448"/>
      <c r="B62" s="448"/>
      <c r="C62" s="448"/>
      <c r="D62" s="448"/>
      <c r="E62" s="448"/>
      <c r="F62" s="448"/>
      <c r="G62" s="448"/>
    </row>
    <row r="63" spans="1:7" customFormat="1" ht="15" x14ac:dyDescent="0.25">
      <c r="A63" s="448"/>
      <c r="B63" s="448"/>
      <c r="C63" s="448"/>
      <c r="D63" s="448"/>
      <c r="E63" s="448"/>
      <c r="F63" s="448"/>
      <c r="G63" s="448"/>
    </row>
    <row r="64" spans="1:7" customFormat="1" ht="15" x14ac:dyDescent="0.25">
      <c r="A64" s="448"/>
      <c r="B64" s="448"/>
      <c r="C64" s="448"/>
      <c r="D64" s="448"/>
      <c r="E64" s="448"/>
      <c r="F64" s="448"/>
      <c r="G64" s="448"/>
    </row>
    <row r="65" spans="1:7" customFormat="1" ht="15" x14ac:dyDescent="0.25">
      <c r="A65" s="448"/>
      <c r="B65" s="448"/>
      <c r="C65" s="448"/>
      <c r="D65" s="448"/>
      <c r="E65" s="448"/>
      <c r="F65" s="448"/>
      <c r="G65" s="448"/>
    </row>
    <row r="66" spans="1:7" customFormat="1" x14ac:dyDescent="0.25">
      <c r="A66" s="69"/>
      <c r="B66" s="234" t="s">
        <v>219</v>
      </c>
      <c r="G66" s="69"/>
    </row>
    <row r="67" spans="1:7" customFormat="1" x14ac:dyDescent="0.25">
      <c r="A67" s="69"/>
      <c r="B67" t="s">
        <v>220</v>
      </c>
      <c r="E67" s="118">
        <f>G29</f>
        <v>2.9600000000000001E-2</v>
      </c>
      <c r="F67" t="s">
        <v>221</v>
      </c>
      <c r="G67" s="69"/>
    </row>
    <row r="68" spans="1:7" customFormat="1" x14ac:dyDescent="0.25">
      <c r="A68" s="69"/>
      <c r="B68" t="s">
        <v>222</v>
      </c>
      <c r="E68" s="118">
        <v>0</v>
      </c>
      <c r="F68" t="s">
        <v>223</v>
      </c>
      <c r="G68" s="69"/>
    </row>
    <row r="69" spans="1:7" customFormat="1" x14ac:dyDescent="0.25">
      <c r="A69" s="69"/>
      <c r="B69" t="s">
        <v>224</v>
      </c>
      <c r="E69" s="118">
        <v>2.5000000000000001E-2</v>
      </c>
      <c r="F69" t="s">
        <v>225</v>
      </c>
      <c r="G69" s="69"/>
    </row>
    <row r="70" spans="1:7" customFormat="1" x14ac:dyDescent="0.25">
      <c r="A70" s="69"/>
      <c r="B70" t="s">
        <v>226</v>
      </c>
      <c r="E70" s="118">
        <v>0.05</v>
      </c>
      <c r="F70" t="s">
        <v>227</v>
      </c>
      <c r="G70" s="69"/>
    </row>
    <row r="71" spans="1:7" customFormat="1" x14ac:dyDescent="0.25">
      <c r="A71" s="69"/>
      <c r="E71" s="118"/>
      <c r="G71" s="69"/>
    </row>
    <row r="72" spans="1:7" customFormat="1" x14ac:dyDescent="0.25">
      <c r="A72" s="69"/>
      <c r="B72" t="s">
        <v>228</v>
      </c>
      <c r="E72" s="241">
        <f>+E68-E67+E69+E70</f>
        <v>4.5400000000000003E-2</v>
      </c>
      <c r="G72" s="69"/>
    </row>
    <row r="73" spans="1:7" customFormat="1" x14ac:dyDescent="0.25">
      <c r="A73" s="69"/>
      <c r="B73" s="69"/>
      <c r="C73" s="69"/>
      <c r="D73" s="69"/>
      <c r="E73" s="69"/>
      <c r="F73" s="69"/>
      <c r="G73" s="69"/>
    </row>
    <row r="74" spans="1:7" customFormat="1" x14ac:dyDescent="0.25">
      <c r="A74" s="87" t="s">
        <v>229</v>
      </c>
      <c r="B74" s="69"/>
      <c r="C74" s="69"/>
      <c r="D74" s="69"/>
      <c r="E74" s="69"/>
      <c r="F74" s="69"/>
      <c r="G74" s="69"/>
    </row>
    <row r="75" spans="1:7" customFormat="1" ht="15" x14ac:dyDescent="0.25">
      <c r="A75" s="447" t="s">
        <v>230</v>
      </c>
      <c r="B75" s="447"/>
      <c r="C75" s="447"/>
      <c r="D75" s="447"/>
      <c r="E75" s="447"/>
      <c r="F75" s="447"/>
      <c r="G75" s="447"/>
    </row>
    <row r="76" spans="1:7" customFormat="1" ht="15" x14ac:dyDescent="0.25">
      <c r="A76" s="447"/>
      <c r="B76" s="447"/>
      <c r="C76" s="447"/>
      <c r="D76" s="447"/>
      <c r="E76" s="447"/>
      <c r="F76" s="447"/>
      <c r="G76" s="447"/>
    </row>
    <row r="77" spans="1:7" customFormat="1" ht="15" x14ac:dyDescent="0.25">
      <c r="A77" s="447"/>
      <c r="B77" s="447"/>
      <c r="C77" s="447"/>
      <c r="D77" s="447"/>
      <c r="E77" s="447"/>
      <c r="F77" s="447"/>
      <c r="G77" s="447"/>
    </row>
    <row r="78" spans="1:7" customFormat="1" ht="15" x14ac:dyDescent="0.25">
      <c r="A78" s="447"/>
      <c r="B78" s="447"/>
      <c r="C78" s="447"/>
      <c r="D78" s="447"/>
      <c r="E78" s="447"/>
      <c r="F78" s="447"/>
      <c r="G78" s="447"/>
    </row>
    <row r="79" spans="1:7" customFormat="1" ht="23.25" customHeight="1" x14ac:dyDescent="0.25">
      <c r="A79" s="447"/>
      <c r="B79" s="447"/>
      <c r="C79" s="447"/>
      <c r="D79" s="447"/>
      <c r="E79" s="447"/>
      <c r="F79" s="447"/>
      <c r="G79" s="447"/>
    </row>
    <row r="80" spans="1:7" customFormat="1" ht="15" x14ac:dyDescent="0.25">
      <c r="A80" s="463"/>
      <c r="B80" s="463"/>
      <c r="C80" s="463"/>
      <c r="D80" s="463"/>
      <c r="E80" s="463"/>
      <c r="F80" s="463"/>
      <c r="G80" s="463"/>
    </row>
    <row r="81" spans="1:7" customFormat="1" ht="15" x14ac:dyDescent="0.25">
      <c r="A81" s="463"/>
      <c r="B81" s="463"/>
      <c r="C81" s="463"/>
      <c r="D81" s="463"/>
      <c r="E81" s="463"/>
      <c r="F81" s="463"/>
      <c r="G81" s="463"/>
    </row>
    <row r="82" spans="1:7" customFormat="1" ht="6" customHeight="1" x14ac:dyDescent="0.25">
      <c r="A82" s="463"/>
      <c r="B82" s="463"/>
      <c r="C82" s="463"/>
      <c r="D82" s="463"/>
      <c r="E82" s="463"/>
      <c r="F82" s="463"/>
      <c r="G82" s="463"/>
    </row>
    <row r="83" spans="1:7" customFormat="1" ht="15" x14ac:dyDescent="0.25">
      <c r="A83" s="45"/>
      <c r="B83" s="89" t="s">
        <v>231</v>
      </c>
      <c r="C83" s="45"/>
      <c r="D83" s="45"/>
      <c r="E83" s="45"/>
      <c r="F83" s="45"/>
      <c r="G83" s="45"/>
    </row>
    <row r="84" spans="1:7" customFormat="1" ht="15" x14ac:dyDescent="0.25">
      <c r="A84" s="45"/>
      <c r="B84" s="242" t="s">
        <v>220</v>
      </c>
      <c r="C84" s="45"/>
      <c r="D84" s="45"/>
      <c r="E84" s="243">
        <f>+E67</f>
        <v>2.9600000000000001E-2</v>
      </c>
      <c r="F84" s="45" t="s">
        <v>221</v>
      </c>
      <c r="G84" s="45"/>
    </row>
    <row r="85" spans="1:7" customFormat="1" ht="15" x14ac:dyDescent="0.25">
      <c r="B85" s="184" t="s">
        <v>219</v>
      </c>
      <c r="E85" s="118">
        <f>+E72</f>
        <v>4.5400000000000003E-2</v>
      </c>
      <c r="F85" t="s">
        <v>223</v>
      </c>
    </row>
    <row r="86" spans="1:7" customFormat="1" ht="15" x14ac:dyDescent="0.25">
      <c r="B86" s="244" t="s">
        <v>232</v>
      </c>
      <c r="E86" s="245">
        <v>1</v>
      </c>
      <c r="F86" t="s">
        <v>225</v>
      </c>
    </row>
    <row r="87" spans="1:7" customFormat="1" ht="15" x14ac:dyDescent="0.25">
      <c r="B87" s="244"/>
      <c r="E87" s="245"/>
    </row>
    <row r="88" spans="1:7" customFormat="1" ht="15" x14ac:dyDescent="0.25">
      <c r="B88" s="273" t="s">
        <v>224</v>
      </c>
      <c r="C88" s="273"/>
      <c r="D88" s="273"/>
      <c r="E88" s="366">
        <f>+E69</f>
        <v>2.5000000000000001E-2</v>
      </c>
      <c r="F88" s="45"/>
    </row>
    <row r="89" spans="1:7" customFormat="1" ht="15" x14ac:dyDescent="0.25">
      <c r="B89" s="273" t="s">
        <v>226</v>
      </c>
      <c r="C89" s="273"/>
      <c r="D89" s="273"/>
      <c r="E89" s="366">
        <f>+E70</f>
        <v>0.05</v>
      </c>
      <c r="F89" s="45"/>
    </row>
    <row r="90" spans="1:7" customFormat="1" ht="15" x14ac:dyDescent="0.25">
      <c r="B90" s="273" t="s">
        <v>222</v>
      </c>
      <c r="C90" s="273"/>
      <c r="D90" s="273"/>
      <c r="E90" s="366">
        <f>+E68</f>
        <v>0</v>
      </c>
      <c r="F90" s="45"/>
    </row>
    <row r="91" spans="1:7" customFormat="1" ht="15" x14ac:dyDescent="0.25"/>
    <row r="92" spans="1:7" customFormat="1" ht="15" x14ac:dyDescent="0.25">
      <c r="D92" s="58" t="s">
        <v>233</v>
      </c>
      <c r="E92" s="246">
        <f>+E84+(E85*E86)</f>
        <v>7.5000000000000011E-2</v>
      </c>
    </row>
    <row r="93" spans="1:7" customFormat="1" ht="15" x14ac:dyDescent="0.25"/>
    <row r="94" spans="1:7" x14ac:dyDescent="0.25">
      <c r="A94" s="87" t="s">
        <v>234</v>
      </c>
    </row>
    <row r="95" spans="1:7" x14ac:dyDescent="0.25">
      <c r="A95" s="447" t="s">
        <v>235</v>
      </c>
      <c r="B95" s="447"/>
      <c r="C95" s="447"/>
      <c r="D95" s="447"/>
      <c r="E95" s="447"/>
      <c r="F95" s="447"/>
      <c r="G95" s="447"/>
    </row>
    <row r="96" spans="1:7" x14ac:dyDescent="0.25">
      <c r="A96" s="447"/>
      <c r="B96" s="447"/>
      <c r="C96" s="447"/>
      <c r="D96" s="447"/>
      <c r="E96" s="447"/>
      <c r="F96" s="447"/>
      <c r="G96" s="447"/>
    </row>
    <row r="97" spans="1:7" x14ac:dyDescent="0.25">
      <c r="A97" s="447"/>
      <c r="B97" s="447"/>
      <c r="C97" s="447"/>
      <c r="D97" s="447"/>
      <c r="E97" s="447"/>
      <c r="F97" s="447"/>
      <c r="G97" s="447"/>
    </row>
    <row r="98" spans="1:7" hidden="1" x14ac:dyDescent="0.25">
      <c r="A98" s="59"/>
      <c r="B98" s="59"/>
      <c r="C98" s="59"/>
      <c r="D98" s="59"/>
      <c r="E98" s="59"/>
      <c r="F98" s="59"/>
      <c r="G98" s="353"/>
    </row>
    <row r="99" spans="1:7" hidden="1" x14ac:dyDescent="0.25">
      <c r="A99" s="59"/>
      <c r="B99" s="59"/>
      <c r="C99" s="59"/>
      <c r="D99" s="59"/>
      <c r="E99" s="59"/>
      <c r="F99" s="59"/>
      <c r="G99" s="353"/>
    </row>
    <row r="100" spans="1:7" hidden="1" x14ac:dyDescent="0.25">
      <c r="A100" s="59"/>
      <c r="B100" s="59"/>
      <c r="C100" s="59"/>
      <c r="D100" s="59"/>
      <c r="E100" s="59"/>
      <c r="F100" s="59"/>
      <c r="G100" s="353"/>
    </row>
    <row r="101" spans="1:7" hidden="1" x14ac:dyDescent="0.25">
      <c r="A101" s="59"/>
      <c r="B101" s="59"/>
      <c r="C101" s="59"/>
      <c r="D101" s="59"/>
      <c r="E101" s="59"/>
      <c r="F101" s="59"/>
      <c r="G101" s="353"/>
    </row>
    <row r="102" spans="1:7" hidden="1" x14ac:dyDescent="0.25">
      <c r="A102" s="59"/>
      <c r="B102" s="59"/>
      <c r="C102" s="59"/>
      <c r="D102" s="59"/>
      <c r="E102" s="59"/>
      <c r="F102" s="59"/>
      <c r="G102" s="353"/>
    </row>
    <row r="103" spans="1:7" hidden="1" x14ac:dyDescent="0.25">
      <c r="A103" s="59"/>
      <c r="B103" s="59"/>
      <c r="C103" s="59"/>
      <c r="D103" s="59"/>
      <c r="E103" s="59"/>
      <c r="F103" s="59"/>
      <c r="G103" s="353"/>
    </row>
    <row r="104" spans="1:7" hidden="1" x14ac:dyDescent="0.25">
      <c r="A104" s="59"/>
      <c r="B104" s="59"/>
      <c r="C104" s="59"/>
      <c r="D104" s="59"/>
      <c r="E104" s="59"/>
      <c r="F104" s="59"/>
      <c r="G104" s="353"/>
    </row>
    <row r="105" spans="1:7" hidden="1" x14ac:dyDescent="0.25">
      <c r="A105" s="59"/>
      <c r="B105" s="59"/>
      <c r="C105" s="59"/>
      <c r="D105" s="59"/>
      <c r="E105" s="59"/>
      <c r="F105" s="59"/>
      <c r="G105" s="353"/>
    </row>
    <row r="106" spans="1:7" hidden="1" x14ac:dyDescent="0.25">
      <c r="A106" s="59"/>
      <c r="B106" s="59"/>
      <c r="C106" s="59"/>
      <c r="D106" s="59"/>
      <c r="E106" s="59"/>
      <c r="F106" s="59"/>
      <c r="G106" s="353"/>
    </row>
    <row r="107" spans="1:7" hidden="1" x14ac:dyDescent="0.25">
      <c r="A107" s="59"/>
      <c r="B107" s="59"/>
      <c r="C107" s="59"/>
      <c r="D107" s="59"/>
      <c r="E107" s="59"/>
      <c r="F107" s="59"/>
      <c r="G107" s="353"/>
    </row>
    <row r="108" spans="1:7" hidden="1" x14ac:dyDescent="0.25">
      <c r="A108" s="59"/>
      <c r="B108" s="59"/>
      <c r="C108" s="59"/>
      <c r="D108" s="59"/>
      <c r="E108" s="59"/>
      <c r="F108" s="59"/>
      <c r="G108" s="353"/>
    </row>
    <row r="109" spans="1:7" hidden="1" x14ac:dyDescent="0.25">
      <c r="A109" s="59"/>
      <c r="B109" s="59"/>
      <c r="C109" s="59"/>
      <c r="D109" s="59"/>
      <c r="E109" s="59"/>
      <c r="F109" s="59"/>
      <c r="G109" s="353"/>
    </row>
    <row r="110" spans="1:7" hidden="1" x14ac:dyDescent="0.25">
      <c r="A110" s="59"/>
      <c r="B110" s="59"/>
      <c r="C110" s="59"/>
      <c r="D110" s="59"/>
      <c r="E110" s="59"/>
      <c r="F110" s="59"/>
      <c r="G110" s="353"/>
    </row>
    <row r="111" spans="1:7" hidden="1" x14ac:dyDescent="0.25">
      <c r="A111" s="59"/>
      <c r="B111" s="59"/>
      <c r="C111" s="59"/>
      <c r="D111" s="59"/>
      <c r="E111" s="59"/>
      <c r="F111" s="59"/>
      <c r="G111" s="353"/>
    </row>
    <row r="112" spans="1:7" hidden="1" x14ac:dyDescent="0.25">
      <c r="A112" s="59"/>
      <c r="B112" s="59"/>
      <c r="C112" s="59"/>
      <c r="D112" s="59"/>
      <c r="E112" s="59"/>
      <c r="F112" s="59"/>
      <c r="G112" s="353"/>
    </row>
    <row r="113" spans="1:7" hidden="1" x14ac:dyDescent="0.25">
      <c r="A113" s="59"/>
      <c r="B113" s="59"/>
      <c r="C113" s="59"/>
      <c r="D113" s="59"/>
      <c r="E113" s="59"/>
      <c r="F113" s="59"/>
      <c r="G113" s="353"/>
    </row>
    <row r="114" spans="1:7" hidden="1" x14ac:dyDescent="0.25">
      <c r="A114" s="59"/>
      <c r="B114" s="59"/>
      <c r="C114" s="59"/>
      <c r="D114" s="59"/>
      <c r="E114" s="59"/>
      <c r="F114" s="59"/>
      <c r="G114" s="353"/>
    </row>
    <row r="115" spans="1:7" hidden="1" x14ac:dyDescent="0.25">
      <c r="A115" s="59"/>
      <c r="B115" s="59"/>
      <c r="C115" s="59"/>
      <c r="D115" s="59"/>
      <c r="E115" s="59"/>
      <c r="F115" s="59"/>
      <c r="G115" s="353"/>
    </row>
    <row r="116" spans="1:7" hidden="1" x14ac:dyDescent="0.25">
      <c r="A116" s="59"/>
      <c r="B116" s="59"/>
      <c r="C116" s="59"/>
      <c r="D116" s="59"/>
      <c r="E116" s="59"/>
      <c r="F116" s="59"/>
      <c r="G116" s="353"/>
    </row>
    <row r="117" spans="1:7" hidden="1" x14ac:dyDescent="0.25">
      <c r="A117" s="59"/>
      <c r="B117" s="59"/>
      <c r="C117" s="59"/>
      <c r="D117" s="59"/>
      <c r="E117" s="59"/>
      <c r="F117" s="59"/>
      <c r="G117" s="353"/>
    </row>
    <row r="118" spans="1:7" hidden="1" x14ac:dyDescent="0.25">
      <c r="A118" s="59"/>
      <c r="B118" s="59"/>
      <c r="C118" s="59"/>
      <c r="D118" s="59"/>
      <c r="E118" s="59"/>
      <c r="F118" s="59"/>
      <c r="G118" s="353"/>
    </row>
    <row r="119" spans="1:7" hidden="1" x14ac:dyDescent="0.25">
      <c r="A119" s="59"/>
      <c r="B119" s="59"/>
      <c r="C119" s="59"/>
      <c r="D119" s="59"/>
      <c r="E119" s="59"/>
      <c r="F119" s="59"/>
      <c r="G119" s="353"/>
    </row>
    <row r="120" spans="1:7" hidden="1" x14ac:dyDescent="0.25">
      <c r="A120" s="59"/>
      <c r="B120" s="59"/>
      <c r="C120" s="59"/>
      <c r="D120" s="59"/>
      <c r="E120" s="59"/>
      <c r="F120" s="59"/>
      <c r="G120" s="353"/>
    </row>
    <row r="121" spans="1:7" hidden="1" x14ac:dyDescent="0.25">
      <c r="A121" s="59"/>
      <c r="B121" s="59"/>
      <c r="C121" s="59"/>
      <c r="D121" s="59"/>
      <c r="E121" s="59"/>
      <c r="F121" s="59"/>
      <c r="G121" s="353"/>
    </row>
    <row r="122" spans="1:7" hidden="1" x14ac:dyDescent="0.25">
      <c r="A122" s="59"/>
      <c r="B122" s="59"/>
      <c r="C122" s="59"/>
      <c r="D122" s="59"/>
      <c r="E122" s="59"/>
      <c r="F122" s="59"/>
      <c r="G122" s="353"/>
    </row>
    <row r="123" spans="1:7" hidden="1" x14ac:dyDescent="0.25">
      <c r="A123" s="59"/>
      <c r="B123" s="59"/>
      <c r="C123" s="59"/>
      <c r="D123" s="59"/>
      <c r="E123" s="59"/>
      <c r="F123" s="59"/>
      <c r="G123" s="353"/>
    </row>
    <row r="124" spans="1:7" hidden="1" x14ac:dyDescent="0.25">
      <c r="A124" s="59"/>
      <c r="B124" s="59"/>
      <c r="C124" s="59"/>
      <c r="D124" s="59"/>
      <c r="E124" s="59"/>
      <c r="F124" s="59"/>
      <c r="G124" s="353"/>
    </row>
    <row r="125" spans="1:7" hidden="1" x14ac:dyDescent="0.25">
      <c r="A125" s="59"/>
      <c r="B125" s="59"/>
      <c r="C125" s="59"/>
      <c r="D125" s="59"/>
      <c r="E125" s="59"/>
      <c r="F125" s="59"/>
      <c r="G125" s="353"/>
    </row>
    <row r="126" spans="1:7" hidden="1" x14ac:dyDescent="0.25">
      <c r="A126" s="59"/>
      <c r="B126" s="59"/>
      <c r="C126" s="59"/>
      <c r="D126" s="59"/>
      <c r="E126" s="59"/>
      <c r="F126" s="59"/>
      <c r="G126" s="353"/>
    </row>
    <row r="127" spans="1:7" hidden="1" x14ac:dyDescent="0.25">
      <c r="A127" s="59"/>
      <c r="B127" s="59"/>
      <c r="C127" s="59"/>
      <c r="D127" s="59"/>
      <c r="E127" s="59"/>
      <c r="F127" s="59"/>
      <c r="G127" s="353"/>
    </row>
    <row r="128" spans="1:7" hidden="1" x14ac:dyDescent="0.25">
      <c r="A128" s="59"/>
      <c r="B128" s="59"/>
      <c r="C128" s="59"/>
      <c r="D128" s="59"/>
      <c r="E128" s="59"/>
      <c r="F128" s="59"/>
      <c r="G128" s="353"/>
    </row>
    <row r="129" spans="1:7" hidden="1" x14ac:dyDescent="0.25">
      <c r="A129" s="59"/>
      <c r="B129" s="59"/>
      <c r="C129" s="59"/>
      <c r="D129" s="59"/>
      <c r="E129" s="59"/>
      <c r="F129" s="59"/>
      <c r="G129" s="353"/>
    </row>
    <row r="130" spans="1:7" x14ac:dyDescent="0.25">
      <c r="A130" s="59"/>
      <c r="B130" s="59"/>
      <c r="C130" s="59"/>
      <c r="D130" s="59"/>
      <c r="E130" s="59"/>
      <c r="F130" s="59"/>
      <c r="G130" s="353"/>
    </row>
    <row r="131" spans="1:7" x14ac:dyDescent="0.25">
      <c r="A131" s="59"/>
      <c r="B131" s="59"/>
      <c r="C131" s="59"/>
      <c r="D131" s="59"/>
      <c r="E131" s="59"/>
      <c r="F131" s="59"/>
      <c r="G131" s="353"/>
    </row>
    <row r="132" spans="1:7" x14ac:dyDescent="0.25">
      <c r="A132" s="59"/>
      <c r="B132" s="59"/>
      <c r="C132" s="59"/>
      <c r="D132" s="59"/>
      <c r="E132" s="59"/>
      <c r="F132" s="59"/>
      <c r="G132" s="353"/>
    </row>
    <row r="133" spans="1:7" x14ac:dyDescent="0.25">
      <c r="A133" s="59"/>
      <c r="B133" s="59"/>
      <c r="C133" s="59"/>
      <c r="D133" s="59"/>
      <c r="E133" s="59"/>
      <c r="F133" s="59"/>
      <c r="G133" s="353"/>
    </row>
    <row r="134" spans="1:7" x14ac:dyDescent="0.25">
      <c r="A134" s="59"/>
      <c r="B134" s="59"/>
      <c r="C134" s="59"/>
      <c r="D134" s="59"/>
      <c r="E134" s="59"/>
      <c r="F134" s="59"/>
      <c r="G134" s="353"/>
    </row>
    <row r="135" spans="1:7" x14ac:dyDescent="0.25">
      <c r="A135" s="59"/>
      <c r="B135" s="59"/>
      <c r="C135" s="59"/>
      <c r="D135" s="59"/>
      <c r="E135" s="59"/>
      <c r="F135" s="59"/>
      <c r="G135" s="353"/>
    </row>
    <row r="136" spans="1:7" x14ac:dyDescent="0.25">
      <c r="A136" s="59"/>
      <c r="B136" s="59"/>
      <c r="C136" s="59"/>
      <c r="D136" s="59"/>
      <c r="E136" s="59"/>
      <c r="F136" s="59"/>
      <c r="G136" s="353"/>
    </row>
    <row r="137" spans="1:7" x14ac:dyDescent="0.25">
      <c r="A137" s="87" t="s">
        <v>236</v>
      </c>
    </row>
    <row r="138" spans="1:7" customFormat="1" ht="15" x14ac:dyDescent="0.25">
      <c r="A138" s="447" t="s">
        <v>237</v>
      </c>
      <c r="B138" s="447"/>
      <c r="C138" s="447"/>
      <c r="D138" s="447"/>
      <c r="E138" s="447"/>
      <c r="F138" s="447"/>
      <c r="G138" s="447"/>
    </row>
    <row r="139" spans="1:7" customFormat="1" ht="15" x14ac:dyDescent="0.25">
      <c r="A139" s="447"/>
      <c r="B139" s="447"/>
      <c r="C139" s="447"/>
      <c r="D139" s="447"/>
      <c r="E139" s="447"/>
      <c r="F139" s="447"/>
      <c r="G139" s="447"/>
    </row>
    <row r="140" spans="1:7" customFormat="1" ht="15" x14ac:dyDescent="0.25">
      <c r="A140" s="447"/>
      <c r="B140" s="447"/>
      <c r="C140" s="447"/>
      <c r="D140" s="447"/>
      <c r="E140" s="447"/>
      <c r="F140" s="447"/>
      <c r="G140" s="447"/>
    </row>
    <row r="141" spans="1:7" customFormat="1" ht="15" x14ac:dyDescent="0.25">
      <c r="A141" s="447"/>
      <c r="B141" s="447"/>
      <c r="C141" s="447"/>
      <c r="D141" s="447"/>
      <c r="E141" s="447"/>
      <c r="F141" s="447"/>
      <c r="G141" s="447"/>
    </row>
    <row r="142" spans="1:7" customFormat="1" ht="15" x14ac:dyDescent="0.25">
      <c r="A142" s="447"/>
      <c r="B142" s="447"/>
      <c r="C142" s="447"/>
      <c r="D142" s="447"/>
      <c r="E142" s="447"/>
      <c r="F142" s="447"/>
      <c r="G142" s="447"/>
    </row>
    <row r="143" spans="1:7" customFormat="1" ht="18.75" x14ac:dyDescent="0.3">
      <c r="B143" s="67"/>
      <c r="C143" s="69" t="s">
        <v>238</v>
      </c>
    </row>
    <row r="144" spans="1:7" customFormat="1" ht="18.75" x14ac:dyDescent="0.3">
      <c r="B144" s="67"/>
      <c r="C144" s="69"/>
    </row>
    <row r="145" spans="2:6" customFormat="1" x14ac:dyDescent="0.25">
      <c r="B145" s="69" t="s">
        <v>239</v>
      </c>
      <c r="C145" s="69"/>
    </row>
    <row r="146" spans="2:6" customFormat="1" x14ac:dyDescent="0.25">
      <c r="B146" s="69" t="s">
        <v>240</v>
      </c>
      <c r="C146" s="69"/>
    </row>
    <row r="147" spans="2:6" customFormat="1" x14ac:dyDescent="0.25">
      <c r="B147" s="69" t="s">
        <v>241</v>
      </c>
      <c r="C147" s="69"/>
    </row>
    <row r="148" spans="2:6" customFormat="1" x14ac:dyDescent="0.25">
      <c r="B148" s="69" t="s">
        <v>242</v>
      </c>
      <c r="C148" s="69"/>
    </row>
    <row r="149" spans="2:6" x14ac:dyDescent="0.25">
      <c r="B149" s="69" t="s">
        <v>243</v>
      </c>
    </row>
    <row r="150" spans="2:6" x14ac:dyDescent="0.25">
      <c r="B150" s="69" t="s">
        <v>244</v>
      </c>
    </row>
    <row r="152" spans="2:6" x14ac:dyDescent="0.25">
      <c r="B152" s="61" t="s">
        <v>245</v>
      </c>
      <c r="D152" s="88">
        <f>+E92</f>
        <v>7.5000000000000011E-2</v>
      </c>
    </row>
    <row r="154" spans="2:6" x14ac:dyDescent="0.25">
      <c r="B154" s="61" t="s">
        <v>246</v>
      </c>
    </row>
    <row r="155" spans="2:6" x14ac:dyDescent="0.25">
      <c r="B155" s="69" t="s">
        <v>247</v>
      </c>
      <c r="F155" s="92">
        <f>'Balans &amp; Res.rek'!H113</f>
        <v>17157.990000000002</v>
      </c>
    </row>
    <row r="156" spans="2:6" x14ac:dyDescent="0.25">
      <c r="B156" s="69" t="s">
        <v>248</v>
      </c>
      <c r="F156" s="92">
        <f>+WACC!E24</f>
        <v>955951.69</v>
      </c>
    </row>
    <row r="157" spans="2:6" x14ac:dyDescent="0.25">
      <c r="B157" s="69" t="s">
        <v>249</v>
      </c>
      <c r="F157" s="348">
        <f>+WACC!E25</f>
        <v>9.423012526919643E-3</v>
      </c>
    </row>
    <row r="158" spans="2:6" x14ac:dyDescent="0.25">
      <c r="B158" s="69" t="s">
        <v>250</v>
      </c>
      <c r="F158" s="348">
        <f>+WACC!E26</f>
        <v>0.25</v>
      </c>
    </row>
    <row r="160" spans="2:6" x14ac:dyDescent="0.25">
      <c r="B160" s="69" t="s">
        <v>251</v>
      </c>
      <c r="F160" s="347">
        <f>+F157-(F158*F157)</f>
        <v>7.0672593951897327E-3</v>
      </c>
    </row>
    <row r="162" spans="2:7" x14ac:dyDescent="0.25">
      <c r="B162" s="61" t="s">
        <v>252</v>
      </c>
    </row>
    <row r="163" spans="2:7" x14ac:dyDescent="0.25">
      <c r="B163" s="69" t="s">
        <v>253</v>
      </c>
    </row>
    <row r="164" spans="2:7" x14ac:dyDescent="0.25">
      <c r="C164" s="69" t="s">
        <v>254</v>
      </c>
    </row>
    <row r="166" spans="2:7" x14ac:dyDescent="0.25">
      <c r="B166" s="69" t="s">
        <v>255</v>
      </c>
    </row>
    <row r="167" spans="2:7" x14ac:dyDescent="0.25">
      <c r="C167" s="69" t="s">
        <v>256</v>
      </c>
      <c r="F167" s="355">
        <f>+WACC!F35</f>
        <v>537093.15874999994</v>
      </c>
    </row>
    <row r="168" spans="2:7" x14ac:dyDescent="0.25">
      <c r="C168" s="69" t="s">
        <v>248</v>
      </c>
      <c r="F168" s="355">
        <f>+WACC!F36</f>
        <v>955951.69</v>
      </c>
    </row>
    <row r="169" spans="2:7" x14ac:dyDescent="0.25">
      <c r="C169" s="69" t="s">
        <v>257</v>
      </c>
      <c r="F169" s="355">
        <f>F168+F167</f>
        <v>1493044.8487499999</v>
      </c>
    </row>
    <row r="170" spans="2:7" x14ac:dyDescent="0.25">
      <c r="F170" s="356"/>
    </row>
    <row r="171" spans="2:7" x14ac:dyDescent="0.25">
      <c r="B171" s="69" t="s">
        <v>258</v>
      </c>
      <c r="F171" s="356"/>
    </row>
    <row r="172" spans="2:7" x14ac:dyDescent="0.25">
      <c r="C172" s="69" t="s">
        <v>259</v>
      </c>
      <c r="F172" s="90">
        <f>+WACC!F40</f>
        <v>0.3597300906263215</v>
      </c>
    </row>
    <row r="173" spans="2:7" x14ac:dyDescent="0.25">
      <c r="C173" s="69" t="s">
        <v>260</v>
      </c>
      <c r="F173" s="90">
        <f>+WACC!F41</f>
        <v>0.64026990937367845</v>
      </c>
    </row>
    <row r="174" spans="2:7" x14ac:dyDescent="0.25">
      <c r="C174" s="69" t="s">
        <v>257</v>
      </c>
      <c r="F174" s="93">
        <f>+F169/F169</f>
        <v>1</v>
      </c>
    </row>
    <row r="176" spans="2:7" x14ac:dyDescent="0.25">
      <c r="B176" s="61" t="s">
        <v>261</v>
      </c>
      <c r="G176" s="91">
        <f>(F172*D152)+(F173*F160)</f>
        <v>3.1504710329452526E-2</v>
      </c>
    </row>
    <row r="178" spans="1:7" x14ac:dyDescent="0.25">
      <c r="A178" s="87" t="s">
        <v>262</v>
      </c>
      <c r="D178" s="400"/>
    </row>
    <row r="179" spans="1:7" x14ac:dyDescent="0.25">
      <c r="C179"/>
      <c r="D179"/>
    </row>
    <row r="180" spans="1:7" x14ac:dyDescent="0.25">
      <c r="C180" s="247">
        <v>45657</v>
      </c>
      <c r="D180" s="114">
        <v>0.25</v>
      </c>
    </row>
    <row r="181" spans="1:7" x14ac:dyDescent="0.25">
      <c r="C181" s="247">
        <v>45838</v>
      </c>
      <c r="D181" s="114">
        <v>0.25</v>
      </c>
    </row>
    <row r="182" spans="1:7" hidden="1" x14ac:dyDescent="0.25">
      <c r="C182" s="247"/>
      <c r="D182" s="114"/>
    </row>
    <row r="183" spans="1:7" hidden="1" x14ac:dyDescent="0.25">
      <c r="C183" s="247"/>
      <c r="D183" s="114"/>
    </row>
    <row r="184" spans="1:7" x14ac:dyDescent="0.25">
      <c r="C184"/>
      <c r="D184" s="114"/>
    </row>
    <row r="185" spans="1:7" x14ac:dyDescent="0.25">
      <c r="C185" s="239" t="s">
        <v>263</v>
      </c>
      <c r="D185" s="241">
        <f>AVERAGE(D180:D183)</f>
        <v>0.25</v>
      </c>
      <c r="F185" s="5"/>
      <c r="G185"/>
    </row>
    <row r="186" spans="1:7" x14ac:dyDescent="0.25">
      <c r="F186"/>
      <c r="G186"/>
    </row>
    <row r="223" spans="7:7" x14ac:dyDescent="0.25">
      <c r="G223" s="354"/>
    </row>
  </sheetData>
  <mergeCells count="7">
    <mergeCell ref="A3:D3"/>
    <mergeCell ref="B38:G40"/>
    <mergeCell ref="A138:G142"/>
    <mergeCell ref="A75:G82"/>
    <mergeCell ref="A95:G97"/>
    <mergeCell ref="A45:G47"/>
    <mergeCell ref="A58:G65"/>
  </mergeCells>
  <hyperlinks>
    <hyperlink ref="B56" r:id="rId1" xr:uid="{00000000-0004-0000-0700-000000000000}"/>
  </hyperlinks>
  <pageMargins left="0.70866141732283472" right="0.70866141732283472" top="0.74803149606299213" bottom="0.74803149606299213" header="0.31496062992125984" footer="0.31496062992125984"/>
  <pageSetup paperSize="9" scale="97" firstPageNumber="23" fitToHeight="0" orientation="portrait" useFirstPageNumber="1" r:id="rId2"/>
  <headerFooter>
    <oddHeader>&amp;LSisu BV&amp;CWaardering aandelen
&amp;R&amp;D</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ef54a51-7f1a-4790-bbd0-b8fbcf10d4bf" xsi:nil="true"/>
    <lcf76f155ced4ddcb4097134ff3c332f xmlns="2d561f6f-bf01-4d8c-abdd-c8075c0d830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B3F60225121A4294A7E19FAE4BCB7F" ma:contentTypeVersion="17" ma:contentTypeDescription="Een nieuw document maken." ma:contentTypeScope="" ma:versionID="0d59a8ae9c98f5845e64126c09a82e36">
  <xsd:schema xmlns:xsd="http://www.w3.org/2001/XMLSchema" xmlns:xs="http://www.w3.org/2001/XMLSchema" xmlns:p="http://schemas.microsoft.com/office/2006/metadata/properties" xmlns:ns2="2d561f6f-bf01-4d8c-abdd-c8075c0d8301" xmlns:ns3="7ef54a51-7f1a-4790-bbd0-b8fbcf10d4bf" targetNamespace="http://schemas.microsoft.com/office/2006/metadata/properties" ma:root="true" ma:fieldsID="5f6d744609a0f12584847e00a4ea999a" ns2:_="" ns3:_="">
    <xsd:import namespace="2d561f6f-bf01-4d8c-abdd-c8075c0d8301"/>
    <xsd:import namespace="7ef54a51-7f1a-4790-bbd0-b8fbcf10d4b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561f6f-bf01-4d8c-abdd-c8075c0d83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b1aed3cb-aad0-4c21-a49f-ca1c9d7d671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f54a51-7f1a-4790-bbd0-b8fbcf10d4b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element name="TaxCatchAll" ma:index="22" nillable="true" ma:displayName="Taxonomy Catch All Column" ma:hidden="true" ma:list="{8a40f734-749d-474e-9b7f-5eeb06ce35fa}" ma:internalName="TaxCatchAll" ma:showField="CatchAllData" ma:web="7ef54a51-7f1a-4790-bbd0-b8fbcf10d4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7EF959-9EEE-404F-913F-98952E6AF79C}">
  <ds:schemaRefs>
    <ds:schemaRef ds:uri="http://schemas.microsoft.com/sharepoint/v3/contenttype/forms"/>
  </ds:schemaRefs>
</ds:datastoreItem>
</file>

<file path=customXml/itemProps2.xml><?xml version="1.0" encoding="utf-8"?>
<ds:datastoreItem xmlns:ds="http://schemas.openxmlformats.org/officeDocument/2006/customXml" ds:itemID="{BF3AAD40-883E-41F1-8D42-FF2791A8CD9A}">
  <ds:schemaRefs>
    <ds:schemaRef ds:uri="http://schemas.microsoft.com/office/2006/metadata/properties"/>
    <ds:schemaRef ds:uri="http://schemas.microsoft.com/office/infopath/2007/PartnerControls"/>
    <ds:schemaRef ds:uri="7ef54a51-7f1a-4790-bbd0-b8fbcf10d4bf"/>
    <ds:schemaRef ds:uri="2d561f6f-bf01-4d8c-abdd-c8075c0d8301"/>
  </ds:schemaRefs>
</ds:datastoreItem>
</file>

<file path=customXml/itemProps3.xml><?xml version="1.0" encoding="utf-8"?>
<ds:datastoreItem xmlns:ds="http://schemas.openxmlformats.org/officeDocument/2006/customXml" ds:itemID="{F1CD91D0-FFC7-49D4-B255-3EF6F18F58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561f6f-bf01-4d8c-abdd-c8075c0d8301"/>
    <ds:schemaRef ds:uri="7ef54a51-7f1a-4790-bbd0-b8fbcf10d4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22</vt:i4>
      </vt:variant>
      <vt:variant>
        <vt:lpstr>Grafieken</vt:lpstr>
      </vt:variant>
      <vt:variant>
        <vt:i4>1</vt:i4>
      </vt:variant>
    </vt:vector>
  </HeadingPairs>
  <TitlesOfParts>
    <vt:vector size="23" baseType="lpstr">
      <vt:lpstr>te herwerken</vt:lpstr>
      <vt:lpstr>Financiële analyse</vt:lpstr>
      <vt:lpstr>waarderingsrapport</vt:lpstr>
      <vt:lpstr>inhoudstafel</vt:lpstr>
      <vt:lpstr>algemene bedrijfsinformatie</vt:lpstr>
      <vt:lpstr>Blad1</vt:lpstr>
      <vt:lpstr>Balans &amp; Res.rek</vt:lpstr>
      <vt:lpstr>Prognose</vt:lpstr>
      <vt:lpstr>variabelen</vt:lpstr>
      <vt:lpstr>WACC</vt:lpstr>
      <vt:lpstr>Eigen vermogenswaarde</vt:lpstr>
      <vt:lpstr>EBITDA</vt:lpstr>
      <vt:lpstr>rendement</vt:lpstr>
      <vt:lpstr>DCF</vt:lpstr>
      <vt:lpstr>Sensiviteitsanalyse</vt:lpstr>
      <vt:lpstr>EVA</vt:lpstr>
      <vt:lpstr>Standaardmethode</vt:lpstr>
      <vt:lpstr>Overwinstmethode</vt:lpstr>
      <vt:lpstr>Alternatieve methodes</vt:lpstr>
      <vt:lpstr>overzicht waardering</vt:lpstr>
      <vt:lpstr>Projectie vastgoed</vt:lpstr>
      <vt:lpstr>Blad3</vt:lpstr>
      <vt:lpstr>Grafiek1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Wim De Roo</dc:creator>
  <cp:keywords/>
  <dc:description/>
  <cp:lastModifiedBy>Jordy Lauret</cp:lastModifiedBy>
  <cp:revision/>
  <cp:lastPrinted>2025-09-17T09:03:35Z</cp:lastPrinted>
  <dcterms:created xsi:type="dcterms:W3CDTF">2013-03-19T09:12:04Z</dcterms:created>
  <dcterms:modified xsi:type="dcterms:W3CDTF">2025-10-27T16:46:09Z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ContentTypeId">
    <vt:lpwstr>0x0101007BB3F60225121A4294A7E19FAE4BCB7F</vt:lpwstr>
  </property>
  <property fmtid="{D5CDD505-2E9C-101B-9397-08002B2CF9AE}" pid="4" name="MediaServiceImageTags">
    <vt:lpwstr/>
  </property>
</Properties>
</file>