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bookViews>
    <workbookView xWindow="0" yWindow="0" windowWidth="28800" windowHeight="12330" activeTab="1"/>
  </bookViews>
  <sheets>
    <sheet name="Hoja1" sheetId="1" r:id="rId1"/>
    <sheet name="Este es el ejempl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 s="1"/>
  <c r="C12" i="2" l="1"/>
  <c r="C15" i="2" s="1"/>
  <c r="C6" i="2"/>
  <c r="C7" i="2" s="1"/>
  <c r="D10" i="2"/>
  <c r="F33" i="2"/>
  <c r="C21" i="2" s="1"/>
  <c r="C33" i="2"/>
  <c r="C34" i="2" s="1"/>
  <c r="C35" i="2" s="1"/>
  <c r="D36" i="2" s="1"/>
  <c r="K22" i="1"/>
  <c r="G21" i="1"/>
  <c r="F20" i="1"/>
  <c r="F21" i="1" s="1"/>
  <c r="C13" i="2" l="1"/>
  <c r="C11" i="2"/>
  <c r="D37" i="2"/>
  <c r="C20" i="2"/>
  <c r="O19" i="1"/>
  <c r="K38" i="1"/>
  <c r="G10" i="1"/>
  <c r="G8" i="1"/>
  <c r="M11" i="1" s="1"/>
  <c r="C16" i="2" l="1"/>
  <c r="F12" i="2" s="1"/>
  <c r="D38" i="2"/>
  <c r="D39" i="2" s="1"/>
  <c r="C22" i="2" s="1"/>
  <c r="C23" i="2"/>
  <c r="K10" i="1"/>
  <c r="F22" i="1" s="1"/>
  <c r="Q19" i="1"/>
  <c r="C25" i="2" l="1"/>
  <c r="C26" i="2" s="1"/>
  <c r="F22" i="2" s="1"/>
  <c r="Q21" i="1"/>
  <c r="Q22" i="1"/>
  <c r="R22" i="1" s="1"/>
  <c r="S22" i="1" s="1"/>
  <c r="M8" i="1"/>
  <c r="R19" i="1"/>
  <c r="S19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K26" i="1"/>
  <c r="H15" i="1"/>
  <c r="R21" i="1" l="1"/>
  <c r="Q27" i="1"/>
  <c r="I10" i="1"/>
  <c r="H10" i="1" s="1"/>
  <c r="H12" i="1" s="1"/>
  <c r="K37" i="1" s="1"/>
  <c r="N8" i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R27" i="1" l="1"/>
  <c r="S27" i="1" s="1"/>
  <c r="S21" i="1"/>
  <c r="H13" i="1"/>
  <c r="K16" i="1" s="1"/>
  <c r="K33" i="1" s="1"/>
  <c r="F29" i="1" l="1"/>
  <c r="K30" i="1" s="1"/>
  <c r="E26" i="1"/>
  <c r="K27" i="1" s="1"/>
  <c r="K35" i="1" s="1"/>
  <c r="G36" i="1" l="1"/>
  <c r="K36" i="1" s="1"/>
  <c r="M7" i="1"/>
  <c r="M9" i="1" s="1"/>
  <c r="N7" i="1" s="1"/>
  <c r="N9" i="1" s="1"/>
  <c r="O7" i="1" s="1"/>
  <c r="O9" i="1" s="1"/>
  <c r="P7" i="1" s="1"/>
  <c r="P9" i="1" s="1"/>
  <c r="Q7" i="1" s="1"/>
  <c r="Q9" i="1" s="1"/>
  <c r="R7" i="1" s="1"/>
  <c r="R9" i="1" s="1"/>
  <c r="S7" i="1" s="1"/>
  <c r="S9" i="1" s="1"/>
  <c r="T7" i="1" s="1"/>
  <c r="T9" i="1" s="1"/>
  <c r="U7" i="1" s="1"/>
  <c r="U9" i="1" s="1"/>
  <c r="V7" i="1" s="1"/>
  <c r="V9" i="1" s="1"/>
  <c r="W7" i="1" s="1"/>
  <c r="W9" i="1" s="1"/>
  <c r="X7" i="1" s="1"/>
  <c r="X9" i="1" s="1"/>
  <c r="Y7" i="1" s="1"/>
  <c r="Y9" i="1" s="1"/>
  <c r="Z7" i="1" s="1"/>
  <c r="Z9" i="1" s="1"/>
  <c r="K34" i="1"/>
  <c r="K39" i="1" l="1"/>
</calcChain>
</file>

<file path=xl/sharedStrings.xml><?xml version="1.0" encoding="utf-8"?>
<sst xmlns="http://schemas.openxmlformats.org/spreadsheetml/2006/main" count="116" uniqueCount="85">
  <si>
    <t>W</t>
  </si>
  <si>
    <t>Am</t>
  </si>
  <si>
    <t>Wat</t>
  </si>
  <si>
    <t>Vol</t>
  </si>
  <si>
    <t>Cantidad</t>
  </si>
  <si>
    <t>W/h</t>
  </si>
  <si>
    <t>h/dia</t>
  </si>
  <si>
    <t>W/d</t>
  </si>
  <si>
    <t>PANELES</t>
  </si>
  <si>
    <t>BATERIAS</t>
  </si>
  <si>
    <t>vol</t>
  </si>
  <si>
    <t>Amp</t>
  </si>
  <si>
    <t>Cant</t>
  </si>
  <si>
    <t>w/t</t>
  </si>
  <si>
    <t>vidrio</t>
  </si>
  <si>
    <t>eva</t>
  </si>
  <si>
    <t>box</t>
  </si>
  <si>
    <t>cable</t>
  </si>
  <si>
    <t>cantidad</t>
  </si>
  <si>
    <t>marco</t>
  </si>
  <si>
    <t>TOTAL PROYECTO</t>
  </si>
  <si>
    <t>CELDAS</t>
  </si>
  <si>
    <t>TOTAL</t>
  </si>
  <si>
    <t>caja</t>
  </si>
  <si>
    <t>panel 18</t>
  </si>
  <si>
    <t>lunes</t>
  </si>
  <si>
    <t>martes</t>
  </si>
  <si>
    <t>miércoles</t>
  </si>
  <si>
    <t>jueves</t>
  </si>
  <si>
    <t>viernes</t>
  </si>
  <si>
    <t>sábado</t>
  </si>
  <si>
    <t>domingo</t>
  </si>
  <si>
    <t>ESTRUCTURA</t>
  </si>
  <si>
    <t>Kw/mes</t>
  </si>
  <si>
    <t>Costo/Kw</t>
  </si>
  <si>
    <t>Recibo mes</t>
  </si>
  <si>
    <t>año</t>
  </si>
  <si>
    <t>Alam</t>
  </si>
  <si>
    <t>2 años</t>
  </si>
  <si>
    <t>Vida util 10 años</t>
  </si>
  <si>
    <t>Cantidad Watios mes</t>
  </si>
  <si>
    <t>Consumo</t>
  </si>
  <si>
    <t>Baterias</t>
  </si>
  <si>
    <t>Total</t>
  </si>
  <si>
    <t>Paneles</t>
  </si>
  <si>
    <t>ARMADO PANELES</t>
  </si>
  <si>
    <t>ARMADO BATERIAS</t>
  </si>
  <si>
    <t>ARMADO PAN</t>
  </si>
  <si>
    <t>ARMADO BAT</t>
  </si>
  <si>
    <t>SOLDADURA</t>
  </si>
  <si>
    <t>Caja</t>
  </si>
  <si>
    <t>Cables</t>
  </si>
  <si>
    <t>Circuito</t>
  </si>
  <si>
    <t>Kwdia</t>
  </si>
  <si>
    <t>Publica</t>
  </si>
  <si>
    <t>Ahorro</t>
  </si>
  <si>
    <t>Supuesto energia publica consumo total</t>
  </si>
  <si>
    <t>Inversor Energía Solar Conectado A La Red Mppt 110 O 220 Vac 600w</t>
  </si>
  <si>
    <t>SI</t>
  </si>
  <si>
    <t>SI/NO</t>
  </si>
  <si>
    <t>Modifique el porcentaje de ahorro deseado</t>
  </si>
  <si>
    <t>Escriba la cantidad de KW de su factura</t>
  </si>
  <si>
    <t>Eje: 180</t>
  </si>
  <si>
    <t>Información Factura Usuario</t>
  </si>
  <si>
    <t>Solución Solar Requerida</t>
  </si>
  <si>
    <t>Accesorios</t>
  </si>
  <si>
    <t>Usted desea ahorrar el</t>
  </si>
  <si>
    <t>Costos Solución Solar Conectada a Red</t>
  </si>
  <si>
    <t>Mano de Obra</t>
  </si>
  <si>
    <t>Solución Solar</t>
  </si>
  <si>
    <t>Transporte</t>
  </si>
  <si>
    <t>Dolares</t>
  </si>
  <si>
    <t>Costos Solución Solar Fuera de Red</t>
  </si>
  <si>
    <t>Modulo de Almacenamiento</t>
  </si>
  <si>
    <t>Modulo Solución Solar</t>
  </si>
  <si>
    <t>Aplica para casas/apto/cabañas/fincas/chalet</t>
  </si>
  <si>
    <t>Tipo Solución</t>
  </si>
  <si>
    <t>Mano de Obra, instalación</t>
  </si>
  <si>
    <t>Mantenimiento  (cada 2 años)</t>
  </si>
  <si>
    <t>GRATIS</t>
  </si>
  <si>
    <t xml:space="preserve"> Asesoria, Estadisticas, Soporte, on line, Uso de App</t>
  </si>
  <si>
    <t>Hasta el 60%</t>
  </si>
  <si>
    <t>Aplica para fincas/cabañas/chalet/en zonas según IDEAM</t>
  </si>
  <si>
    <t>cant paneles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</si>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</sst>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\ * #,##0_-;\-&quot;$&quot;\ * #,##0_-;_-&quot;$&quot;\ * &quot;-&quot;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42" fontId="0" fillId="0" borderId="0" xfId="1" applyFont="1"/>
    <xf numFmtId="42" fontId="0" fillId="0" borderId="0" xfId="0" applyNumberFormat="1"/>
    <xf numFmtId="0" fontId="0" fillId="0" borderId="5" xfId="0" applyBorder="1"/>
    <xf numFmtId="1" fontId="0" fillId="3" borderId="5" xfId="0" applyNumberFormat="1" applyFill="1" applyBorder="1"/>
    <xf numFmtId="1" fontId="0" fillId="4" borderId="5" xfId="0" applyNumberFormat="1" applyFill="1" applyBorder="1"/>
    <xf numFmtId="0" fontId="0" fillId="4" borderId="5" xfId="0" applyFill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3" borderId="9" xfId="0" applyNumberFormat="1" applyFill="1" applyBorder="1"/>
    <xf numFmtId="1" fontId="0" fillId="3" borderId="10" xfId="0" applyNumberFormat="1" applyFill="1" applyBorder="1"/>
    <xf numFmtId="1" fontId="0" fillId="4" borderId="9" xfId="0" applyNumberFormat="1" applyFill="1" applyBorder="1"/>
    <xf numFmtId="1" fontId="0" fillId="4" borderId="10" xfId="0" applyNumberFormat="1" applyFill="1" applyBorder="1"/>
    <xf numFmtId="0" fontId="0" fillId="0" borderId="9" xfId="0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5" borderId="14" xfId="0" applyNumberFormat="1" applyFill="1" applyBorder="1"/>
    <xf numFmtId="1" fontId="0" fillId="5" borderId="15" xfId="0" applyNumberFormat="1" applyFill="1" applyBorder="1"/>
    <xf numFmtId="1" fontId="0" fillId="5" borderId="16" xfId="0" applyNumberFormat="1" applyFill="1" applyBorder="1"/>
    <xf numFmtId="42" fontId="2" fillId="0" borderId="5" xfId="1" applyFont="1" applyBorder="1"/>
    <xf numFmtId="42" fontId="0" fillId="0" borderId="5" xfId="1" applyFont="1" applyBorder="1"/>
    <xf numFmtId="2" fontId="0" fillId="0" borderId="5" xfId="0" applyNumberFormat="1" applyBorder="1"/>
    <xf numFmtId="0" fontId="0" fillId="2" borderId="19" xfId="0" applyFill="1" applyBorder="1"/>
    <xf numFmtId="0" fontId="0" fillId="2" borderId="20" xfId="0" applyFill="1" applyBorder="1"/>
    <xf numFmtId="42" fontId="2" fillId="2" borderId="21" xfId="0" applyNumberFormat="1" applyFont="1" applyFill="1" applyBorder="1"/>
    <xf numFmtId="42" fontId="2" fillId="0" borderId="5" xfId="0" applyNumberFormat="1" applyFont="1" applyBorder="1"/>
    <xf numFmtId="0" fontId="4" fillId="5" borderId="5" xfId="0" applyFont="1" applyFill="1" applyBorder="1"/>
    <xf numFmtId="42" fontId="0" fillId="0" borderId="5" xfId="0" applyNumberFormat="1" applyBorder="1"/>
    <xf numFmtId="0" fontId="0" fillId="0" borderId="0" xfId="0" applyAlignment="1"/>
    <xf numFmtId="0" fontId="0" fillId="6" borderId="0" xfId="0" applyFill="1"/>
    <xf numFmtId="1" fontId="0" fillId="0" borderId="0" xfId="0" applyNumberFormat="1"/>
    <xf numFmtId="165" fontId="0" fillId="0" borderId="0" xfId="2" applyNumberFormat="1" applyFont="1"/>
    <xf numFmtId="165" fontId="0" fillId="0" borderId="5" xfId="2" applyNumberFormat="1" applyFont="1" applyBorder="1"/>
    <xf numFmtId="0" fontId="0" fillId="0" borderId="10" xfId="0" applyBorder="1"/>
    <xf numFmtId="0" fontId="0" fillId="0" borderId="27" xfId="0" applyBorder="1"/>
    <xf numFmtId="0" fontId="0" fillId="0" borderId="29" xfId="0" applyBorder="1"/>
    <xf numFmtId="0" fontId="0" fillId="0" borderId="26" xfId="0" applyBorder="1"/>
    <xf numFmtId="0" fontId="2" fillId="0" borderId="26" xfId="0" applyFont="1" applyBorder="1"/>
    <xf numFmtId="9" fontId="0" fillId="0" borderId="0" xfId="0" applyNumberFormat="1"/>
    <xf numFmtId="0" fontId="0" fillId="0" borderId="24" xfId="0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28" xfId="0" applyNumberFormat="1" applyBorder="1"/>
    <xf numFmtId="1" fontId="0" fillId="0" borderId="29" xfId="0" applyNumberFormat="1" applyBorder="1"/>
    <xf numFmtId="1" fontId="0" fillId="0" borderId="8" xfId="0" applyNumberFormat="1" applyBorder="1"/>
    <xf numFmtId="0" fontId="0" fillId="7" borderId="24" xfId="0" applyFill="1" applyBorder="1"/>
    <xf numFmtId="0" fontId="0" fillId="0" borderId="1" xfId="0" applyBorder="1"/>
    <xf numFmtId="9" fontId="2" fillId="0" borderId="3" xfId="0" applyNumberFormat="1" applyFont="1" applyBorder="1" applyAlignment="1">
      <alignment horizontal="center"/>
    </xf>
    <xf numFmtId="9" fontId="0" fillId="0" borderId="3" xfId="0" applyNumberFormat="1" applyBorder="1"/>
    <xf numFmtId="165" fontId="0" fillId="0" borderId="12" xfId="0" applyNumberFormat="1" applyBorder="1"/>
    <xf numFmtId="0" fontId="0" fillId="0" borderId="0" xfId="0" applyBorder="1"/>
    <xf numFmtId="165" fontId="0" fillId="0" borderId="0" xfId="2" applyNumberFormat="1" applyFont="1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26" xfId="0" applyBorder="1" applyAlignment="1">
      <alignment horizontal="center"/>
    </xf>
    <xf numFmtId="9" fontId="3" fillId="5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 vertical="center" textRotation="90" wrapText="1"/>
    </xf>
    <xf numFmtId="0" fontId="0" fillId="2" borderId="1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 applyAlignment="1">
      <alignment horizontal="center"/>
    </xf>
    <xf numFmtId="9" fontId="5" fillId="3" borderId="30" xfId="0" applyNumberFormat="1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</cellXfs>
  <cellStyles count="3">
    <cellStyle name="Moneda" xfId="2" builtinId="4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Z39"/>
  <sheetViews>
    <sheetView topLeftCell="A4" workbookViewId="0">
      <selection activeCell="K23" sqref="K23"/>
    </sheetView>
  </sheetViews>
  <sheetFormatPr baseColWidth="10" defaultRowHeight="15" x14ac:dyDescent="0.25"/>
  <cols>
    <col min="5" max="5" width="13.42578125" bestFit="1" customWidth="1"/>
    <col min="7" max="7" width="7.5703125" bestFit="1" customWidth="1"/>
    <col min="8" max="8" width="12" bestFit="1" customWidth="1"/>
    <col min="11" max="11" width="12" bestFit="1" customWidth="1"/>
    <col min="12" max="12" width="9.7109375" bestFit="1" customWidth="1"/>
    <col min="13" max="13" width="6" bestFit="1" customWidth="1"/>
    <col min="14" max="14" width="7.140625" bestFit="1" customWidth="1"/>
    <col min="15" max="15" width="9.7109375" bestFit="1" customWidth="1"/>
    <col min="16" max="16" width="9.5703125" bestFit="1" customWidth="1"/>
    <col min="17" max="17" width="11.140625" bestFit="1" customWidth="1"/>
    <col min="18" max="19" width="13" bestFit="1" customWidth="1"/>
    <col min="20" max="20" width="6.7109375" bestFit="1" customWidth="1"/>
    <col min="21" max="21" width="7.140625" bestFit="1" customWidth="1"/>
    <col min="22" max="22" width="9.7109375" bestFit="1" customWidth="1"/>
    <col min="23" max="23" width="6.85546875" bestFit="1" customWidth="1"/>
    <col min="24" max="24" width="7.5703125" bestFit="1" customWidth="1"/>
    <col min="25" max="25" width="7.7109375" bestFit="1" customWidth="1"/>
    <col min="26" max="26" width="8.85546875" bestFit="1" customWidth="1"/>
  </cols>
  <sheetData>
    <row r="5" spans="5:26" ht="15.75" thickBot="1" x14ac:dyDescent="0.3"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Y5">
        <v>13</v>
      </c>
      <c r="Z5">
        <v>14</v>
      </c>
    </row>
    <row r="6" spans="5:26" x14ac:dyDescent="0.25">
      <c r="E6" s="68" t="s">
        <v>8</v>
      </c>
      <c r="F6" s="69"/>
      <c r="G6" s="69"/>
      <c r="H6" s="69"/>
      <c r="I6" s="69"/>
      <c r="J6" s="69"/>
      <c r="K6" s="70"/>
      <c r="M6" s="8" t="s">
        <v>25</v>
      </c>
      <c r="N6" s="9" t="s">
        <v>26</v>
      </c>
      <c r="O6" s="9" t="s">
        <v>27</v>
      </c>
      <c r="P6" s="9" t="s">
        <v>28</v>
      </c>
      <c r="Q6" s="9" t="s">
        <v>29</v>
      </c>
      <c r="R6" s="9" t="s">
        <v>30</v>
      </c>
      <c r="S6" s="9" t="s">
        <v>31</v>
      </c>
      <c r="T6" s="9" t="s">
        <v>25</v>
      </c>
      <c r="U6" s="9" t="s">
        <v>26</v>
      </c>
      <c r="V6" s="9" t="s">
        <v>27</v>
      </c>
      <c r="W6" s="9" t="s">
        <v>28</v>
      </c>
      <c r="X6" s="9" t="s">
        <v>29</v>
      </c>
      <c r="Y6" s="9" t="s">
        <v>30</v>
      </c>
      <c r="Z6" s="10" t="s">
        <v>31</v>
      </c>
    </row>
    <row r="7" spans="5:26" x14ac:dyDescent="0.25">
      <c r="E7" s="74" t="s">
        <v>40</v>
      </c>
      <c r="F7" s="74"/>
      <c r="G7" s="3" t="s">
        <v>53</v>
      </c>
      <c r="H7" s="3"/>
      <c r="I7" s="3"/>
      <c r="J7" s="3"/>
      <c r="K7" s="3"/>
      <c r="L7" t="s">
        <v>42</v>
      </c>
      <c r="M7" s="11">
        <f>IF(G34="SI",F22,0)</f>
        <v>1050</v>
      </c>
      <c r="N7" s="4">
        <f>M9-M11</f>
        <v>1050</v>
      </c>
      <c r="O7" s="4">
        <f t="shared" ref="O7:V7" si="0">N9-N11</f>
        <v>1050</v>
      </c>
      <c r="P7" s="4">
        <f t="shared" si="0"/>
        <v>1050</v>
      </c>
      <c r="Q7" s="4">
        <f t="shared" si="0"/>
        <v>1050</v>
      </c>
      <c r="R7" s="4">
        <f t="shared" si="0"/>
        <v>1050</v>
      </c>
      <c r="S7" s="4">
        <f t="shared" si="0"/>
        <v>1050</v>
      </c>
      <c r="T7" s="4">
        <f t="shared" si="0"/>
        <v>1050</v>
      </c>
      <c r="U7" s="4">
        <f t="shared" si="0"/>
        <v>1050</v>
      </c>
      <c r="V7" s="4">
        <f t="shared" si="0"/>
        <v>1050</v>
      </c>
      <c r="W7" s="4">
        <f t="shared" ref="W7" si="1">V9-V11</f>
        <v>1050</v>
      </c>
      <c r="X7" s="4">
        <f t="shared" ref="X7" si="2">W9-W11</f>
        <v>1050</v>
      </c>
      <c r="Y7" s="4">
        <f t="shared" ref="Y7" si="3">X9-X11</f>
        <v>1050</v>
      </c>
      <c r="Z7" s="12">
        <f t="shared" ref="Z7" si="4">Y9-Y11</f>
        <v>1050</v>
      </c>
    </row>
    <row r="8" spans="5:26" x14ac:dyDescent="0.25">
      <c r="E8" s="3"/>
      <c r="F8" s="30">
        <v>180000</v>
      </c>
      <c r="G8" s="7">
        <f>ROUND(F8/30,0)</f>
        <v>6000</v>
      </c>
      <c r="H8" s="3"/>
      <c r="I8" s="3"/>
      <c r="J8" s="3"/>
      <c r="K8" s="3"/>
      <c r="L8" t="s">
        <v>44</v>
      </c>
      <c r="M8" s="13">
        <f>K10</f>
        <v>2100</v>
      </c>
      <c r="N8" s="6">
        <f>M8</f>
        <v>2100</v>
      </c>
      <c r="O8" s="5">
        <f t="shared" ref="O8:V8" si="5">N8</f>
        <v>2100</v>
      </c>
      <c r="P8" s="5">
        <f t="shared" si="5"/>
        <v>2100</v>
      </c>
      <c r="Q8" s="5">
        <f t="shared" si="5"/>
        <v>2100</v>
      </c>
      <c r="R8" s="5">
        <f t="shared" si="5"/>
        <v>2100</v>
      </c>
      <c r="S8" s="5">
        <f t="shared" si="5"/>
        <v>2100</v>
      </c>
      <c r="T8" s="5">
        <f t="shared" si="5"/>
        <v>2100</v>
      </c>
      <c r="U8" s="5">
        <f t="shared" si="5"/>
        <v>2100</v>
      </c>
      <c r="V8" s="5">
        <f t="shared" si="5"/>
        <v>2100</v>
      </c>
      <c r="W8" s="5">
        <f t="shared" ref="W8" si="6">V8</f>
        <v>2100</v>
      </c>
      <c r="X8" s="5">
        <f t="shared" ref="X8" si="7">W8</f>
        <v>2100</v>
      </c>
      <c r="Y8" s="5">
        <f t="shared" ref="Y8" si="8">X8</f>
        <v>2100</v>
      </c>
      <c r="Z8" s="14">
        <f t="shared" ref="Z8" si="9">Y8</f>
        <v>2100</v>
      </c>
    </row>
    <row r="9" spans="5:26" x14ac:dyDescent="0.25">
      <c r="E9" s="3"/>
      <c r="F9" s="3" t="s">
        <v>2</v>
      </c>
      <c r="G9" s="3" t="s">
        <v>1</v>
      </c>
      <c r="H9" s="3" t="s">
        <v>4</v>
      </c>
      <c r="I9" s="3" t="s">
        <v>5</v>
      </c>
      <c r="J9" s="3" t="s">
        <v>6</v>
      </c>
      <c r="K9" s="3" t="s">
        <v>7</v>
      </c>
      <c r="L9" t="s">
        <v>43</v>
      </c>
      <c r="M9" s="15">
        <f>SUM(M7:M8)</f>
        <v>3150</v>
      </c>
      <c r="N9" s="3">
        <f>SUM(N7:N8)</f>
        <v>3150</v>
      </c>
      <c r="O9" s="7">
        <f t="shared" ref="O9:S9" si="10">SUM(O7:O8)</f>
        <v>3150</v>
      </c>
      <c r="P9" s="7">
        <f t="shared" si="10"/>
        <v>3150</v>
      </c>
      <c r="Q9" s="7">
        <f t="shared" si="10"/>
        <v>3150</v>
      </c>
      <c r="R9" s="7">
        <f t="shared" si="10"/>
        <v>3150</v>
      </c>
      <c r="S9" s="7">
        <f t="shared" si="10"/>
        <v>3150</v>
      </c>
      <c r="T9" s="7">
        <f t="shared" ref="T9:U9" si="11">SUM(T7:T8)</f>
        <v>3150</v>
      </c>
      <c r="U9" s="7">
        <f t="shared" si="11"/>
        <v>3150</v>
      </c>
      <c r="V9" s="7">
        <f t="shared" ref="V9:X9" si="12">SUM(V7:V8)</f>
        <v>3150</v>
      </c>
      <c r="W9" s="7">
        <f t="shared" si="12"/>
        <v>3150</v>
      </c>
      <c r="X9" s="7">
        <f t="shared" si="12"/>
        <v>3150</v>
      </c>
      <c r="Y9" s="7">
        <f t="shared" ref="Y9:Z9" si="13">SUM(Y7:Y8)</f>
        <v>3150</v>
      </c>
      <c r="Z9" s="16">
        <f t="shared" si="13"/>
        <v>3150</v>
      </c>
    </row>
    <row r="10" spans="5:26" ht="15.75" thickBot="1" x14ac:dyDescent="0.3">
      <c r="E10" s="3"/>
      <c r="F10" s="3">
        <v>4.3</v>
      </c>
      <c r="G10" s="3">
        <f>F10/F11</f>
        <v>8.6</v>
      </c>
      <c r="H10" s="7">
        <f>I10/F10</f>
        <v>48.837209302325583</v>
      </c>
      <c r="I10" s="7">
        <f>K10/J10</f>
        <v>210</v>
      </c>
      <c r="J10" s="3">
        <v>10</v>
      </c>
      <c r="K10" s="5">
        <f>G8*N21</f>
        <v>2100</v>
      </c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5:26" ht="15.75" thickBot="1" x14ac:dyDescent="0.3">
      <c r="E11" s="3" t="s">
        <v>3</v>
      </c>
      <c r="F11" s="3">
        <v>0.5</v>
      </c>
      <c r="G11" s="3"/>
      <c r="H11" s="3" t="s">
        <v>24</v>
      </c>
      <c r="I11" s="3"/>
      <c r="J11" s="3"/>
      <c r="K11" s="3"/>
      <c r="L11" t="s">
        <v>41</v>
      </c>
      <c r="M11" s="20">
        <f>G8*N21</f>
        <v>2100</v>
      </c>
      <c r="N11" s="21">
        <f>M11</f>
        <v>2100</v>
      </c>
      <c r="O11" s="21">
        <f t="shared" ref="O11:Z11" si="14">N11</f>
        <v>2100</v>
      </c>
      <c r="P11" s="21">
        <f t="shared" si="14"/>
        <v>2100</v>
      </c>
      <c r="Q11" s="21">
        <f t="shared" si="14"/>
        <v>2100</v>
      </c>
      <c r="R11" s="21">
        <f t="shared" si="14"/>
        <v>2100</v>
      </c>
      <c r="S11" s="21">
        <f t="shared" si="14"/>
        <v>2100</v>
      </c>
      <c r="T11" s="21">
        <f t="shared" si="14"/>
        <v>2100</v>
      </c>
      <c r="U11" s="21">
        <f t="shared" si="14"/>
        <v>2100</v>
      </c>
      <c r="V11" s="21">
        <f t="shared" si="14"/>
        <v>2100</v>
      </c>
      <c r="W11" s="21">
        <f t="shared" si="14"/>
        <v>2100</v>
      </c>
      <c r="X11" s="21">
        <f t="shared" si="14"/>
        <v>2100</v>
      </c>
      <c r="Y11" s="21">
        <f t="shared" si="14"/>
        <v>2100</v>
      </c>
      <c r="Z11" s="22">
        <f t="shared" si="14"/>
        <v>2100</v>
      </c>
    </row>
    <row r="12" spans="5:26" x14ac:dyDescent="0.25">
      <c r="E12" s="3"/>
      <c r="F12" s="3"/>
      <c r="G12" s="3"/>
      <c r="H12" s="7">
        <f>ROUND(H10/18,0)</f>
        <v>3</v>
      </c>
      <c r="I12" s="3"/>
      <c r="J12" s="3"/>
      <c r="K12" s="3"/>
    </row>
    <row r="13" spans="5:26" x14ac:dyDescent="0.25">
      <c r="E13" s="3"/>
      <c r="F13" s="3"/>
      <c r="G13" s="3"/>
      <c r="H13" s="31">
        <f>H10*H15</f>
        <v>248708.01033591729</v>
      </c>
      <c r="I13" s="3"/>
      <c r="J13" s="3"/>
      <c r="K13" s="3"/>
    </row>
    <row r="14" spans="5:26" x14ac:dyDescent="0.25">
      <c r="E14" s="3"/>
      <c r="F14" s="3"/>
      <c r="G14" s="3"/>
      <c r="H14" s="24">
        <v>550000</v>
      </c>
      <c r="I14" s="3"/>
      <c r="J14" s="3"/>
      <c r="K14" s="3"/>
    </row>
    <row r="15" spans="5:26" x14ac:dyDescent="0.25">
      <c r="E15" s="3"/>
      <c r="F15" s="3"/>
      <c r="G15" s="3"/>
      <c r="H15" s="31">
        <f>H14/108</f>
        <v>5092.5925925925922</v>
      </c>
      <c r="I15" s="3"/>
      <c r="J15" s="3"/>
      <c r="K15" s="3"/>
    </row>
    <row r="16" spans="5:26" ht="15.75" thickBot="1" x14ac:dyDescent="0.3">
      <c r="E16" s="3"/>
      <c r="F16" s="3"/>
      <c r="G16" s="3"/>
      <c r="H16" s="3"/>
      <c r="I16" s="3"/>
      <c r="J16" s="3"/>
      <c r="K16" s="23">
        <f>H13</f>
        <v>248708.01033591729</v>
      </c>
    </row>
    <row r="17" spans="5:19" ht="15.75" thickBot="1" x14ac:dyDescent="0.3">
      <c r="E17" s="71" t="s">
        <v>9</v>
      </c>
      <c r="F17" s="72"/>
      <c r="G17" s="72"/>
      <c r="H17" s="72"/>
      <c r="I17" s="72"/>
      <c r="J17" s="72"/>
      <c r="K17" s="73"/>
      <c r="N17" s="64" t="s">
        <v>56</v>
      </c>
      <c r="O17" s="65"/>
      <c r="P17" s="65"/>
      <c r="Q17" s="65"/>
      <c r="R17" s="65"/>
      <c r="S17" s="66"/>
    </row>
    <row r="18" spans="5:19" x14ac:dyDescent="0.25">
      <c r="E18" s="3" t="s">
        <v>10</v>
      </c>
      <c r="F18" s="3">
        <v>3.7</v>
      </c>
      <c r="G18" s="3">
        <v>95000</v>
      </c>
      <c r="H18" s="3"/>
      <c r="I18" s="3"/>
      <c r="J18" s="3"/>
      <c r="K18" s="3"/>
      <c r="O18" t="s">
        <v>33</v>
      </c>
      <c r="P18" t="s">
        <v>34</v>
      </c>
      <c r="Q18" t="s">
        <v>35</v>
      </c>
      <c r="R18" t="s">
        <v>36</v>
      </c>
      <c r="S18" t="s">
        <v>38</v>
      </c>
    </row>
    <row r="19" spans="5:19" x14ac:dyDescent="0.25">
      <c r="E19" s="3" t="s">
        <v>11</v>
      </c>
      <c r="F19" s="3">
        <v>3</v>
      </c>
      <c r="G19" s="3">
        <v>20</v>
      </c>
      <c r="H19" s="3"/>
      <c r="I19" s="3"/>
      <c r="J19" s="3"/>
      <c r="K19" s="3"/>
      <c r="O19">
        <f>F8/1000</f>
        <v>180</v>
      </c>
      <c r="P19">
        <v>431</v>
      </c>
      <c r="Q19" s="1">
        <f>P19*O19</f>
        <v>77580</v>
      </c>
      <c r="R19" s="2">
        <f>Q19*12</f>
        <v>930960</v>
      </c>
      <c r="S19" s="2">
        <f>R19*2</f>
        <v>1861920</v>
      </c>
    </row>
    <row r="20" spans="5:19" ht="15.75" thickBot="1" x14ac:dyDescent="0.3">
      <c r="E20" s="3" t="s">
        <v>0</v>
      </c>
      <c r="F20" s="3">
        <f>F19*F18</f>
        <v>11.100000000000001</v>
      </c>
      <c r="G20" s="3"/>
      <c r="H20" s="3"/>
      <c r="I20" s="3"/>
      <c r="J20" s="3"/>
      <c r="K20" s="3"/>
    </row>
    <row r="21" spans="5:19" x14ac:dyDescent="0.25">
      <c r="E21" s="3" t="s">
        <v>12</v>
      </c>
      <c r="F21" s="7">
        <f>F22/F20</f>
        <v>94.594594594594582</v>
      </c>
      <c r="G21" s="3">
        <f>G18/G19</f>
        <v>4750</v>
      </c>
      <c r="H21" s="3"/>
      <c r="I21" s="3"/>
      <c r="J21" s="3"/>
      <c r="K21" s="3"/>
      <c r="N21" s="61">
        <v>0.35</v>
      </c>
      <c r="O21" t="s">
        <v>44</v>
      </c>
      <c r="Q21" s="2">
        <f>Q19*N21</f>
        <v>27153</v>
      </c>
      <c r="R21" s="2">
        <f>Q21*12</f>
        <v>325836</v>
      </c>
      <c r="S21" s="2">
        <f>R21*2</f>
        <v>651672</v>
      </c>
    </row>
    <row r="22" spans="5:19" ht="15.75" thickBot="1" x14ac:dyDescent="0.3">
      <c r="E22" s="3" t="s">
        <v>13</v>
      </c>
      <c r="F22" s="4">
        <f>K10*50%</f>
        <v>1050</v>
      </c>
      <c r="G22" s="3"/>
      <c r="H22" s="3"/>
      <c r="I22" s="3"/>
      <c r="J22" s="3"/>
      <c r="K22" s="23">
        <f>G21*F21+F23+H23</f>
        <v>549324.32432432426</v>
      </c>
      <c r="N22" s="62"/>
      <c r="O22" t="s">
        <v>54</v>
      </c>
      <c r="Q22" s="2">
        <f>Q19*(100%-N21)</f>
        <v>50427</v>
      </c>
      <c r="R22" s="2">
        <f>Q22*12</f>
        <v>605124</v>
      </c>
      <c r="S22" s="2">
        <f>R22*2</f>
        <v>1210248</v>
      </c>
    </row>
    <row r="23" spans="5:19" x14ac:dyDescent="0.25">
      <c r="E23" s="3" t="s">
        <v>23</v>
      </c>
      <c r="F23" s="24">
        <v>60000</v>
      </c>
      <c r="G23" s="3" t="s">
        <v>37</v>
      </c>
      <c r="H23" s="24">
        <v>40000</v>
      </c>
      <c r="I23" s="3"/>
      <c r="J23" s="3"/>
      <c r="K23" s="3"/>
      <c r="N23" s="33"/>
    </row>
    <row r="24" spans="5:19" x14ac:dyDescent="0.25">
      <c r="E24" s="71" t="s">
        <v>45</v>
      </c>
      <c r="F24" s="72"/>
      <c r="G24" s="72"/>
      <c r="H24" s="72"/>
      <c r="I24" s="72"/>
      <c r="J24" s="72"/>
      <c r="K24" s="73"/>
      <c r="N24" s="67" t="s">
        <v>60</v>
      </c>
    </row>
    <row r="25" spans="5:19" x14ac:dyDescent="0.25">
      <c r="E25" s="3" t="s">
        <v>18</v>
      </c>
      <c r="F25" s="3" t="s">
        <v>14</v>
      </c>
      <c r="G25" s="3" t="s">
        <v>15</v>
      </c>
      <c r="H25" s="3" t="s">
        <v>16</v>
      </c>
      <c r="I25" s="3" t="s">
        <v>17</v>
      </c>
      <c r="J25" s="3" t="s">
        <v>19</v>
      </c>
      <c r="K25" s="3"/>
      <c r="N25" s="67"/>
      <c r="O25" s="63" t="s">
        <v>39</v>
      </c>
      <c r="P25" s="63"/>
      <c r="Q25" s="63"/>
      <c r="R25" s="63"/>
      <c r="S25" s="63"/>
    </row>
    <row r="26" spans="5:19" x14ac:dyDescent="0.25">
      <c r="E26" s="7">
        <f>ROUND(H12,0)</f>
        <v>3</v>
      </c>
      <c r="F26" s="3">
        <v>27000</v>
      </c>
      <c r="G26" s="3">
        <v>25000</v>
      </c>
      <c r="H26" s="3">
        <v>30000</v>
      </c>
      <c r="I26" s="3">
        <v>3000</v>
      </c>
      <c r="J26" s="3">
        <v>31000</v>
      </c>
      <c r="K26" s="23">
        <f>SUM(F26:J26)</f>
        <v>116000</v>
      </c>
      <c r="N26" s="67"/>
      <c r="P26" s="32"/>
      <c r="Q26" s="32"/>
      <c r="R26" s="2"/>
    </row>
    <row r="27" spans="5:19" x14ac:dyDescent="0.25">
      <c r="E27" s="25"/>
      <c r="F27" s="3"/>
      <c r="G27" s="3"/>
      <c r="H27" s="3"/>
      <c r="I27" s="3"/>
      <c r="J27" s="3"/>
      <c r="K27" s="23">
        <f>K26*E26</f>
        <v>348000</v>
      </c>
      <c r="N27" s="67"/>
      <c r="O27" t="s">
        <v>55</v>
      </c>
      <c r="Q27" s="2">
        <f>Q21</f>
        <v>27153</v>
      </c>
      <c r="R27" s="2">
        <f t="shared" ref="R27" si="15">R21</f>
        <v>325836</v>
      </c>
      <c r="S27" s="2">
        <f>R27*10</f>
        <v>3258360</v>
      </c>
    </row>
    <row r="28" spans="5:19" x14ac:dyDescent="0.25">
      <c r="E28" s="71" t="s">
        <v>46</v>
      </c>
      <c r="F28" s="72"/>
      <c r="G28" s="72"/>
      <c r="H28" s="72"/>
      <c r="I28" s="72"/>
      <c r="J28" s="72"/>
      <c r="K28" s="73"/>
      <c r="N28" s="67"/>
    </row>
    <row r="29" spans="5:19" x14ac:dyDescent="0.25">
      <c r="E29" s="25" t="s">
        <v>4</v>
      </c>
      <c r="F29" s="3">
        <f>ROUND(F21/40,0)</f>
        <v>2</v>
      </c>
      <c r="G29" s="3"/>
      <c r="H29" s="3" t="s">
        <v>50</v>
      </c>
      <c r="I29" s="3" t="s">
        <v>51</v>
      </c>
      <c r="J29" s="3" t="s">
        <v>52</v>
      </c>
      <c r="K29" s="23" t="s">
        <v>43</v>
      </c>
      <c r="N29" s="67"/>
    </row>
    <row r="30" spans="5:19" x14ac:dyDescent="0.25">
      <c r="E30" s="25" t="s">
        <v>49</v>
      </c>
      <c r="F30" s="3">
        <v>10000</v>
      </c>
      <c r="G30" s="3"/>
      <c r="H30" s="3">
        <v>6000</v>
      </c>
      <c r="I30" s="3">
        <v>3000</v>
      </c>
      <c r="J30" s="3">
        <v>12000</v>
      </c>
      <c r="K30" s="23">
        <f>SUM(F30:J30)*F29</f>
        <v>62000</v>
      </c>
      <c r="N30" s="67"/>
    </row>
    <row r="31" spans="5:19" x14ac:dyDescent="0.25">
      <c r="E31" s="71" t="s">
        <v>20</v>
      </c>
      <c r="F31" s="72"/>
      <c r="G31" s="72"/>
      <c r="H31" s="72"/>
      <c r="I31" s="72"/>
      <c r="J31" s="72"/>
      <c r="K31" s="73"/>
      <c r="N31" s="67"/>
    </row>
    <row r="32" spans="5:19" x14ac:dyDescent="0.25">
      <c r="E32" s="3"/>
      <c r="F32" s="3"/>
      <c r="G32" s="3" t="s">
        <v>59</v>
      </c>
      <c r="H32" s="3"/>
      <c r="I32" s="3"/>
      <c r="J32" s="3"/>
      <c r="K32" s="29"/>
      <c r="N32" s="67"/>
    </row>
    <row r="33" spans="5:14" x14ac:dyDescent="0.25">
      <c r="E33" s="3" t="s">
        <v>21</v>
      </c>
      <c r="F33" s="3"/>
      <c r="G33" s="3" t="s">
        <v>58</v>
      </c>
      <c r="H33" s="3"/>
      <c r="I33" s="3"/>
      <c r="J33" s="3"/>
      <c r="K33" s="29">
        <f>K16</f>
        <v>248708.01033591729</v>
      </c>
      <c r="N33" s="67"/>
    </row>
    <row r="34" spans="5:14" x14ac:dyDescent="0.25">
      <c r="E34" s="3" t="s">
        <v>9</v>
      </c>
      <c r="F34" s="3"/>
      <c r="G34" s="3" t="s">
        <v>58</v>
      </c>
      <c r="H34" s="3"/>
      <c r="I34" s="3"/>
      <c r="J34" s="3"/>
      <c r="K34" s="29">
        <f>IF(G34="SI",K22,0)</f>
        <v>549324.32432432426</v>
      </c>
    </row>
    <row r="35" spans="5:14" x14ac:dyDescent="0.25">
      <c r="E35" s="3" t="s">
        <v>47</v>
      </c>
      <c r="F35" s="3"/>
      <c r="G35" s="3" t="s">
        <v>58</v>
      </c>
      <c r="H35" s="3"/>
      <c r="I35" s="3"/>
      <c r="J35" s="3"/>
      <c r="K35" s="29">
        <f>K27</f>
        <v>348000</v>
      </c>
    </row>
    <row r="36" spans="5:14" x14ac:dyDescent="0.25">
      <c r="E36" s="3" t="s">
        <v>48</v>
      </c>
      <c r="F36" s="3"/>
      <c r="G36" s="3" t="str">
        <f>G34</f>
        <v>SI</v>
      </c>
      <c r="H36" s="3"/>
      <c r="I36" s="3"/>
      <c r="J36" s="3"/>
      <c r="K36" s="29">
        <f>IF(G36="SI",K30,0)</f>
        <v>62000</v>
      </c>
    </row>
    <row r="37" spans="5:14" x14ac:dyDescent="0.25">
      <c r="E37" s="3" t="s">
        <v>32</v>
      </c>
      <c r="F37" s="3"/>
      <c r="G37" s="3" t="s">
        <v>58</v>
      </c>
      <c r="H37" s="3"/>
      <c r="I37" s="3"/>
      <c r="J37" s="3"/>
      <c r="K37" s="23">
        <f>H12*40000</f>
        <v>120000</v>
      </c>
    </row>
    <row r="38" spans="5:14" x14ac:dyDescent="0.25">
      <c r="E38" s="25" t="s">
        <v>57</v>
      </c>
      <c r="F38" s="3"/>
      <c r="G38" s="3"/>
      <c r="H38" s="3"/>
      <c r="I38" s="3"/>
      <c r="J38" s="3"/>
      <c r="K38" s="23">
        <f>IF(N21=100%,0,800000)</f>
        <v>800000</v>
      </c>
    </row>
    <row r="39" spans="5:14" ht="15.75" thickBot="1" x14ac:dyDescent="0.3">
      <c r="E39" s="26" t="s">
        <v>22</v>
      </c>
      <c r="F39" s="27"/>
      <c r="G39" s="27"/>
      <c r="H39" s="27"/>
      <c r="I39" s="27"/>
      <c r="J39" s="27"/>
      <c r="K39" s="28">
        <f>SUM(K33:K38)</f>
        <v>2128032.3346602414</v>
      </c>
    </row>
  </sheetData>
  <mergeCells count="10">
    <mergeCell ref="N21:N22"/>
    <mergeCell ref="O25:S25"/>
    <mergeCell ref="N17:S17"/>
    <mergeCell ref="N24:N33"/>
    <mergeCell ref="E6:K6"/>
    <mergeCell ref="E17:K17"/>
    <mergeCell ref="E24:K24"/>
    <mergeCell ref="E31:K31"/>
    <mergeCell ref="E7:F7"/>
    <mergeCell ref="E28:K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workbookViewId="0">
      <selection activeCell="I14" sqref="I14"/>
    </sheetView>
  </sheetViews>
  <sheetFormatPr baseColWidth="10" defaultRowHeight="15" x14ac:dyDescent="0.25"/>
  <cols>
    <col min="1" max="1" width="6.140625" customWidth="1"/>
    <col min="2" max="2" width="55.5703125" bestFit="1" customWidth="1"/>
    <col min="3" max="3" width="11.5703125" bestFit="1" customWidth="1"/>
    <col min="4" max="4" width="14.140625" bestFit="1" customWidth="1"/>
    <col min="5" max="5" width="6.28515625" customWidth="1"/>
    <col min="6" max="6" width="21" bestFit="1" customWidth="1"/>
    <col min="7" max="7" width="5.85546875" customWidth="1"/>
    <col min="8" max="8" width="23.28515625" bestFit="1" customWidth="1"/>
    <col min="9" max="9" width="11.85546875" bestFit="1" customWidth="1"/>
  </cols>
  <sheetData>
    <row r="2" spans="1:10" ht="15.75" thickBot="1" x14ac:dyDescent="0.3"/>
    <row r="3" spans="1:10" ht="15.75" thickBot="1" x14ac:dyDescent="0.3">
      <c r="B3" s="41" t="s">
        <v>63</v>
      </c>
      <c r="F3" s="43" t="s">
        <v>66</v>
      </c>
      <c r="G3" s="42"/>
      <c r="H3" s="40" t="s">
        <v>64</v>
      </c>
    </row>
    <row r="4" spans="1:10" ht="15.75" thickBot="1" x14ac:dyDescent="0.3">
      <c r="B4" s="57" t="s">
        <v>61</v>
      </c>
      <c r="C4" s="58">
        <v>600</v>
      </c>
      <c r="D4" s="59" t="s">
        <v>62</v>
      </c>
      <c r="F4" s="75">
        <v>0.6</v>
      </c>
      <c r="H4" s="8" t="s">
        <v>76</v>
      </c>
      <c r="I4" s="49">
        <f>IF((((((C4*F4)*1000)/30))/1500)&lt;1,1,(((((C4*F4)*1000)/30))/1500)+1)</f>
        <v>9</v>
      </c>
      <c r="J4" t="s">
        <v>83</v>
      </c>
    </row>
    <row r="5" spans="1:10" ht="15.75" thickBot="1" x14ac:dyDescent="0.3">
      <c r="A5" s="55"/>
      <c r="B5" s="55"/>
      <c r="C5" s="56"/>
      <c r="D5" s="55"/>
      <c r="F5" s="76"/>
      <c r="H5" s="38" t="s">
        <v>65</v>
      </c>
      <c r="I5" s="48">
        <f>I4*6</f>
        <v>54</v>
      </c>
      <c r="J5" t="s">
        <v>84</v>
      </c>
    </row>
    <row r="6" spans="1:10" ht="15.75" thickBot="1" x14ac:dyDescent="0.3">
      <c r="A6" s="55"/>
      <c r="B6" s="55"/>
      <c r="C6" s="56">
        <f>C4*580</f>
        <v>348000</v>
      </c>
      <c r="D6" s="55"/>
      <c r="F6" s="60" t="s">
        <v>81</v>
      </c>
    </row>
    <row r="7" spans="1:10" x14ac:dyDescent="0.25">
      <c r="C7" s="44">
        <f>C6*12</f>
        <v>4176000</v>
      </c>
    </row>
    <row r="9" spans="1:10" ht="15.75" thickBot="1" x14ac:dyDescent="0.3"/>
    <row r="10" spans="1:10" ht="15.75" thickBot="1" x14ac:dyDescent="0.3">
      <c r="B10" s="50" t="s">
        <v>67</v>
      </c>
      <c r="C10" s="51" t="s">
        <v>55</v>
      </c>
      <c r="D10" s="52">
        <f>F4</f>
        <v>0.6</v>
      </c>
    </row>
    <row r="11" spans="1:10" x14ac:dyDescent="0.25">
      <c r="B11" s="8" t="s">
        <v>77</v>
      </c>
      <c r="C11" s="46">
        <f>C12*12%</f>
        <v>261.04918032786878</v>
      </c>
      <c r="D11" s="10" t="s">
        <v>71</v>
      </c>
    </row>
    <row r="12" spans="1:10" x14ac:dyDescent="0.25">
      <c r="B12" s="15" t="s">
        <v>69</v>
      </c>
      <c r="C12" s="36">
        <f>((I4*500000)/3050)+700</f>
        <v>2175.4098360655735</v>
      </c>
      <c r="D12" s="37" t="s">
        <v>71</v>
      </c>
      <c r="F12" s="44">
        <f>C16*3050</f>
        <v>8094699.9999999991</v>
      </c>
    </row>
    <row r="13" spans="1:10" x14ac:dyDescent="0.25">
      <c r="B13" s="15" t="s">
        <v>70</v>
      </c>
      <c r="C13" s="45">
        <f>C12*7%</f>
        <v>152.27868852459017</v>
      </c>
      <c r="D13" s="37" t="s">
        <v>71</v>
      </c>
    </row>
    <row r="14" spans="1:10" x14ac:dyDescent="0.25">
      <c r="B14" s="17" t="s">
        <v>80</v>
      </c>
      <c r="C14" s="54" t="s">
        <v>79</v>
      </c>
      <c r="D14" s="37"/>
    </row>
    <row r="15" spans="1:10" x14ac:dyDescent="0.25">
      <c r="B15" s="17" t="s">
        <v>78</v>
      </c>
      <c r="C15" s="54">
        <f>C12*3%</f>
        <v>65.262295081967196</v>
      </c>
      <c r="D15" s="37" t="s">
        <v>71</v>
      </c>
    </row>
    <row r="16" spans="1:10" ht="15.75" thickBot="1" x14ac:dyDescent="0.3">
      <c r="B16" s="38" t="s">
        <v>43</v>
      </c>
      <c r="C16" s="47">
        <f>SUM(C11:C13)+C15</f>
        <v>2653.9999999999995</v>
      </c>
      <c r="D16" s="39" t="s">
        <v>71</v>
      </c>
    </row>
    <row r="17" spans="2:6" ht="15.75" thickBot="1" x14ac:dyDescent="0.3">
      <c r="B17" s="80" t="s">
        <v>75</v>
      </c>
      <c r="C17" s="81"/>
      <c r="D17" s="82"/>
    </row>
    <row r="18" spans="2:6" ht="15.75" thickBot="1" x14ac:dyDescent="0.3"/>
    <row r="19" spans="2:6" ht="15.75" thickBot="1" x14ac:dyDescent="0.3">
      <c r="B19" s="50" t="s">
        <v>72</v>
      </c>
      <c r="C19" s="51"/>
      <c r="D19" s="53"/>
    </row>
    <row r="20" spans="2:6" x14ac:dyDescent="0.25">
      <c r="B20" s="8" t="s">
        <v>68</v>
      </c>
      <c r="C20" s="46">
        <f>C21*12%</f>
        <v>286.29508196721315</v>
      </c>
      <c r="D20" s="10" t="s">
        <v>71</v>
      </c>
    </row>
    <row r="21" spans="2:6" x14ac:dyDescent="0.25">
      <c r="B21" s="15" t="s">
        <v>74</v>
      </c>
      <c r="C21" s="36">
        <f>((F33*500000)/3050)+200</f>
        <v>2385.7923497267761</v>
      </c>
      <c r="D21" s="37" t="s">
        <v>71</v>
      </c>
    </row>
    <row r="22" spans="2:6" x14ac:dyDescent="0.25">
      <c r="B22" s="15" t="s">
        <v>73</v>
      </c>
      <c r="C22" s="36">
        <f>D39</f>
        <v>4398.9071038251368</v>
      </c>
      <c r="D22" s="37" t="s">
        <v>71</v>
      </c>
      <c r="F22" s="44">
        <f>C26*3050</f>
        <v>22696700.000000004</v>
      </c>
    </row>
    <row r="23" spans="2:6" x14ac:dyDescent="0.25">
      <c r="B23" s="15" t="s">
        <v>70</v>
      </c>
      <c r="C23" s="45">
        <f>C21*7%</f>
        <v>167.00546448087434</v>
      </c>
      <c r="D23" s="37" t="s">
        <v>71</v>
      </c>
    </row>
    <row r="24" spans="2:6" x14ac:dyDescent="0.25">
      <c r="B24" s="17" t="s">
        <v>80</v>
      </c>
      <c r="C24" s="54" t="s">
        <v>79</v>
      </c>
      <c r="D24" s="37"/>
    </row>
    <row r="25" spans="2:6" x14ac:dyDescent="0.25">
      <c r="B25" s="17" t="s">
        <v>78</v>
      </c>
      <c r="C25" s="54">
        <f>(C21+C22)*3%</f>
        <v>203.5409836065574</v>
      </c>
      <c r="D25" s="37" t="s">
        <v>71</v>
      </c>
    </row>
    <row r="26" spans="2:6" ht="15.75" thickBot="1" x14ac:dyDescent="0.3">
      <c r="B26" s="17" t="s">
        <v>43</v>
      </c>
      <c r="C26" s="54">
        <f>SUM(C20:C23)+C25</f>
        <v>7441.5409836065583</v>
      </c>
      <c r="D26" s="19" t="s">
        <v>71</v>
      </c>
    </row>
    <row r="27" spans="2:6" ht="15.75" thickBot="1" x14ac:dyDescent="0.3">
      <c r="B27" s="77" t="s">
        <v>82</v>
      </c>
      <c r="C27" s="78"/>
      <c r="D27" s="79"/>
    </row>
    <row r="33" spans="3:6" x14ac:dyDescent="0.25">
      <c r="C33">
        <f>C4*1000</f>
        <v>600000</v>
      </c>
      <c r="F33" s="34">
        <f>((C4*1000)/30)/1500</f>
        <v>13.333333333333334</v>
      </c>
    </row>
    <row r="34" spans="3:6" x14ac:dyDescent="0.25">
      <c r="C34" s="34">
        <f>C33/30</f>
        <v>20000</v>
      </c>
    </row>
    <row r="35" spans="3:6" x14ac:dyDescent="0.25">
      <c r="C35" s="34">
        <f>C34/3.6</f>
        <v>5555.5555555555557</v>
      </c>
      <c r="D35">
        <v>2100</v>
      </c>
    </row>
    <row r="36" spans="3:6" x14ac:dyDescent="0.25">
      <c r="D36" s="35">
        <f>D35*C35</f>
        <v>11666666.666666666</v>
      </c>
    </row>
    <row r="37" spans="3:6" x14ac:dyDescent="0.25">
      <c r="D37" s="35">
        <f>D36*15%</f>
        <v>1749999.9999999998</v>
      </c>
    </row>
    <row r="38" spans="3:6" x14ac:dyDescent="0.25">
      <c r="D38" s="44">
        <f>SUM(D36:D37)</f>
        <v>13416666.666666666</v>
      </c>
    </row>
    <row r="39" spans="3:6" x14ac:dyDescent="0.25">
      <c r="D39" s="44">
        <f>D38/3050</f>
        <v>4398.9071038251368</v>
      </c>
    </row>
  </sheetData>
  <mergeCells count="3">
    <mergeCell ref="F4:F5"/>
    <mergeCell ref="B27:D27"/>
    <mergeCell ref="B17:D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Este es el 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COORD_SISTEMAS</dc:creator>
  <cp:lastModifiedBy>Salas Didacticas Sede Bogota</cp:lastModifiedBy>
  <dcterms:created xsi:type="dcterms:W3CDTF">2017-11-28T14:20:13Z</dcterms:created>
  <dcterms:modified xsi:type="dcterms:W3CDTF">2018-09-21T16:39:37Z</dcterms:modified>
</cp:coreProperties>
</file>