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INARDAP\"/>
    </mc:Choice>
  </mc:AlternateContent>
  <bookViews>
    <workbookView xWindow="0" yWindow="0" windowWidth="20490" windowHeight="7650"/>
  </bookViews>
  <sheets>
    <sheet name="1-3" sheetId="1" r:id="rId1"/>
    <sheet name="1 PRORRATEP" sheetId="2" state="hidden" r:id="rId2"/>
    <sheet name="2 prorrateo " sheetId="3" state="hidden" r:id="rId3"/>
    <sheet name="3 prorrateo" sheetId="4" state="hidden" r:id="rId4"/>
    <sheet name="4 prorrateo " sheetId="5" state="hidden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1" l="1"/>
  <c r="N28" i="1" l="1"/>
  <c r="N27" i="1"/>
  <c r="N26" i="1"/>
  <c r="N25" i="1"/>
  <c r="N23" i="1"/>
  <c r="R32" i="1"/>
  <c r="R31" i="1"/>
  <c r="R30" i="1"/>
  <c r="N21" i="1" l="1"/>
  <c r="P21" i="1"/>
  <c r="AH23" i="1"/>
  <c r="AG24" i="1"/>
  <c r="AN26" i="1"/>
  <c r="AM26" i="1"/>
  <c r="AN22" i="1"/>
  <c r="AN23" i="1" s="1"/>
  <c r="AE22" i="1" l="1"/>
  <c r="AE24" i="1" s="1"/>
  <c r="AE25" i="1" l="1"/>
  <c r="AE26" i="1" s="1"/>
  <c r="R41" i="1"/>
  <c r="N32" i="1" l="1"/>
  <c r="S32" i="1"/>
  <c r="S31" i="1"/>
  <c r="S30" i="1"/>
  <c r="AC46" i="5"/>
  <c r="AF46" i="5" s="1"/>
  <c r="AD46" i="5"/>
  <c r="AG46" i="5" s="1"/>
  <c r="AA47" i="5"/>
  <c r="AA48" i="5" s="1"/>
  <c r="W57" i="5"/>
  <c r="W58" i="5" s="1"/>
  <c r="X35" i="5"/>
  <c r="Y38" i="5" s="1"/>
  <c r="U50" i="5"/>
  <c r="R50" i="5"/>
  <c r="W49" i="5"/>
  <c r="X49" i="5" s="1"/>
  <c r="Y49" i="5" s="1"/>
  <c r="W48" i="5"/>
  <c r="W47" i="5"/>
  <c r="W51" i="5" s="1"/>
  <c r="S47" i="5"/>
  <c r="S48" i="5" s="1"/>
  <c r="T37" i="5"/>
  <c r="U37" i="5" s="1"/>
  <c r="T36" i="5"/>
  <c r="U36" i="5" s="1"/>
  <c r="V36" i="5" s="1"/>
  <c r="P35" i="5"/>
  <c r="P36" i="5" s="1"/>
  <c r="O38" i="5"/>
  <c r="N56" i="5"/>
  <c r="N46" i="5"/>
  <c r="J55" i="5"/>
  <c r="H50" i="5"/>
  <c r="J50" i="5" s="1"/>
  <c r="H44" i="5"/>
  <c r="J45" i="5"/>
  <c r="I42" i="5"/>
  <c r="I41" i="5"/>
  <c r="I40" i="5"/>
  <c r="H31" i="5"/>
  <c r="J30" i="5"/>
  <c r="J31" i="5" s="1"/>
  <c r="H30" i="5"/>
  <c r="I30" i="5"/>
  <c r="I31" i="5" s="1"/>
  <c r="H33" i="5"/>
  <c r="H34" i="5" s="1"/>
  <c r="J36" i="5"/>
  <c r="J35" i="5"/>
  <c r="J34" i="5"/>
  <c r="G33" i="5"/>
  <c r="I34" i="5" l="1"/>
  <c r="K34" i="5" s="1"/>
  <c r="L34" i="5" s="1"/>
  <c r="H35" i="5"/>
  <c r="H36" i="5" s="1"/>
  <c r="N51" i="5"/>
  <c r="J46" i="5"/>
  <c r="L46" i="5" s="1"/>
  <c r="X47" i="5"/>
  <c r="X48" i="5"/>
  <c r="Y48" i="5" s="1"/>
  <c r="S33" i="1"/>
  <c r="T30" i="1" s="1"/>
  <c r="AD47" i="5"/>
  <c r="AG47" i="5"/>
  <c r="AG48" i="5" s="1"/>
  <c r="AG49" i="5" s="1"/>
  <c r="AH47" i="5"/>
  <c r="AA49" i="5"/>
  <c r="AD48" i="5"/>
  <c r="AD49" i="5" s="1"/>
  <c r="K31" i="5"/>
  <c r="T35" i="5"/>
  <c r="R38" i="5"/>
  <c r="V37" i="5"/>
  <c r="H49" i="5"/>
  <c r="I20" i="5"/>
  <c r="M46" i="5"/>
  <c r="O46" i="5" s="1"/>
  <c r="P46" i="5" s="1"/>
  <c r="M34" i="5"/>
  <c r="H66" i="1"/>
  <c r="M57" i="1"/>
  <c r="W56" i="1" s="1"/>
  <c r="K56" i="1"/>
  <c r="S56" i="1" s="1"/>
  <c r="S57" i="1" s="1"/>
  <c r="S58" i="1" s="1"/>
  <c r="S59" i="1" s="1"/>
  <c r="D59" i="1"/>
  <c r="P15" i="1"/>
  <c r="P23" i="1"/>
  <c r="R23" i="1" s="1"/>
  <c r="Q25" i="1" s="1"/>
  <c r="S24" i="1"/>
  <c r="S23" i="1"/>
  <c r="U30" i="1" l="1"/>
  <c r="T31" i="1"/>
  <c r="AH49" i="5"/>
  <c r="AI49" i="5" s="1"/>
  <c r="AH48" i="5"/>
  <c r="X51" i="5"/>
  <c r="X52" i="5" s="1"/>
  <c r="Y47" i="5"/>
  <c r="Y50" i="5" s="1"/>
  <c r="T39" i="5"/>
  <c r="U35" i="5"/>
  <c r="V35" i="5" s="1"/>
  <c r="V38" i="5" s="1"/>
  <c r="H54" i="5"/>
  <c r="J56" i="5" s="1"/>
  <c r="L56" i="5" s="1"/>
  <c r="J51" i="5"/>
  <c r="L51" i="5" s="1"/>
  <c r="L58" i="5" s="1"/>
  <c r="I36" i="5"/>
  <c r="M36" i="5"/>
  <c r="I35" i="5"/>
  <c r="K35" i="5" s="1"/>
  <c r="L35" i="5" s="1"/>
  <c r="M35" i="5"/>
  <c r="AI48" i="5" l="1"/>
  <c r="U39" i="5"/>
  <c r="U40" i="5" s="1"/>
  <c r="U31" i="1"/>
  <c r="T32" i="1"/>
  <c r="U32" i="1" s="1"/>
  <c r="W30" i="1"/>
  <c r="V30" i="1"/>
  <c r="I21" i="5"/>
  <c r="M51" i="5"/>
  <c r="I22" i="5"/>
  <c r="N22" i="5" s="1"/>
  <c r="M56" i="5"/>
  <c r="O56" i="5" s="1"/>
  <c r="P56" i="5" s="1"/>
  <c r="I37" i="5"/>
  <c r="K36" i="5"/>
  <c r="L36" i="5" s="1"/>
  <c r="J20" i="1" l="1"/>
  <c r="N20" i="1" s="1"/>
  <c r="X30" i="1"/>
  <c r="Y30" i="1" s="1"/>
  <c r="U33" i="1"/>
  <c r="W32" i="1"/>
  <c r="V32" i="1"/>
  <c r="V31" i="1"/>
  <c r="W31" i="1"/>
  <c r="X31" i="1" s="1"/>
  <c r="Y31" i="1" s="1"/>
  <c r="O51" i="5"/>
  <c r="P51" i="5" s="1"/>
  <c r="M58" i="5"/>
  <c r="Q21" i="1" l="1"/>
  <c r="R21" i="1" s="1"/>
  <c r="T23" i="1"/>
  <c r="T24" i="1" s="1"/>
  <c r="J24" i="1"/>
  <c r="N24" i="1" s="1"/>
  <c r="X32" i="1"/>
  <c r="Y32" i="1" s="1"/>
  <c r="J22" i="1"/>
  <c r="N22" i="1" s="1"/>
  <c r="N26" i="5"/>
  <c r="N27" i="5"/>
  <c r="P26" i="1" l="1"/>
  <c r="W23" i="1"/>
  <c r="X23" i="1" s="1"/>
  <c r="U23" i="1"/>
  <c r="U24" i="1"/>
  <c r="W24" i="1"/>
  <c r="X24" i="1" s="1"/>
  <c r="T25" i="1"/>
  <c r="N28" i="5"/>
  <c r="R25" i="5"/>
  <c r="S26" i="5" s="1"/>
  <c r="S27" i="5" s="1"/>
  <c r="M9" i="5"/>
  <c r="M8" i="5"/>
  <c r="M11" i="5" s="1"/>
  <c r="M7" i="5"/>
  <c r="H6" i="5"/>
  <c r="M5" i="5"/>
  <c r="N25" i="4"/>
  <c r="N27" i="4" s="1"/>
  <c r="S24" i="4"/>
  <c r="S25" i="4" s="1"/>
  <c r="M8" i="4"/>
  <c r="M11" i="4" s="1"/>
  <c r="M7" i="4"/>
  <c r="H6" i="4"/>
  <c r="M5" i="4"/>
  <c r="N25" i="3"/>
  <c r="S24" i="3"/>
  <c r="S25" i="3" s="1"/>
  <c r="J21" i="3" s="1"/>
  <c r="M8" i="3"/>
  <c r="M11" i="3" s="1"/>
  <c r="M7" i="3"/>
  <c r="H6" i="3"/>
  <c r="M5" i="3"/>
  <c r="S40" i="2"/>
  <c r="Q37" i="2"/>
  <c r="Q39" i="2" s="1"/>
  <c r="P23" i="2"/>
  <c r="R24" i="2"/>
  <c r="P21" i="2"/>
  <c r="M22" i="2"/>
  <c r="H21" i="2"/>
  <c r="M8" i="2"/>
  <c r="M7" i="2"/>
  <c r="H6" i="2"/>
  <c r="M5" i="2"/>
  <c r="M10" i="4" l="1"/>
  <c r="W25" i="1"/>
  <c r="X25" i="1" s="1"/>
  <c r="U25" i="1"/>
  <c r="U26" i="1" s="1"/>
  <c r="M10" i="3"/>
  <c r="M12" i="3" s="1"/>
  <c r="M14" i="3" s="1"/>
  <c r="J20" i="3"/>
  <c r="N20" i="3" s="1"/>
  <c r="M10" i="5"/>
  <c r="M12" i="5" s="1"/>
  <c r="M14" i="5" s="1"/>
  <c r="S41" i="2"/>
  <c r="J22" i="3"/>
  <c r="N22" i="3" s="1"/>
  <c r="J23" i="5"/>
  <c r="J20" i="5"/>
  <c r="J21" i="5"/>
  <c r="M12" i="4"/>
  <c r="M14" i="4" s="1"/>
  <c r="J22" i="4"/>
  <c r="N22" i="4" s="1"/>
  <c r="J20" i="4"/>
  <c r="J21" i="4"/>
  <c r="N21" i="4" s="1"/>
  <c r="N21" i="3"/>
  <c r="R25" i="2"/>
  <c r="I20" i="2" s="1"/>
  <c r="M20" i="2" s="1"/>
  <c r="M25" i="2"/>
  <c r="M27" i="2" s="1"/>
  <c r="M10" i="2"/>
  <c r="M12" i="2" s="1"/>
  <c r="M14" i="2" s="1"/>
  <c r="N26" i="4" l="1"/>
  <c r="N26" i="3"/>
  <c r="N23" i="5"/>
  <c r="N21" i="5"/>
  <c r="N20" i="5"/>
  <c r="N30" i="5"/>
  <c r="N29" i="4"/>
  <c r="N20" i="4"/>
  <c r="J36" i="2"/>
  <c r="N36" i="2" s="1"/>
  <c r="J38" i="2"/>
  <c r="N38" i="2" s="1"/>
  <c r="J37" i="2"/>
  <c r="N37" i="2" s="1"/>
  <c r="M29" i="2"/>
  <c r="N41" i="2" l="1"/>
  <c r="N43" i="2" s="1"/>
  <c r="N45" i="2" s="1"/>
  <c r="N27" i="3" l="1"/>
  <c r="N29" i="3" s="1"/>
  <c r="F54" i="1"/>
  <c r="H55" i="1" s="1"/>
  <c r="N29" i="1"/>
  <c r="Q39" i="1" s="1"/>
  <c r="L56" i="1"/>
  <c r="M56" i="1" s="1"/>
  <c r="O31" i="1" l="1"/>
  <c r="Q41" i="1"/>
  <c r="N33" i="1"/>
  <c r="W55" i="1"/>
  <c r="W58" i="1" s="1"/>
  <c r="U56" i="1"/>
  <c r="N34" i="1" l="1"/>
  <c r="U57" i="1"/>
  <c r="T56" i="1"/>
  <c r="F58" i="1" l="1"/>
  <c r="H59" i="1"/>
  <c r="T57" i="1"/>
  <c r="P58" i="1" s="1"/>
  <c r="P59" i="1" l="1"/>
  <c r="Q59" i="1" s="1"/>
  <c r="X56" i="1" s="1"/>
  <c r="Q58" i="1"/>
  <c r="X55" i="1" l="1"/>
  <c r="X58" i="1" s="1"/>
  <c r="U58" i="1"/>
  <c r="U59" i="1" l="1"/>
  <c r="T58" i="1"/>
</calcChain>
</file>

<file path=xl/comments1.xml><?xml version="1.0" encoding="utf-8"?>
<comments xmlns="http://schemas.openxmlformats.org/spreadsheetml/2006/main">
  <authors>
    <author>WinUser</author>
    <author>USUARIO</author>
    <author>MARIO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>WinUser:</t>
        </r>
        <r>
          <rPr>
            <sz val="9"/>
            <color indexed="81"/>
            <rFont val="Tahoma"/>
            <charset val="1"/>
          </rPr>
          <t xml:space="preserve">
si es un diario contable el sistema asignará un secuencial automatico 001-001-00000001
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caso de tener una sola unidad de medida aparecerá directamente, pero en el caso de tener equivalentes, permitirá isualziar la medida que se a a compras 
</t>
        </r>
      </text>
    </comment>
    <comment ref="H19" authorId="1" shapeId="0">
      <text>
        <r>
          <rPr>
            <b/>
            <sz val="9"/>
            <color indexed="81"/>
            <rFont val="Tahoma"/>
            <family val="2"/>
          </rPr>
          <t>USUARE
Este valor se lo puede Ingresos o en su defecto puede actualizar si el usuario digita un valor en el Total 
Debe visualizar el ultimo costo de compra. (no costo promedio)</t>
        </r>
      </text>
    </comment>
    <comment ref="G20" authorId="2" shapeId="0">
      <text>
        <r>
          <rPr>
            <b/>
            <sz val="9"/>
            <color indexed="81"/>
            <rFont val="Tahoma"/>
            <family val="2"/>
          </rPr>
          <t>MARIO:</t>
        </r>
        <r>
          <rPr>
            <sz val="9"/>
            <color indexed="81"/>
            <rFont val="Tahoma"/>
            <family val="2"/>
          </rPr>
          <t xml:space="preserve">
listar las compras relacionadas al producto, por rango de fecha, provedor.</t>
        </r>
      </text>
    </comment>
    <comment ref="R29" authorId="1" shapeId="0">
      <text>
        <r>
          <rPr>
            <b/>
            <sz val="9"/>
            <color indexed="81"/>
            <rFont val="Tahoma"/>
            <family val="2"/>
          </rPr>
          <t xml:space="preserve">USUARE
Este valor se lo puede Ingresos o en su defecto puede actualizar si el usuario digita un valor en el Total 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caso de tener una sola unidad de medida aparecerá directamente, pero en el caso de tener equivalentes, permitirá isualziar la medida que se a a compras 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USUARE
Este valor se lo puede Ingresos o en su defecto puede actualizar si el usuario digita un valor en el Total 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caso de tener una sola unidad de medida aparecerá directamente, pero en el caso de tener equivalentes, permitirá isualziar la medida que se a a compras 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USUARE
Este valor se lo puede Ingresos o en su defecto puede actualizar si el usuario digita un valor en el Total 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caso de tener una sola unidad de medida aparecerá directamente, pero en el caso de tener equivalentes, permitirá isualziar la medida que se a a compras 
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 xml:space="preserve">USUARE
Este valor se lo puede Ingresos o en su defecto puede actualizar si el usuario digita un valor en el Total 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caso de tener una sola unidad de medida aparecerá directamente, pero en el caso de tener equivalentes, permitirá isualziar la medida que se a a compras 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USUARE
Este valor se lo puede Ingresos o en su defecto puede actualizar si el usuario digita un valor en el Total 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caso de tener una sola unidad de medida aparecerá directamente, pero en el caso de tener equivalentes, permitirá isualziar la medida que se a a compras 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USUARE
Este valor se lo puede Ingresos o en su defecto puede actualizar si el usuario digita un valor en el Total 
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caso de tener una sola unidad de medida aparecerá directamente, pero en el caso de tener equivalentes, permitirá isualziar la medida que se a a compras 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USUARE
Este valor se lo puede Ingresos o en su defecto puede actualizar si el usuario digita un valor en el Total 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caso de tener una sola unidad de medida aparecerá directamente, pero en el caso de tener equivalentes, permitirá isualziar la medida que se a a compras 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USUARE
Este valor se lo puede Ingresos o en su defecto puede actualizar si el usuario digita un valor en el Total 
</t>
        </r>
      </text>
    </comment>
  </commentList>
</comments>
</file>

<file path=xl/comments5.xml><?xml version="1.0" encoding="utf-8"?>
<comments xmlns="http://schemas.openxmlformats.org/spreadsheetml/2006/main">
  <authors>
    <author>USUARIO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caso de tener una sola unidad de medida aparecerá directamente, pero en el caso de tener equivalentes, permitirá isualziar la medida que se a a compras 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USUARE
Este valor se lo puede Ingresos o en su defecto puede actualizar si el usuario digita un valor en el Total 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caso de tener una sola unidad de medida aparecerá directamente, pero en el caso de tener equivalentes, permitirá isualziar la medida que se a a compras 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USUARE
Este valor se lo puede Ingresos o en su defecto puede actualizar si el usuario digita un valor en el Total 
</t>
        </r>
      </text>
    </comment>
  </commentList>
</comments>
</file>

<file path=xl/sharedStrings.xml><?xml version="1.0" encoding="utf-8"?>
<sst xmlns="http://schemas.openxmlformats.org/spreadsheetml/2006/main" count="460" uniqueCount="144">
  <si>
    <t>Ruc</t>
  </si>
  <si>
    <t>No. Comprobante</t>
  </si>
  <si>
    <t>001</t>
  </si>
  <si>
    <t>USD: 0,000</t>
  </si>
  <si>
    <t xml:space="preserve">Bodega </t>
  </si>
  <si>
    <t>05</t>
  </si>
  <si>
    <t xml:space="preserve">ASIENTO CONTABLE </t>
  </si>
  <si>
    <t>DC:20200331-00000050</t>
  </si>
  <si>
    <t xml:space="preserve">Producto </t>
  </si>
  <si>
    <t>Azucar</t>
  </si>
  <si>
    <t>Medida</t>
  </si>
  <si>
    <t xml:space="preserve">Caja </t>
  </si>
  <si>
    <t>B/S/AF</t>
  </si>
  <si>
    <t>B</t>
  </si>
  <si>
    <t>C</t>
  </si>
  <si>
    <t>Inv</t>
  </si>
  <si>
    <t>Cantidad</t>
  </si>
  <si>
    <t>Costo Unitario</t>
  </si>
  <si>
    <t>Desc %</t>
  </si>
  <si>
    <t>Des $</t>
  </si>
  <si>
    <t xml:space="preserve">Iva </t>
  </si>
  <si>
    <t>Total</t>
  </si>
  <si>
    <t xml:space="preserve">Ultimo Costo </t>
  </si>
  <si>
    <t>Series</t>
  </si>
  <si>
    <t>Costo Promedio</t>
  </si>
  <si>
    <t>Grapas</t>
  </si>
  <si>
    <t>Unidad</t>
  </si>
  <si>
    <t>E</t>
  </si>
  <si>
    <t>I</t>
  </si>
  <si>
    <t>Refrigerador</t>
  </si>
  <si>
    <t>F1</t>
  </si>
  <si>
    <t>F2</t>
  </si>
  <si>
    <t>F3</t>
  </si>
  <si>
    <t>F4</t>
  </si>
  <si>
    <t xml:space="preserve">TRANSPORTE </t>
  </si>
  <si>
    <t xml:space="preserve">Transporte </t>
  </si>
  <si>
    <t>SUB12%</t>
  </si>
  <si>
    <t>SUB 0%</t>
  </si>
  <si>
    <t>IVA 12%</t>
  </si>
  <si>
    <t xml:space="preserve">TOTAL </t>
  </si>
  <si>
    <t>CASO 1</t>
  </si>
  <si>
    <t xml:space="preserve">SERVICIO DE TRANSPORTE 12% </t>
  </si>
  <si>
    <t>TOTAL PROD</t>
  </si>
  <si>
    <t>A)</t>
  </si>
  <si>
    <t>Prorratear solo a costos de los Productos I= Inventarios</t>
  </si>
  <si>
    <t>REGLA DE TRES</t>
  </si>
  <si>
    <t>Pro. Costo</t>
  </si>
  <si>
    <t xml:space="preserve">Pan </t>
  </si>
  <si>
    <t>Carne</t>
  </si>
  <si>
    <t xml:space="preserve">Libra </t>
  </si>
  <si>
    <t xml:space="preserve">SERVICIO DE TRANSPORTE 0% </t>
  </si>
  <si>
    <t>Pro. Costo 12%</t>
  </si>
  <si>
    <t>Pro. Costo 0%</t>
  </si>
  <si>
    <t xml:space="preserve">TOTAL PROD </t>
  </si>
  <si>
    <t>1.- La distribucion solo actua para productos cotegorizados con I</t>
  </si>
  <si>
    <t>Televisores</t>
  </si>
  <si>
    <t>Biciletas</t>
  </si>
  <si>
    <t>Valdes</t>
  </si>
  <si>
    <t>2.- La distribucion se aplicara  a los productos que esten las celadas activas (marcado con azul en este ejmplo); por defecto el sistema activará a todas las que corresponda a Inventario (I)</t>
  </si>
  <si>
    <t xml:space="preserve">3.- Prorrateo de Costo.- Dividir la Cantidad de productos (tome como refe el Numeral 1 y 2 ) y se divide para el total de Costos a Distribuir sea con 12 y 0% </t>
  </si>
  <si>
    <t>4.- Total.- (Cantidad * Costo Unitario * Distr Costo) - Desc % - Des $</t>
  </si>
  <si>
    <t xml:space="preserve">Tome en cuenta la misma distribución para los DESCUENTO lo que se realizo en ventas </t>
  </si>
  <si>
    <t>5.- Los costos prorrateados están fera de la aplicación de descuentos porcentuales</t>
  </si>
  <si>
    <t xml:space="preserve">Subtotal </t>
  </si>
  <si>
    <t>Subtotal 12%</t>
  </si>
  <si>
    <t xml:space="preserve">Descuento </t>
  </si>
  <si>
    <t>Subtotal 0%</t>
  </si>
  <si>
    <t>Iva 12%</t>
  </si>
  <si>
    <t>Total Factura</t>
  </si>
  <si>
    <t>el sistema guardara la factura descargada o escaneada</t>
  </si>
  <si>
    <t>Fecha</t>
  </si>
  <si>
    <t xml:space="preserve">6.- EL sistema permitira incoporar la informa a nivel de series, numeracion de factura autorizacion y ANALIZAR LA FORMA VIABLE DE TRASLADAR LOS PRODUCTOS </t>
  </si>
  <si>
    <t>DESCUENTO</t>
  </si>
  <si>
    <t>%</t>
  </si>
  <si>
    <t>$</t>
  </si>
  <si>
    <t>PROCESO 1/3</t>
  </si>
  <si>
    <t>Detalle</t>
  </si>
  <si>
    <t>distribucion</t>
  </si>
  <si>
    <t>x</t>
  </si>
  <si>
    <t>c/u</t>
  </si>
  <si>
    <t>ponderacion</t>
  </si>
  <si>
    <t>S U B  T O T A L   A  D I S T R I B U I R</t>
  </si>
  <si>
    <t xml:space="preserve">Consumos </t>
  </si>
  <si>
    <t>Kardex</t>
  </si>
  <si>
    <t xml:space="preserve">No hay Costo Promedio </t>
  </si>
  <si>
    <r>
      <t xml:space="preserve">Cantidad y </t>
    </r>
    <r>
      <rPr>
        <sz val="11"/>
        <color rgb="FFFF0000"/>
        <rFont val="Arial Narrow"/>
        <family val="2"/>
      </rPr>
      <t xml:space="preserve">Costo Unitarios </t>
    </r>
  </si>
  <si>
    <t xml:space="preserve">Inventario Consumo </t>
  </si>
  <si>
    <t>CXP</t>
  </si>
  <si>
    <t xml:space="preserve">Compramos  Enero </t>
  </si>
  <si>
    <t xml:space="preserve">Entrega Marzo </t>
  </si>
  <si>
    <t>Gasto Suministro s</t>
  </si>
  <si>
    <t>Consumo</t>
  </si>
  <si>
    <t xml:space="preserve">Ingresos </t>
  </si>
  <si>
    <t>Canitdad</t>
  </si>
  <si>
    <t xml:space="preserve">Costo </t>
  </si>
  <si>
    <t xml:space="preserve">Total </t>
  </si>
  <si>
    <t>Salidas</t>
  </si>
  <si>
    <t xml:space="preserve">Exitencias </t>
  </si>
  <si>
    <t xml:space="preserve">CONSUMOS </t>
  </si>
  <si>
    <t xml:space="preserve">Inventario </t>
  </si>
  <si>
    <t xml:space="preserve">Gastos Suministros </t>
  </si>
  <si>
    <t>Gasto Suminsitros</t>
  </si>
  <si>
    <t>G</t>
  </si>
  <si>
    <t xml:space="preserve">7.- E= Productos especiales que PERMITEN cargas una cuenta contable de Gasto Pero se contrala existencias en kardex, siempre y cuando el usuario acepte el mensaje que elsistema previamente emita </t>
  </si>
  <si>
    <t xml:space="preserve">" DESEA CONTROLAR EXISTENCIAS " SI  NO </t>
  </si>
  <si>
    <t xml:space="preserve">8.- Crear Modulo de Unificacion de Codigo de Productos para que el sistema se encargue de pasar tambien los productos </t>
  </si>
  <si>
    <t>SIGUIENTE</t>
  </si>
  <si>
    <t>https://www.youtube.com/watch?v=nC9zDTAFhUc</t>
  </si>
  <si>
    <t xml:space="preserve">importacion </t>
  </si>
  <si>
    <t>https://www.youtube.com/watch?v=CwVAuZpfDtw</t>
  </si>
  <si>
    <t>receta produccicon</t>
  </si>
  <si>
    <t>https://www.youtube.com/watch?v=9JtRqUM-__s</t>
  </si>
  <si>
    <t xml:space="preserve">FORMULA PARA DISTRIBUCION </t>
  </si>
  <si>
    <t xml:space="preserve">Costo Total </t>
  </si>
  <si>
    <t>Factor</t>
  </si>
  <si>
    <t>Factor = Costos Adicionales / Sumatoria de Costo Total</t>
  </si>
  <si>
    <t>A</t>
  </si>
  <si>
    <t xml:space="preserve">Factor * Costo Total </t>
  </si>
  <si>
    <t xml:space="preserve">Suma de "A" + Costo Total </t>
  </si>
  <si>
    <t>Costo a Distr</t>
  </si>
  <si>
    <t>Desea Controlar Existencias (S/N)</t>
  </si>
  <si>
    <t xml:space="preserve">Cuando se selecciona Diario Contable  generará una numeración automática </t>
  </si>
  <si>
    <t xml:space="preserve">NOTA QUE LA DISTRIBUCION DE LOS COSTS SON PROPORCIONALES A LOS COSTOS TOTALES </t>
  </si>
  <si>
    <t xml:space="preserve">DEUDA ACTUAL </t>
  </si>
  <si>
    <t xml:space="preserve">FACTURA </t>
  </si>
  <si>
    <t>REFRIGERADORA</t>
  </si>
  <si>
    <t>TRANSPORTE</t>
  </si>
  <si>
    <t xml:space="preserve">TRANSPORTE GASTO </t>
  </si>
  <si>
    <t>Papel Boond</t>
  </si>
  <si>
    <t xml:space="preserve">de la prima eta </t>
  </si>
  <si>
    <t>}</t>
  </si>
  <si>
    <t xml:space="preserve">Visualizar Fact </t>
  </si>
  <si>
    <t>Desgloce de Fact que estan en proceso de Distribucion Ver "Anexos 1"</t>
  </si>
  <si>
    <t xml:space="preserve">el usuario podra desmarcar o seleccionar de aucerdo a su criterio. Pero en el caso de ser facturas de gastos el prorrateo será automaticmente a todos los productos que se queden en pantalla </t>
  </si>
  <si>
    <t>kfx</t>
  </si>
  <si>
    <t>+</t>
  </si>
  <si>
    <t>0000000000000</t>
  </si>
  <si>
    <t>Factura</t>
  </si>
  <si>
    <t>de selección el cual permitira seleccionar la o las facturas a la cual afectara la nota de credito</t>
  </si>
  <si>
    <t>Devolucion                     Descuento                Conjunta</t>
  </si>
  <si>
    <t>Importar NC</t>
  </si>
  <si>
    <t>Total NC</t>
  </si>
  <si>
    <t>INGRESO NOTAS DE CREDITO EN VENTAS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</si>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</sst>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_([$$-409]* #,##0.00_);_([$$-409]* \(#,##0.00\);_([$$-409]* &quot;-&quot;??_);_(@_)"/>
    <numFmt numFmtId="166" formatCode="_-[$$-409]* #,##0.00_ ;_-[$$-409]* \-#,##0.00\ ;_-[$$-409]* &quot;-&quot;??_ ;_-@_ "/>
    <numFmt numFmtId="167" formatCode="_([$$-409]* #,##0.000000000_);_([$$-409]* \(#,##0.000000000\);_([$$-409]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sz val="11"/>
      <color theme="0" tint="-4.9989318521683403E-2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7"/>
      <color theme="0"/>
      <name val="Arial Narrow"/>
      <family val="2"/>
    </font>
    <font>
      <b/>
      <sz val="10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0000"/>
      </bottom>
      <diagonal/>
    </border>
    <border>
      <left style="hair">
        <color theme="3"/>
      </left>
      <right style="hair">
        <color theme="3"/>
      </right>
      <top style="double">
        <color rgb="FFFF0000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/>
      <right/>
      <top style="hair">
        <color theme="3"/>
      </top>
      <bottom style="thin">
        <color theme="3"/>
      </bottom>
      <diagonal/>
    </border>
    <border>
      <left style="medium">
        <color auto="1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rgb="FFFF0000"/>
      </left>
      <right style="medium">
        <color auto="1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thin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0" borderId="1" xfId="0" quotePrefix="1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/>
    <xf numFmtId="0" fontId="4" fillId="3" borderId="0" xfId="0" applyFont="1" applyFill="1" applyBorder="1" applyAlignment="1"/>
    <xf numFmtId="0" fontId="4" fillId="3" borderId="0" xfId="0" applyFont="1" applyFill="1"/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6" xfId="0" applyFont="1" applyFill="1" applyBorder="1"/>
    <xf numFmtId="9" fontId="1" fillId="0" borderId="3" xfId="0" applyNumberFormat="1" applyFont="1" applyBorder="1" applyAlignment="1"/>
    <xf numFmtId="9" fontId="1" fillId="0" borderId="4" xfId="0" applyNumberFormat="1" applyFont="1" applyBorder="1"/>
    <xf numFmtId="165" fontId="1" fillId="3" borderId="4" xfId="0" applyNumberFormat="1" applyFont="1" applyFill="1" applyBorder="1"/>
    <xf numFmtId="165" fontId="1" fillId="3" borderId="5" xfId="0" applyNumberFormat="1" applyFont="1" applyFill="1" applyBorder="1"/>
    <xf numFmtId="0" fontId="1" fillId="0" borderId="0" xfId="0" applyFont="1" applyBorder="1"/>
    <xf numFmtId="0" fontId="1" fillId="0" borderId="0" xfId="0" quotePrefix="1" applyFont="1" applyBorder="1" applyAlignment="1"/>
    <xf numFmtId="0" fontId="1" fillId="0" borderId="1" xfId="0" applyFont="1" applyBorder="1"/>
    <xf numFmtId="0" fontId="1" fillId="0" borderId="1" xfId="0" quotePrefix="1" applyFont="1" applyBorder="1" applyAlignment="1"/>
    <xf numFmtId="165" fontId="1" fillId="0" borderId="0" xfId="0" applyNumberFormat="1" applyFont="1" applyBorder="1"/>
    <xf numFmtId="0" fontId="1" fillId="0" borderId="9" xfId="0" applyFont="1" applyBorder="1"/>
    <xf numFmtId="165" fontId="1" fillId="0" borderId="10" xfId="0" applyNumberFormat="1" applyFont="1" applyBorder="1"/>
    <xf numFmtId="0" fontId="10" fillId="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5" borderId="0" xfId="0" applyFont="1" applyFill="1"/>
    <xf numFmtId="0" fontId="10" fillId="5" borderId="0" xfId="0" applyFont="1" applyFill="1" applyAlignment="1">
      <alignment horizontal="center"/>
    </xf>
    <xf numFmtId="165" fontId="1" fillId="0" borderId="16" xfId="0" applyNumberFormat="1" applyFont="1" applyBorder="1"/>
    <xf numFmtId="0" fontId="2" fillId="0" borderId="17" xfId="0" applyFont="1" applyBorder="1" applyAlignment="1">
      <alignment horizontal="center"/>
    </xf>
    <xf numFmtId="0" fontId="2" fillId="0" borderId="17" xfId="0" applyFont="1" applyBorder="1"/>
    <xf numFmtId="0" fontId="1" fillId="5" borderId="0" xfId="0" applyFont="1" applyFill="1" applyBorder="1"/>
    <xf numFmtId="0" fontId="9" fillId="5" borderId="0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165" fontId="1" fillId="0" borderId="18" xfId="0" applyNumberFormat="1" applyFont="1" applyBorder="1"/>
    <xf numFmtId="9" fontId="1" fillId="0" borderId="18" xfId="0" applyNumberFormat="1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165" fontId="1" fillId="0" borderId="19" xfId="0" applyNumberFormat="1" applyFont="1" applyBorder="1"/>
    <xf numFmtId="0" fontId="1" fillId="0" borderId="19" xfId="0" applyFont="1" applyBorder="1"/>
    <xf numFmtId="9" fontId="1" fillId="0" borderId="19" xfId="0" applyNumberFormat="1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0" fontId="1" fillId="2" borderId="19" xfId="0" applyFont="1" applyFill="1" applyBorder="1"/>
    <xf numFmtId="2" fontId="1" fillId="4" borderId="19" xfId="0" applyNumberFormat="1" applyFont="1" applyFill="1" applyBorder="1" applyAlignment="1">
      <alignment horizontal="center"/>
    </xf>
    <xf numFmtId="165" fontId="1" fillId="0" borderId="20" xfId="0" applyNumberFormat="1" applyFont="1" applyBorder="1"/>
    <xf numFmtId="0" fontId="10" fillId="5" borderId="21" xfId="0" applyFont="1" applyFill="1" applyBorder="1" applyAlignment="1">
      <alignment horizontal="left"/>
    </xf>
    <xf numFmtId="165" fontId="10" fillId="5" borderId="22" xfId="0" applyNumberFormat="1" applyFont="1" applyFill="1" applyBorder="1"/>
    <xf numFmtId="165" fontId="1" fillId="0" borderId="23" xfId="0" applyNumberFormat="1" applyFont="1" applyBorder="1"/>
    <xf numFmtId="0" fontId="1" fillId="0" borderId="24" xfId="0" applyFont="1" applyBorder="1"/>
    <xf numFmtId="9" fontId="1" fillId="0" borderId="26" xfId="0" applyNumberFormat="1" applyFont="1" applyBorder="1" applyAlignment="1">
      <alignment horizontal="center"/>
    </xf>
    <xf numFmtId="165" fontId="1" fillId="0" borderId="2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1" fillId="3" borderId="18" xfId="0" applyNumberFormat="1" applyFont="1" applyFill="1" applyBorder="1" applyAlignment="1">
      <alignment horizontal="left"/>
    </xf>
    <xf numFmtId="2" fontId="1" fillId="0" borderId="19" xfId="0" applyNumberFormat="1" applyFont="1" applyBorder="1"/>
    <xf numFmtId="2" fontId="1" fillId="0" borderId="0" xfId="0" applyNumberFormat="1" applyFont="1"/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2" fillId="0" borderId="0" xfId="0" applyNumberFormat="1" applyFont="1"/>
    <xf numFmtId="166" fontId="1" fillId="0" borderId="0" xfId="0" applyNumberFormat="1" applyFont="1" applyBorder="1"/>
    <xf numFmtId="166" fontId="11" fillId="6" borderId="0" xfId="0" applyNumberFormat="1" applyFont="1" applyFill="1" applyBorder="1"/>
    <xf numFmtId="0" fontId="2" fillId="6" borderId="0" xfId="0" applyFont="1" applyFill="1"/>
    <xf numFmtId="0" fontId="1" fillId="6" borderId="0" xfId="0" applyFont="1" applyFill="1"/>
    <xf numFmtId="166" fontId="0" fillId="0" borderId="0" xfId="0" applyNumberFormat="1"/>
    <xf numFmtId="0" fontId="1" fillId="0" borderId="0" xfId="0" applyNumberFormat="1" applyFont="1" applyAlignment="1">
      <alignment horizontal="center"/>
    </xf>
    <xf numFmtId="165" fontId="1" fillId="7" borderId="0" xfId="0" applyNumberFormat="1" applyFont="1" applyFill="1"/>
    <xf numFmtId="0" fontId="12" fillId="0" borderId="0" xfId="0" applyFont="1"/>
    <xf numFmtId="0" fontId="0" fillId="7" borderId="0" xfId="0" applyFill="1"/>
    <xf numFmtId="0" fontId="13" fillId="0" borderId="0" xfId="1"/>
    <xf numFmtId="167" fontId="1" fillId="0" borderId="18" xfId="0" applyNumberFormat="1" applyFont="1" applyBorder="1"/>
    <xf numFmtId="166" fontId="2" fillId="0" borderId="0" xfId="0" applyNumberFormat="1" applyFont="1" applyAlignment="1">
      <alignment horizontal="right"/>
    </xf>
    <xf numFmtId="166" fontId="1" fillId="7" borderId="0" xfId="0" applyNumberFormat="1" applyFont="1" applyFill="1"/>
    <xf numFmtId="165" fontId="1" fillId="7" borderId="19" xfId="0" applyNumberFormat="1" applyFont="1" applyFill="1" applyBorder="1"/>
    <xf numFmtId="165" fontId="1" fillId="7" borderId="18" xfId="0" applyNumberFormat="1" applyFont="1" applyFill="1" applyBorder="1"/>
    <xf numFmtId="0" fontId="11" fillId="0" borderId="0" xfId="0" applyFont="1"/>
    <xf numFmtId="0" fontId="14" fillId="0" borderId="0" xfId="0" applyFont="1"/>
    <xf numFmtId="0" fontId="3" fillId="0" borderId="19" xfId="0" applyFont="1" applyBorder="1" applyAlignment="1">
      <alignment horizontal="center"/>
    </xf>
    <xf numFmtId="0" fontId="2" fillId="0" borderId="0" xfId="0" applyFont="1" applyAlignment="1">
      <alignment horizontal="right"/>
    </xf>
    <xf numFmtId="9" fontId="1" fillId="0" borderId="0" xfId="0" applyNumberFormat="1" applyFont="1"/>
    <xf numFmtId="0" fontId="1" fillId="0" borderId="0" xfId="0" applyFont="1" applyFill="1"/>
    <xf numFmtId="0" fontId="1" fillId="0" borderId="11" xfId="0" applyFont="1" applyFill="1" applyBorder="1"/>
    <xf numFmtId="0" fontId="1" fillId="0" borderId="27" xfId="0" applyFont="1" applyFill="1" applyBorder="1"/>
    <xf numFmtId="0" fontId="1" fillId="0" borderId="28" xfId="0" applyFont="1" applyFill="1" applyBorder="1"/>
    <xf numFmtId="2" fontId="1" fillId="8" borderId="18" xfId="0" applyNumberFormat="1" applyFont="1" applyFill="1" applyBorder="1" applyAlignment="1">
      <alignment horizontal="center"/>
    </xf>
    <xf numFmtId="2" fontId="1" fillId="8" borderId="19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1" fillId="0" borderId="0" xfId="0" applyFont="1" applyFill="1"/>
    <xf numFmtId="0" fontId="11" fillId="0" borderId="11" xfId="0" applyFont="1" applyFill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11</xdr:row>
      <xdr:rowOff>38100</xdr:rowOff>
    </xdr:from>
    <xdr:to>
      <xdr:col>5</xdr:col>
      <xdr:colOff>600075</xdr:colOff>
      <xdr:row>11</xdr:row>
      <xdr:rowOff>142875</xdr:rowOff>
    </xdr:to>
    <xdr:sp macro="" textlink="">
      <xdr:nvSpPr>
        <xdr:cNvPr id="2" name="Elipse 1"/>
        <xdr:cNvSpPr/>
      </xdr:nvSpPr>
      <xdr:spPr>
        <a:xfrm>
          <a:off x="3562350" y="2266950"/>
          <a:ext cx="114300" cy="1047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11</xdr:row>
      <xdr:rowOff>57150</xdr:rowOff>
    </xdr:from>
    <xdr:to>
      <xdr:col>6</xdr:col>
      <xdr:colOff>114300</xdr:colOff>
      <xdr:row>11</xdr:row>
      <xdr:rowOff>161925</xdr:rowOff>
    </xdr:to>
    <xdr:sp macro="" textlink="">
      <xdr:nvSpPr>
        <xdr:cNvPr id="3" name="Elipse 2"/>
        <xdr:cNvSpPr/>
      </xdr:nvSpPr>
      <xdr:spPr>
        <a:xfrm>
          <a:off x="4762500" y="2286000"/>
          <a:ext cx="114300" cy="1047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923925</xdr:colOff>
      <xdr:row>11</xdr:row>
      <xdr:rowOff>76200</xdr:rowOff>
    </xdr:from>
    <xdr:to>
      <xdr:col>7</xdr:col>
      <xdr:colOff>1038225</xdr:colOff>
      <xdr:row>11</xdr:row>
      <xdr:rowOff>180975</xdr:rowOff>
    </xdr:to>
    <xdr:sp macro="" textlink="">
      <xdr:nvSpPr>
        <xdr:cNvPr id="4" name="Elipse 3"/>
        <xdr:cNvSpPr/>
      </xdr:nvSpPr>
      <xdr:spPr>
        <a:xfrm>
          <a:off x="5829300" y="2305050"/>
          <a:ext cx="114300" cy="1047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9JtRqUM-__s" TargetMode="External"/><Relationship Id="rId2" Type="http://schemas.openxmlformats.org/officeDocument/2006/relationships/hyperlink" Target="https://www.youtube.com/watch?v=CwVAuZpfDtw" TargetMode="External"/><Relationship Id="rId1" Type="http://schemas.openxmlformats.org/officeDocument/2006/relationships/hyperlink" Target="https://www.youtube.com/watch?v=nC9zDTAFhUc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6"/>
  <sheetViews>
    <sheetView tabSelected="1" workbookViewId="0">
      <selection activeCell="F10" sqref="F10"/>
    </sheetView>
  </sheetViews>
  <sheetFormatPr baseColWidth="10" defaultColWidth="11.42578125" defaultRowHeight="16.5" x14ac:dyDescent="0.3"/>
  <cols>
    <col min="1" max="1" width="3.140625" style="1" bestFit="1" customWidth="1"/>
    <col min="2" max="2" width="16.28515625" style="1" bestFit="1" customWidth="1"/>
    <col min="3" max="4" width="11.42578125" style="1"/>
    <col min="5" max="5" width="3.85546875" style="1" customWidth="1"/>
    <col min="6" max="6" width="25.28515625" style="1" customWidth="1"/>
    <col min="7" max="7" width="2.140625" style="1" customWidth="1"/>
    <col min="8" max="8" width="16.42578125" style="1" bestFit="1" customWidth="1"/>
    <col min="9" max="9" width="2.5703125" style="1" customWidth="1"/>
    <col min="10" max="10" width="16" style="1" customWidth="1"/>
    <col min="11" max="12" width="11.42578125" style="1"/>
    <col min="13" max="13" width="12.42578125" style="1" bestFit="1" customWidth="1"/>
    <col min="14" max="14" width="12" style="1" bestFit="1" customWidth="1"/>
    <col min="15" max="15" width="15.42578125" style="1" bestFit="1" customWidth="1"/>
    <col min="16" max="16" width="15" style="1" bestFit="1" customWidth="1"/>
    <col min="17" max="17" width="11.42578125" style="1"/>
    <col min="18" max="18" width="13.85546875" style="1" customWidth="1"/>
    <col min="19" max="19" width="11.42578125" style="1"/>
    <col min="20" max="20" width="13.5703125" style="1" bestFit="1" customWidth="1"/>
    <col min="21" max="16384" width="11.42578125" style="1"/>
  </cols>
  <sheetData>
    <row r="1" spans="2:34" x14ac:dyDescent="0.3">
      <c r="B1" s="2" t="s">
        <v>142</v>
      </c>
    </row>
    <row r="2" spans="2:34" x14ac:dyDescent="0.3">
      <c r="B2" s="3"/>
      <c r="C2" s="2" t="s">
        <v>6</v>
      </c>
      <c r="E2" s="11" t="s">
        <v>7</v>
      </c>
      <c r="F2" s="11"/>
      <c r="G2" s="11"/>
      <c r="J2" s="108" t="s">
        <v>123</v>
      </c>
      <c r="K2" s="108"/>
      <c r="L2" s="106" t="s">
        <v>3</v>
      </c>
      <c r="M2" s="106"/>
    </row>
    <row r="3" spans="2:34" ht="6" customHeigh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34" x14ac:dyDescent="0.3">
      <c r="B4" s="2" t="s">
        <v>143</v>
      </c>
      <c r="C4" s="112" t="s">
        <v>134</v>
      </c>
      <c r="D4" s="112"/>
      <c r="E4" s="112"/>
      <c r="H4" s="2" t="s">
        <v>0</v>
      </c>
      <c r="I4" s="2"/>
      <c r="J4" s="112"/>
      <c r="K4" s="112"/>
      <c r="L4" s="112"/>
      <c r="O4" s="111" t="s">
        <v>69</v>
      </c>
    </row>
    <row r="5" spans="2:34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11"/>
    </row>
    <row r="6" spans="2:34" ht="6.75" customHeight="1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2:34" x14ac:dyDescent="0.3">
      <c r="B7" s="113" t="s">
        <v>1</v>
      </c>
      <c r="C7" s="113"/>
      <c r="D7" s="114" t="s">
        <v>2</v>
      </c>
      <c r="E7" s="115"/>
      <c r="F7" s="6" t="s">
        <v>2</v>
      </c>
      <c r="G7" s="6"/>
      <c r="H7" s="6" t="s">
        <v>136</v>
      </c>
      <c r="I7" s="114"/>
      <c r="J7" s="114"/>
      <c r="L7" s="2" t="s">
        <v>70</v>
      </c>
      <c r="M7" s="29"/>
      <c r="N7" s="30"/>
      <c r="Q7" s="1" t="s">
        <v>121</v>
      </c>
    </row>
    <row r="8" spans="2:34" ht="6.75" customHeight="1" thickBot="1" x14ac:dyDescent="0.3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2:34" ht="17.25" thickBot="1" x14ac:dyDescent="0.35">
      <c r="B9" s="105" t="s">
        <v>137</v>
      </c>
      <c r="C9" s="7" t="s">
        <v>138</v>
      </c>
      <c r="D9" s="27"/>
      <c r="E9" s="8"/>
      <c r="F9" s="114" t="s">
        <v>2</v>
      </c>
      <c r="G9" s="115"/>
      <c r="H9" s="6" t="s">
        <v>2</v>
      </c>
      <c r="I9" s="6"/>
      <c r="J9" s="6" t="s">
        <v>136</v>
      </c>
      <c r="K9" s="28"/>
      <c r="L9" s="28"/>
      <c r="M9" s="28"/>
      <c r="N9" s="28"/>
      <c r="O9" s="28"/>
    </row>
    <row r="10" spans="2:34" x14ac:dyDescent="0.3">
      <c r="D10" s="27"/>
      <c r="E10" s="8"/>
      <c r="F10" s="27"/>
      <c r="G10" s="27"/>
      <c r="I10" s="28"/>
      <c r="J10" s="94"/>
      <c r="K10" s="28"/>
      <c r="L10" s="28"/>
      <c r="M10" s="28"/>
      <c r="N10" s="28"/>
      <c r="O10" s="28"/>
    </row>
    <row r="11" spans="2:34" ht="5.25" customHeight="1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2:34" x14ac:dyDescent="0.3">
      <c r="B12" s="2" t="s">
        <v>4</v>
      </c>
      <c r="C12" s="6" t="s">
        <v>5</v>
      </c>
      <c r="D12" s="9"/>
      <c r="E12" s="10" t="s">
        <v>139</v>
      </c>
      <c r="F12" s="11"/>
      <c r="G12" s="11"/>
      <c r="H12" s="11"/>
      <c r="I12" s="11"/>
      <c r="J12" s="11"/>
      <c r="K12" s="11"/>
      <c r="L12" s="11"/>
      <c r="M12" s="2" t="s">
        <v>140</v>
      </c>
      <c r="N12" s="5"/>
      <c r="O12" s="5"/>
    </row>
    <row r="13" spans="2:34" ht="5.25" customHeight="1" thickBot="1" x14ac:dyDescent="0.3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2:34" ht="10.5" customHeight="1" thickBot="1" x14ac:dyDescent="0.35">
      <c r="B14" s="5"/>
      <c r="C14" s="5"/>
      <c r="D14" s="5"/>
      <c r="E14" s="5"/>
      <c r="F14" s="5"/>
      <c r="G14" s="5"/>
      <c r="H14" s="5"/>
      <c r="I14" s="5"/>
      <c r="J14" s="5"/>
      <c r="K14" s="5"/>
      <c r="L14" s="22"/>
      <c r="M14" s="109" t="s">
        <v>81</v>
      </c>
      <c r="N14" s="109"/>
      <c r="O14" s="110"/>
    </row>
    <row r="15" spans="2:34" ht="17.25" thickBot="1" x14ac:dyDescent="0.35">
      <c r="B15" s="2"/>
      <c r="C15" s="112"/>
      <c r="D15" s="112"/>
      <c r="E15" s="112"/>
      <c r="H15" s="2"/>
      <c r="I15" s="2"/>
      <c r="J15" s="112"/>
      <c r="K15" s="112"/>
      <c r="L15" s="23">
        <v>0.12</v>
      </c>
      <c r="M15" s="25">
        <v>3</v>
      </c>
      <c r="N15" s="24">
        <v>0</v>
      </c>
      <c r="O15" s="26">
        <v>0</v>
      </c>
      <c r="P15" s="1">
        <f>+M15*12%</f>
        <v>0.36</v>
      </c>
      <c r="AH15" s="95"/>
    </row>
    <row r="16" spans="2:34" ht="6" customHeight="1" thickBot="1" x14ac:dyDescent="0.3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40" ht="17.25" customHeight="1" thickBot="1" x14ac:dyDescent="0.35">
      <c r="A17" s="96"/>
      <c r="B17" s="2"/>
      <c r="C17" s="96"/>
      <c r="D17" s="97"/>
      <c r="E17" s="98"/>
      <c r="F17" s="98"/>
      <c r="G17" s="98"/>
      <c r="H17" s="99"/>
      <c r="I17" s="96"/>
      <c r="J17" s="103" t="s">
        <v>131</v>
      </c>
      <c r="K17" s="104" t="s">
        <v>132</v>
      </c>
      <c r="L17" s="98"/>
      <c r="M17" s="98"/>
      <c r="N17" s="98"/>
      <c r="O17" s="99"/>
    </row>
    <row r="18" spans="1:40" ht="6" customHeight="1" thickBot="1" x14ac:dyDescent="0.3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40" ht="17.25" thickBot="1" x14ac:dyDescent="0.35">
      <c r="B19" s="42" t="s">
        <v>76</v>
      </c>
      <c r="C19" s="42" t="s">
        <v>10</v>
      </c>
      <c r="D19" s="42" t="s">
        <v>12</v>
      </c>
      <c r="E19" s="43" t="s">
        <v>15</v>
      </c>
      <c r="F19" s="42" t="s">
        <v>16</v>
      </c>
      <c r="G19" s="102"/>
      <c r="H19" s="42" t="s">
        <v>17</v>
      </c>
      <c r="I19" s="42" t="s">
        <v>77</v>
      </c>
      <c r="J19" s="42" t="s">
        <v>80</v>
      </c>
      <c r="K19" s="42" t="s">
        <v>18</v>
      </c>
      <c r="L19" s="42" t="s">
        <v>19</v>
      </c>
      <c r="M19" s="42" t="s">
        <v>20</v>
      </c>
      <c r="N19" s="42" t="s">
        <v>21</v>
      </c>
      <c r="O19" s="42" t="s">
        <v>23</v>
      </c>
      <c r="Q19" s="2" t="s">
        <v>22</v>
      </c>
      <c r="R19" s="7"/>
    </row>
    <row r="20" spans="1:40" ht="18" thickTop="1" thickBot="1" x14ac:dyDescent="0.35">
      <c r="A20" s="8" t="s">
        <v>30</v>
      </c>
      <c r="B20" s="52" t="s">
        <v>55</v>
      </c>
      <c r="C20" s="47" t="s">
        <v>26</v>
      </c>
      <c r="D20" s="47" t="s">
        <v>13</v>
      </c>
      <c r="E20" s="52" t="s">
        <v>28</v>
      </c>
      <c r="F20" s="100">
        <v>60</v>
      </c>
      <c r="G20" s="100" t="s">
        <v>135</v>
      </c>
      <c r="H20" s="48">
        <v>12</v>
      </c>
      <c r="I20" s="70" t="s">
        <v>78</v>
      </c>
      <c r="J20" s="48">
        <f>+W30</f>
        <v>2.7692307692307693E-2</v>
      </c>
      <c r="K20" s="49">
        <v>0</v>
      </c>
      <c r="L20" s="50">
        <v>0</v>
      </c>
      <c r="M20" s="49">
        <v>0.12</v>
      </c>
      <c r="N20" s="90">
        <f>(F20*(H20+J20))</f>
        <v>721.66153846153838</v>
      </c>
      <c r="O20" s="51"/>
      <c r="P20" s="73"/>
      <c r="Q20" s="2" t="s">
        <v>24</v>
      </c>
      <c r="R20" s="7"/>
    </row>
    <row r="21" spans="1:40" ht="17.25" thickBot="1" x14ac:dyDescent="0.35">
      <c r="A21" s="8" t="s">
        <v>30</v>
      </c>
      <c r="B21" s="52" t="s">
        <v>55</v>
      </c>
      <c r="C21" s="52" t="s">
        <v>26</v>
      </c>
      <c r="D21" s="52" t="s">
        <v>13</v>
      </c>
      <c r="E21" s="52" t="s">
        <v>28</v>
      </c>
      <c r="F21" s="53">
        <v>80</v>
      </c>
      <c r="G21" s="53"/>
      <c r="H21" s="54">
        <v>3</v>
      </c>
      <c r="I21" s="54"/>
      <c r="J21" s="55"/>
      <c r="K21" s="56">
        <v>0</v>
      </c>
      <c r="L21" s="57">
        <v>0</v>
      </c>
      <c r="M21" s="56">
        <v>0.12</v>
      </c>
      <c r="N21" s="54">
        <f>+F21*H21</f>
        <v>240</v>
      </c>
      <c r="O21" s="54"/>
      <c r="P21" s="75">
        <f>+F20</f>
        <v>60</v>
      </c>
      <c r="Q21" s="75">
        <f>+H20+J20-L20</f>
        <v>12.027692307692307</v>
      </c>
      <c r="R21" s="77">
        <f>+P21*Q21</f>
        <v>721.66153846153838</v>
      </c>
      <c r="AB21" s="1" t="s">
        <v>124</v>
      </c>
      <c r="AK21" s="1" t="s">
        <v>129</v>
      </c>
      <c r="AM21" s="1">
        <v>15000</v>
      </c>
    </row>
    <row r="22" spans="1:40" ht="17.25" thickTop="1" x14ac:dyDescent="0.3">
      <c r="A22" s="8" t="s">
        <v>30</v>
      </c>
      <c r="B22" s="52" t="s">
        <v>55</v>
      </c>
      <c r="C22" s="52" t="s">
        <v>26</v>
      </c>
      <c r="D22" s="52" t="s">
        <v>13</v>
      </c>
      <c r="E22" s="52" t="s">
        <v>28</v>
      </c>
      <c r="F22" s="101">
        <v>70</v>
      </c>
      <c r="G22" s="101"/>
      <c r="H22" s="54">
        <v>4</v>
      </c>
      <c r="I22" s="70" t="s">
        <v>78</v>
      </c>
      <c r="J22" s="48">
        <f>+W31</f>
        <v>9.2307692307692316E-3</v>
      </c>
      <c r="K22" s="56">
        <v>0</v>
      </c>
      <c r="L22" s="57">
        <v>0</v>
      </c>
      <c r="M22" s="56">
        <v>0</v>
      </c>
      <c r="N22" s="89">
        <f>(F22*(H22+J22))</f>
        <v>280.64615384615388</v>
      </c>
      <c r="O22" s="71"/>
      <c r="Q22" s="2"/>
      <c r="R22" s="27"/>
      <c r="W22" s="67" t="s">
        <v>79</v>
      </c>
      <c r="AA22" s="91">
        <v>5</v>
      </c>
      <c r="AB22" s="91" t="s">
        <v>125</v>
      </c>
      <c r="AC22" s="91"/>
      <c r="AD22" s="92">
        <v>100</v>
      </c>
      <c r="AE22" s="91">
        <f>+AD22*AA22</f>
        <v>500</v>
      </c>
      <c r="AJ22" s="52" t="s">
        <v>55</v>
      </c>
      <c r="AN22" s="1">
        <f>+AM21*18%</f>
        <v>2700</v>
      </c>
    </row>
    <row r="23" spans="1:40" ht="17.25" thickBot="1" x14ac:dyDescent="0.35">
      <c r="A23" s="8" t="s">
        <v>30</v>
      </c>
      <c r="B23" s="52" t="s">
        <v>56</v>
      </c>
      <c r="C23" s="52" t="s">
        <v>26</v>
      </c>
      <c r="D23" s="52" t="s">
        <v>13</v>
      </c>
      <c r="E23" s="52" t="s">
        <v>28</v>
      </c>
      <c r="F23" s="53">
        <v>60</v>
      </c>
      <c r="G23" s="53"/>
      <c r="H23" s="54">
        <v>5</v>
      </c>
      <c r="I23" s="54"/>
      <c r="J23" s="55"/>
      <c r="K23" s="56">
        <v>0</v>
      </c>
      <c r="L23" s="57">
        <v>0</v>
      </c>
      <c r="M23" s="56">
        <v>0.12</v>
      </c>
      <c r="N23" s="54">
        <f>+F23*H23</f>
        <v>300</v>
      </c>
      <c r="O23" s="55"/>
      <c r="P23" s="73">
        <f>+F20*H20</f>
        <v>720</v>
      </c>
      <c r="Q23" s="2">
        <v>10</v>
      </c>
      <c r="R23" s="76">
        <f>+P23+Q23</f>
        <v>730</v>
      </c>
      <c r="S23" s="72">
        <f>+F20</f>
        <v>60</v>
      </c>
      <c r="T23" s="14">
        <f>+J20</f>
        <v>2.7692307692307693E-2</v>
      </c>
      <c r="U23" s="73">
        <f>+S23*T23</f>
        <v>1.6615384615384616</v>
      </c>
      <c r="V23" s="1">
        <v>150</v>
      </c>
      <c r="W23" s="74">
        <f>+V23+T23</f>
        <v>150.02769230769232</v>
      </c>
      <c r="X23" s="1">
        <f>+W23*S23</f>
        <v>9001.6615384615397</v>
      </c>
      <c r="AB23" s="2" t="s">
        <v>126</v>
      </c>
      <c r="AC23" s="2"/>
      <c r="AD23" s="2"/>
      <c r="AE23" s="2">
        <v>30</v>
      </c>
      <c r="AG23" s="1">
        <v>48000</v>
      </c>
      <c r="AH23" s="1">
        <f>+AG23*18%</f>
        <v>8640</v>
      </c>
      <c r="AJ23" s="52" t="s">
        <v>55</v>
      </c>
      <c r="AN23" s="1">
        <f>+AN22*30%</f>
        <v>810</v>
      </c>
    </row>
    <row r="24" spans="1:40" ht="17.25" thickTop="1" x14ac:dyDescent="0.3">
      <c r="A24" s="8" t="s">
        <v>30</v>
      </c>
      <c r="B24" s="52" t="s">
        <v>57</v>
      </c>
      <c r="C24" s="52" t="s">
        <v>26</v>
      </c>
      <c r="D24" s="52" t="s">
        <v>13</v>
      </c>
      <c r="E24" s="52" t="s">
        <v>28</v>
      </c>
      <c r="F24" s="101">
        <v>50</v>
      </c>
      <c r="G24" s="101"/>
      <c r="H24" s="54">
        <v>6</v>
      </c>
      <c r="I24" s="70" t="s">
        <v>78</v>
      </c>
      <c r="J24" s="48">
        <f>+W32</f>
        <v>1.3846153846153848E-2</v>
      </c>
      <c r="K24" s="56">
        <v>0</v>
      </c>
      <c r="L24" s="57">
        <v>0</v>
      </c>
      <c r="M24" s="56">
        <v>0</v>
      </c>
      <c r="N24" s="89">
        <f>(F24*(H24+J24))</f>
        <v>300.69230769230768</v>
      </c>
      <c r="O24" s="55"/>
      <c r="Q24" s="2"/>
      <c r="R24" s="27"/>
      <c r="S24" s="72">
        <f>+F22</f>
        <v>70</v>
      </c>
      <c r="T24" s="14">
        <f>+T23</f>
        <v>2.7692307692307693E-2</v>
      </c>
      <c r="U24" s="73">
        <f>+S24*T24</f>
        <v>1.9384615384615385</v>
      </c>
      <c r="V24" s="1">
        <v>70</v>
      </c>
      <c r="W24" s="74">
        <f>+V24+T24</f>
        <v>70.027692307692305</v>
      </c>
      <c r="X24" s="1">
        <f>+W24*S24</f>
        <v>4901.9384615384615</v>
      </c>
      <c r="AE24" s="1">
        <f>+AE22+AE23</f>
        <v>530</v>
      </c>
      <c r="AG24" s="1">
        <f>+AG23*18%</f>
        <v>8640</v>
      </c>
      <c r="AH24" s="1" t="s">
        <v>130</v>
      </c>
      <c r="AJ24" s="52" t="s">
        <v>55</v>
      </c>
    </row>
    <row r="25" spans="1:40" x14ac:dyDescent="0.3">
      <c r="A25" s="8" t="s">
        <v>31</v>
      </c>
      <c r="B25" s="52" t="s">
        <v>128</v>
      </c>
      <c r="C25" s="52" t="s">
        <v>11</v>
      </c>
      <c r="D25" s="52" t="s">
        <v>13</v>
      </c>
      <c r="E25" s="52" t="s">
        <v>14</v>
      </c>
      <c r="F25" s="53">
        <v>50</v>
      </c>
      <c r="G25" s="53"/>
      <c r="H25" s="54">
        <v>7</v>
      </c>
      <c r="I25" s="54"/>
      <c r="J25" s="55"/>
      <c r="K25" s="56">
        <v>0</v>
      </c>
      <c r="L25" s="57">
        <v>0</v>
      </c>
      <c r="M25" s="56">
        <v>0.12</v>
      </c>
      <c r="N25" s="54">
        <f t="shared" ref="N25:N28" si="0">+F25*H25</f>
        <v>350</v>
      </c>
      <c r="O25" s="55"/>
      <c r="P25" s="2">
        <v>60</v>
      </c>
      <c r="Q25" s="1">
        <f>+R23/P25</f>
        <v>12.166666666666666</v>
      </c>
      <c r="S25" s="14">
        <v>50</v>
      </c>
      <c r="T25" s="14">
        <f>+T24</f>
        <v>2.7692307692307693E-2</v>
      </c>
      <c r="U25" s="73">
        <f>+S25*T25</f>
        <v>1.3846153846153846</v>
      </c>
      <c r="V25" s="1">
        <v>3.5</v>
      </c>
      <c r="W25" s="74">
        <f>+V25+T25</f>
        <v>3.5276923076923077</v>
      </c>
      <c r="X25" s="1">
        <f>+W25*S25</f>
        <v>176.38461538461539</v>
      </c>
      <c r="AE25" s="1">
        <f>+AE24*12%</f>
        <v>63.599999999999994</v>
      </c>
      <c r="AJ25" s="52" t="s">
        <v>56</v>
      </c>
      <c r="AM25" s="1">
        <v>42000</v>
      </c>
    </row>
    <row r="26" spans="1:40" x14ac:dyDescent="0.3">
      <c r="A26" s="8" t="s">
        <v>32</v>
      </c>
      <c r="B26" s="52" t="s">
        <v>29</v>
      </c>
      <c r="C26" s="52" t="s">
        <v>26</v>
      </c>
      <c r="D26" s="52" t="s">
        <v>13</v>
      </c>
      <c r="E26" s="52" t="s">
        <v>102</v>
      </c>
      <c r="F26" s="53">
        <v>2</v>
      </c>
      <c r="G26" s="53"/>
      <c r="H26" s="54">
        <v>8</v>
      </c>
      <c r="I26" s="54"/>
      <c r="J26" s="55"/>
      <c r="K26" s="56">
        <v>0</v>
      </c>
      <c r="L26" s="57">
        <v>0</v>
      </c>
      <c r="M26" s="56">
        <v>0.12</v>
      </c>
      <c r="N26" s="54">
        <f t="shared" si="0"/>
        <v>16</v>
      </c>
      <c r="O26" s="55"/>
      <c r="P26" s="73">
        <f>+N20+N22+N24</f>
        <v>1303</v>
      </c>
      <c r="U26" s="73">
        <f>SUM(U23:U25)</f>
        <v>4.9846153846153847</v>
      </c>
      <c r="AE26" s="2">
        <f>+AE24+AE25</f>
        <v>593.6</v>
      </c>
      <c r="AJ26" s="52" t="s">
        <v>57</v>
      </c>
      <c r="AM26" s="1">
        <f>+AM25*30%</f>
        <v>12600</v>
      </c>
      <c r="AN26" s="1">
        <f>+AM25*25%</f>
        <v>10500</v>
      </c>
    </row>
    <row r="27" spans="1:40" x14ac:dyDescent="0.3">
      <c r="A27" s="8" t="s">
        <v>33</v>
      </c>
      <c r="B27" s="93" t="s">
        <v>101</v>
      </c>
      <c r="C27" s="58" t="s">
        <v>120</v>
      </c>
      <c r="D27" s="58"/>
      <c r="E27" s="58"/>
      <c r="F27" s="59">
        <v>1</v>
      </c>
      <c r="G27" s="59"/>
      <c r="H27" s="54">
        <v>1</v>
      </c>
      <c r="I27" s="54"/>
      <c r="J27" s="55"/>
      <c r="K27" s="56"/>
      <c r="L27" s="57"/>
      <c r="M27" s="56">
        <v>0.12</v>
      </c>
      <c r="N27" s="54">
        <f t="shared" si="0"/>
        <v>1</v>
      </c>
      <c r="O27" s="55"/>
      <c r="AB27" s="1" t="s">
        <v>127</v>
      </c>
      <c r="AJ27" s="52" t="s">
        <v>128</v>
      </c>
    </row>
    <row r="28" spans="1:40" x14ac:dyDescent="0.3">
      <c r="A28" s="8" t="s">
        <v>33</v>
      </c>
      <c r="B28" s="52" t="s">
        <v>101</v>
      </c>
      <c r="C28" s="58" t="s">
        <v>120</v>
      </c>
      <c r="D28" s="58"/>
      <c r="E28" s="58"/>
      <c r="F28" s="59">
        <v>1</v>
      </c>
      <c r="G28" s="59"/>
      <c r="H28" s="54">
        <v>1</v>
      </c>
      <c r="I28" s="54"/>
      <c r="J28" s="55"/>
      <c r="K28" s="56"/>
      <c r="L28" s="57"/>
      <c r="M28" s="56">
        <v>0</v>
      </c>
      <c r="N28" s="54">
        <f t="shared" si="0"/>
        <v>1</v>
      </c>
      <c r="O28" s="27"/>
      <c r="Q28" s="3" t="s">
        <v>112</v>
      </c>
      <c r="AJ28" s="52" t="s">
        <v>29</v>
      </c>
    </row>
    <row r="29" spans="1:40" ht="17.25" thickBot="1" x14ac:dyDescent="0.35">
      <c r="B29" s="44"/>
      <c r="C29" s="44"/>
      <c r="D29" s="44"/>
      <c r="E29" s="44"/>
      <c r="F29" s="44"/>
      <c r="G29" s="44"/>
      <c r="H29" s="44"/>
      <c r="I29" s="44"/>
      <c r="J29" s="44"/>
      <c r="K29" s="45" t="s">
        <v>73</v>
      </c>
      <c r="L29" s="46" t="s">
        <v>74</v>
      </c>
      <c r="M29" s="1" t="s">
        <v>63</v>
      </c>
      <c r="N29" s="60">
        <f>SUM(N20:N28)</f>
        <v>2211</v>
      </c>
      <c r="P29" s="72"/>
      <c r="Q29" s="42" t="s">
        <v>16</v>
      </c>
      <c r="R29" s="42" t="s">
        <v>17</v>
      </c>
      <c r="S29" s="42" t="s">
        <v>113</v>
      </c>
      <c r="T29" s="42" t="s">
        <v>114</v>
      </c>
      <c r="U29" s="12" t="s">
        <v>116</v>
      </c>
      <c r="V29" s="12" t="s">
        <v>13</v>
      </c>
      <c r="W29" s="67" t="s">
        <v>119</v>
      </c>
    </row>
    <row r="30" spans="1:40" ht="18" thickTop="1" thickBot="1" x14ac:dyDescent="0.35">
      <c r="B30" s="34" t="s">
        <v>106</v>
      </c>
      <c r="C30" s="39"/>
      <c r="D30" s="39"/>
      <c r="E30" s="39"/>
      <c r="F30" s="39"/>
      <c r="G30" s="39"/>
      <c r="H30" s="39"/>
      <c r="I30" s="39"/>
      <c r="J30" s="40" t="s">
        <v>72</v>
      </c>
      <c r="K30" s="65">
        <v>0.05</v>
      </c>
      <c r="L30" s="66">
        <v>120</v>
      </c>
      <c r="M30" s="1" t="s">
        <v>65</v>
      </c>
      <c r="N30" s="64">
        <v>0</v>
      </c>
      <c r="P30" s="14"/>
      <c r="Q30" s="100">
        <v>60</v>
      </c>
      <c r="R30" s="48">
        <f>+H20</f>
        <v>12</v>
      </c>
      <c r="S30" s="70">
        <f>+Q30*R30</f>
        <v>720</v>
      </c>
      <c r="T30" s="86">
        <f>(M15+O15)/S33</f>
        <v>2.3076923076923079E-3</v>
      </c>
      <c r="U30" s="73">
        <f>+T30*S30</f>
        <v>1.6615384615384616</v>
      </c>
      <c r="V30" s="88">
        <f>+S30+U30</f>
        <v>721.6615384615385</v>
      </c>
      <c r="W30" s="74">
        <f>+U30/Q30</f>
        <v>2.7692307692307693E-2</v>
      </c>
      <c r="X30" s="73">
        <f>+W30*Q30</f>
        <v>1.6615384615384616</v>
      </c>
      <c r="Y30" s="73">
        <f>+S30+X30</f>
        <v>721.6615384615385</v>
      </c>
    </row>
    <row r="31" spans="1:40" ht="18" thickTop="1" thickBot="1" x14ac:dyDescent="0.35">
      <c r="B31" s="1" t="s">
        <v>75</v>
      </c>
      <c r="C31" s="35"/>
      <c r="D31" s="32"/>
      <c r="E31" s="32"/>
      <c r="F31" s="32"/>
      <c r="G31" s="32"/>
      <c r="H31" s="32"/>
      <c r="I31" s="32"/>
      <c r="J31" s="32"/>
      <c r="K31" s="27"/>
      <c r="L31" s="33"/>
      <c r="M31" s="1" t="s">
        <v>64</v>
      </c>
      <c r="N31" s="63">
        <f>(F20*H20)+(F21*H21)+(F23*H23)+(F25*H25)+(F26*H26)+(F27*H27)+M15</f>
        <v>1630</v>
      </c>
      <c r="O31" s="14">
        <f>+N31+N32</f>
        <v>2211</v>
      </c>
      <c r="Q31" s="101">
        <v>70</v>
      </c>
      <c r="R31" s="54">
        <f>+H22</f>
        <v>4</v>
      </c>
      <c r="S31" s="70">
        <f>+Q31*R31</f>
        <v>280</v>
      </c>
      <c r="T31" s="86">
        <f>+T30</f>
        <v>2.3076923076923079E-3</v>
      </c>
      <c r="U31" s="73">
        <f>+T31*S31</f>
        <v>0.64615384615384619</v>
      </c>
      <c r="V31" s="88">
        <f>+S31+U31</f>
        <v>280.64615384615382</v>
      </c>
      <c r="W31" s="74">
        <f>+U31/Q31</f>
        <v>9.2307692307692316E-3</v>
      </c>
      <c r="X31" s="73">
        <f>+W31*Q31</f>
        <v>0.64615384615384619</v>
      </c>
      <c r="Y31" s="73">
        <f>+S31+X31</f>
        <v>280.64615384615382</v>
      </c>
    </row>
    <row r="32" spans="1:40" ht="17.25" thickTop="1" x14ac:dyDescent="0.3">
      <c r="B32" s="39"/>
      <c r="C32" s="36"/>
      <c r="D32" s="27"/>
      <c r="E32" s="27"/>
      <c r="F32" s="31"/>
      <c r="G32" s="31"/>
      <c r="H32" s="27"/>
      <c r="I32" s="27"/>
      <c r="J32" s="27"/>
      <c r="K32" s="27"/>
      <c r="L32" s="33"/>
      <c r="M32" s="1" t="s">
        <v>66</v>
      </c>
      <c r="N32" s="63">
        <f>(F22*H22)+(F24*H24)+(F28*H28)+O15</f>
        <v>581</v>
      </c>
      <c r="O32" s="14"/>
      <c r="P32" s="73"/>
      <c r="Q32" s="101">
        <v>50</v>
      </c>
      <c r="R32" s="54">
        <f>+H24</f>
        <v>6</v>
      </c>
      <c r="S32" s="70">
        <f>+Q32*R32</f>
        <v>300</v>
      </c>
      <c r="T32" s="86">
        <f>+T31</f>
        <v>2.3076923076923079E-3</v>
      </c>
      <c r="U32" s="73">
        <f>+T32*S32</f>
        <v>0.6923076923076924</v>
      </c>
      <c r="V32" s="88">
        <f>+S32+U32</f>
        <v>300.69230769230768</v>
      </c>
      <c r="W32" s="74">
        <f>+U32/Q32</f>
        <v>1.3846153846153848E-2</v>
      </c>
      <c r="X32" s="73">
        <f>+W32*Q32</f>
        <v>0.6923076923076924</v>
      </c>
      <c r="Y32" s="73">
        <f>+S32+X32</f>
        <v>300.69230769230768</v>
      </c>
    </row>
    <row r="33" spans="2:21" ht="17.25" thickBot="1" x14ac:dyDescent="0.35">
      <c r="C33" s="36"/>
      <c r="D33" s="27"/>
      <c r="E33" s="27"/>
      <c r="F33" s="31"/>
      <c r="G33" s="31"/>
      <c r="H33" s="27"/>
      <c r="I33" s="27"/>
      <c r="J33" s="27"/>
      <c r="K33" s="27"/>
      <c r="L33" s="33"/>
      <c r="M33" s="1" t="s">
        <v>67</v>
      </c>
      <c r="N33" s="31">
        <f>+N31*12/100</f>
        <v>195.6</v>
      </c>
      <c r="O33" s="14"/>
      <c r="P33" s="73"/>
      <c r="Q33" s="53"/>
      <c r="R33" s="54"/>
      <c r="S33" s="54">
        <f>SUM(S30:S32)</f>
        <v>1300</v>
      </c>
      <c r="T33" s="55"/>
      <c r="U33" s="73">
        <f>SUM(U30:U32)</f>
        <v>3.0000000000000004</v>
      </c>
    </row>
    <row r="34" spans="2:21" ht="18" thickTop="1" thickBot="1" x14ac:dyDescent="0.35">
      <c r="C34" s="36"/>
      <c r="D34" s="27"/>
      <c r="E34" s="27"/>
      <c r="F34" s="31"/>
      <c r="G34" s="31"/>
      <c r="H34" s="27"/>
      <c r="I34" s="27"/>
      <c r="J34" s="31"/>
      <c r="K34" s="27"/>
      <c r="L34" s="33"/>
      <c r="M34" s="61" t="s">
        <v>141</v>
      </c>
      <c r="N34" s="62">
        <f>+N31+N32+N33</f>
        <v>2406.6</v>
      </c>
      <c r="P34" s="73"/>
    </row>
    <row r="35" spans="2:21" ht="18" thickTop="1" thickBot="1" x14ac:dyDescent="0.35">
      <c r="C35" s="37"/>
      <c r="D35" s="38"/>
      <c r="E35" s="38"/>
      <c r="F35" s="38"/>
      <c r="G35" s="38"/>
      <c r="H35" s="38"/>
      <c r="I35" s="38"/>
      <c r="J35" s="38"/>
      <c r="K35" s="38"/>
      <c r="L35" s="41"/>
      <c r="P35" s="73"/>
      <c r="Q35" s="1" t="s">
        <v>115</v>
      </c>
    </row>
    <row r="36" spans="2:21" x14ac:dyDescent="0.3">
      <c r="P36" s="87" t="s">
        <v>116</v>
      </c>
      <c r="Q36" s="1" t="s">
        <v>117</v>
      </c>
    </row>
    <row r="37" spans="2:21" x14ac:dyDescent="0.3">
      <c r="B37" s="1" t="s">
        <v>122</v>
      </c>
      <c r="P37" s="69" t="s">
        <v>13</v>
      </c>
      <c r="Q37" s="1" t="s">
        <v>118</v>
      </c>
    </row>
    <row r="38" spans="2:21" x14ac:dyDescent="0.3">
      <c r="B38" s="1" t="s">
        <v>54</v>
      </c>
      <c r="P38" s="73"/>
      <c r="Q38" s="72"/>
    </row>
    <row r="39" spans="2:21" x14ac:dyDescent="0.3">
      <c r="B39" s="1" t="s">
        <v>58</v>
      </c>
      <c r="O39" s="1" t="s">
        <v>63</v>
      </c>
      <c r="P39" s="14">
        <v>86325</v>
      </c>
      <c r="Q39" s="72">
        <f>+P39-N29</f>
        <v>84114</v>
      </c>
      <c r="R39" s="14"/>
      <c r="S39" s="72"/>
    </row>
    <row r="40" spans="2:21" x14ac:dyDescent="0.3">
      <c r="B40" s="1" t="s">
        <v>133</v>
      </c>
      <c r="O40" s="1" t="s">
        <v>65</v>
      </c>
      <c r="P40" s="14">
        <v>0</v>
      </c>
      <c r="Q40" s="72"/>
      <c r="R40" s="14"/>
      <c r="S40" s="72"/>
      <c r="U40" s="14"/>
    </row>
    <row r="41" spans="2:21" x14ac:dyDescent="0.3">
      <c r="B41" s="1" t="s">
        <v>59</v>
      </c>
      <c r="O41" s="1" t="s">
        <v>64</v>
      </c>
      <c r="P41" s="1">
        <v>81190</v>
      </c>
      <c r="Q41" s="73">
        <f>+P41-N31</f>
        <v>79560</v>
      </c>
      <c r="R41" s="14">
        <f>+P41+P42</f>
        <v>86375</v>
      </c>
      <c r="S41" s="72"/>
    </row>
    <row r="42" spans="2:21" x14ac:dyDescent="0.3">
      <c r="B42" s="1" t="s">
        <v>60</v>
      </c>
      <c r="O42" s="1" t="s">
        <v>66</v>
      </c>
      <c r="P42" s="1">
        <v>5185</v>
      </c>
    </row>
    <row r="43" spans="2:21" x14ac:dyDescent="0.3">
      <c r="B43" s="1" t="s">
        <v>61</v>
      </c>
      <c r="O43" s="1" t="s">
        <v>67</v>
      </c>
      <c r="P43" s="1">
        <v>9742.7999999999993</v>
      </c>
    </row>
    <row r="44" spans="2:21" x14ac:dyDescent="0.3">
      <c r="B44" s="1" t="s">
        <v>62</v>
      </c>
      <c r="O44" s="1" t="s">
        <v>68</v>
      </c>
      <c r="P44" s="1">
        <v>96117.8</v>
      </c>
    </row>
    <row r="45" spans="2:21" x14ac:dyDescent="0.3">
      <c r="B45" s="1" t="s">
        <v>71</v>
      </c>
    </row>
    <row r="46" spans="2:21" x14ac:dyDescent="0.3">
      <c r="B46" s="2" t="s">
        <v>103</v>
      </c>
    </row>
    <row r="47" spans="2:21" x14ac:dyDescent="0.3">
      <c r="B47" s="2" t="s">
        <v>104</v>
      </c>
    </row>
    <row r="48" spans="2:21" x14ac:dyDescent="0.3">
      <c r="B48" s="2" t="s">
        <v>105</v>
      </c>
    </row>
    <row r="49" spans="2:24" s="79" customFormat="1" x14ac:dyDescent="0.3">
      <c r="B49" s="78" t="s">
        <v>82</v>
      </c>
    </row>
    <row r="50" spans="2:24" x14ac:dyDescent="0.3">
      <c r="C50" s="1" t="s">
        <v>83</v>
      </c>
    </row>
    <row r="51" spans="2:24" x14ac:dyDescent="0.3">
      <c r="D51" s="1" t="s">
        <v>85</v>
      </c>
      <c r="H51" s="1" t="s">
        <v>84</v>
      </c>
    </row>
    <row r="53" spans="2:24" x14ac:dyDescent="0.3">
      <c r="B53" s="1" t="s">
        <v>88</v>
      </c>
      <c r="K53" s="107" t="s">
        <v>98</v>
      </c>
      <c r="L53" s="107"/>
      <c r="M53" s="107"/>
      <c r="N53" s="107"/>
      <c r="O53" s="107"/>
    </row>
    <row r="54" spans="2:24" x14ac:dyDescent="0.3">
      <c r="C54" s="1" t="s">
        <v>86</v>
      </c>
      <c r="F54" s="14">
        <f>+N25</f>
        <v>350</v>
      </c>
      <c r="G54" s="14"/>
      <c r="K54" s="106" t="s">
        <v>92</v>
      </c>
      <c r="L54" s="106"/>
      <c r="M54" s="106"/>
      <c r="O54" s="106" t="s">
        <v>96</v>
      </c>
      <c r="P54" s="106"/>
      <c r="Q54" s="106"/>
      <c r="S54" s="106" t="s">
        <v>97</v>
      </c>
      <c r="T54" s="106"/>
      <c r="U54" s="106"/>
      <c r="W54" s="1" t="s">
        <v>99</v>
      </c>
    </row>
    <row r="55" spans="2:24" x14ac:dyDescent="0.3">
      <c r="D55" s="1" t="s">
        <v>87</v>
      </c>
      <c r="H55" s="14">
        <f>+F54</f>
        <v>350</v>
      </c>
      <c r="K55" s="67" t="s">
        <v>93</v>
      </c>
      <c r="L55" s="67" t="s">
        <v>94</v>
      </c>
      <c r="M55" s="67" t="s">
        <v>95</v>
      </c>
      <c r="O55" s="67" t="s">
        <v>93</v>
      </c>
      <c r="P55" s="67" t="s">
        <v>94</v>
      </c>
      <c r="Q55" s="67" t="s">
        <v>95</v>
      </c>
      <c r="S55" s="67" t="s">
        <v>93</v>
      </c>
      <c r="T55" s="67" t="s">
        <v>94</v>
      </c>
      <c r="U55" s="67" t="s">
        <v>95</v>
      </c>
      <c r="W55" s="73">
        <f>+M56</f>
        <v>350</v>
      </c>
      <c r="X55" s="73">
        <f>+Q58</f>
        <v>300.75</v>
      </c>
    </row>
    <row r="56" spans="2:24" x14ac:dyDescent="0.3">
      <c r="K56" s="72">
        <f>+F25</f>
        <v>50</v>
      </c>
      <c r="L56" s="14">
        <f>+H25</f>
        <v>7</v>
      </c>
      <c r="M56" s="73">
        <f>+K56*L56</f>
        <v>350</v>
      </c>
      <c r="S56" s="72">
        <f>+K56</f>
        <v>50</v>
      </c>
      <c r="T56" s="14">
        <f>+U56/S56</f>
        <v>7</v>
      </c>
      <c r="U56" s="73">
        <f>+M56</f>
        <v>350</v>
      </c>
      <c r="W56" s="73">
        <f>+M57</f>
        <v>51</v>
      </c>
      <c r="X56" s="73">
        <f>+Q59</f>
        <v>100.25</v>
      </c>
    </row>
    <row r="57" spans="2:24" x14ac:dyDescent="0.3">
      <c r="B57" s="1" t="s">
        <v>89</v>
      </c>
      <c r="K57" s="72">
        <v>30</v>
      </c>
      <c r="L57" s="14">
        <v>1.7</v>
      </c>
      <c r="M57" s="73">
        <f>+K57*L57</f>
        <v>51</v>
      </c>
      <c r="S57" s="72">
        <f>+S56+K57</f>
        <v>80</v>
      </c>
      <c r="T57" s="14">
        <f>+U57/S57</f>
        <v>5.0125000000000002</v>
      </c>
      <c r="U57" s="73">
        <f>+U56+M57</f>
        <v>401</v>
      </c>
    </row>
    <row r="58" spans="2:24" x14ac:dyDescent="0.3">
      <c r="C58" s="1" t="s">
        <v>90</v>
      </c>
      <c r="F58" s="14">
        <f>+U57</f>
        <v>401</v>
      </c>
      <c r="G58" s="14"/>
      <c r="O58" s="1">
        <v>60</v>
      </c>
      <c r="P58" s="14">
        <f>+T57</f>
        <v>5.0125000000000002</v>
      </c>
      <c r="Q58" s="73">
        <f>+O58*P58</f>
        <v>300.75</v>
      </c>
      <c r="S58" s="72">
        <f>+S57-O58</f>
        <v>20</v>
      </c>
      <c r="T58" s="14">
        <f>+U58/S58</f>
        <v>5.0125000000000002</v>
      </c>
      <c r="U58" s="73">
        <f>+U57-Q58</f>
        <v>100.25</v>
      </c>
      <c r="W58" s="73">
        <f>SUM(W55:W56)</f>
        <v>401</v>
      </c>
      <c r="X58" s="73">
        <f>SUM(X55:X56)</f>
        <v>401</v>
      </c>
    </row>
    <row r="59" spans="2:24" x14ac:dyDescent="0.3">
      <c r="D59" s="1" t="str">
        <f>+C54</f>
        <v xml:space="preserve">Inventario Consumo </v>
      </c>
      <c r="H59" s="14">
        <f>+U57</f>
        <v>401</v>
      </c>
      <c r="O59" s="1">
        <v>20</v>
      </c>
      <c r="P59" s="14">
        <f>+P58</f>
        <v>5.0125000000000002</v>
      </c>
      <c r="Q59" s="73">
        <f>+O59*P59</f>
        <v>100.25</v>
      </c>
      <c r="S59" s="72">
        <f>+S58-O59</f>
        <v>0</v>
      </c>
      <c r="T59" s="14">
        <v>0</v>
      </c>
      <c r="U59" s="73">
        <f>+U58-Q59</f>
        <v>0</v>
      </c>
    </row>
    <row r="60" spans="2:24" x14ac:dyDescent="0.3">
      <c r="T60" s="14"/>
    </row>
    <row r="63" spans="2:24" s="79" customFormat="1" x14ac:dyDescent="0.3">
      <c r="B63" s="78" t="s">
        <v>91</v>
      </c>
    </row>
    <row r="65" spans="2:11" x14ac:dyDescent="0.3">
      <c r="B65" s="1" t="s">
        <v>88</v>
      </c>
      <c r="C65" s="3" t="s">
        <v>100</v>
      </c>
      <c r="D65" s="2"/>
      <c r="E65" s="2"/>
      <c r="F65" s="2">
        <v>80</v>
      </c>
      <c r="G65" s="2"/>
      <c r="H65" s="2"/>
    </row>
    <row r="66" spans="2:11" x14ac:dyDescent="0.3">
      <c r="C66" s="2"/>
      <c r="D66" s="2" t="s">
        <v>87</v>
      </c>
      <c r="E66" s="2"/>
      <c r="F66" s="2"/>
      <c r="G66" s="2"/>
      <c r="H66" s="2">
        <f>+F65</f>
        <v>80</v>
      </c>
      <c r="K66" s="1">
        <v>50</v>
      </c>
    </row>
  </sheetData>
  <mergeCells count="16">
    <mergeCell ref="C15:E15"/>
    <mergeCell ref="C4:E4"/>
    <mergeCell ref="J4:L4"/>
    <mergeCell ref="J15:K15"/>
    <mergeCell ref="D7:E7"/>
    <mergeCell ref="I7:J7"/>
    <mergeCell ref="B7:C7"/>
    <mergeCell ref="F9:G9"/>
    <mergeCell ref="K54:M54"/>
    <mergeCell ref="O54:Q54"/>
    <mergeCell ref="S54:U54"/>
    <mergeCell ref="K53:O53"/>
    <mergeCell ref="L2:M2"/>
    <mergeCell ref="J2:K2"/>
    <mergeCell ref="M14:O14"/>
    <mergeCell ref="O4:O5"/>
  </mergeCells>
  <conditionalFormatting sqref="N29:N34">
    <cfRule type="top10" dxfId="0" priority="1" percent="1" rank="10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5"/>
  <sheetViews>
    <sheetView topLeftCell="C11" workbookViewId="0">
      <selection activeCell="C11" sqref="A1:XFD1048576"/>
    </sheetView>
  </sheetViews>
  <sheetFormatPr baseColWidth="10" defaultRowHeight="15" x14ac:dyDescent="0.25"/>
  <cols>
    <col min="3" max="3" width="10.85546875" bestFit="1" customWidth="1"/>
    <col min="4" max="4" width="7.42578125" bestFit="1" customWidth="1"/>
    <col min="5" max="5" width="13" bestFit="1" customWidth="1"/>
    <col min="6" max="6" width="3.7109375" bestFit="1" customWidth="1"/>
    <col min="7" max="7" width="8.85546875" bestFit="1" customWidth="1"/>
    <col min="8" max="8" width="13.5703125" bestFit="1" customWidth="1"/>
    <col min="9" max="9" width="13.5703125" customWidth="1"/>
    <col min="10" max="10" width="8" bestFit="1" customWidth="1"/>
    <col min="11" max="12" width="8.140625" bestFit="1" customWidth="1"/>
    <col min="13" max="13" width="11" bestFit="1" customWidth="1"/>
    <col min="15" max="15" width="12.7109375" bestFit="1" customWidth="1"/>
    <col min="16" max="16" width="16" customWidth="1"/>
  </cols>
  <sheetData>
    <row r="1" spans="3:13" ht="16.5" x14ac:dyDescent="0.3">
      <c r="E1" t="s">
        <v>34</v>
      </c>
      <c r="G1" s="14">
        <v>20</v>
      </c>
      <c r="H1" s="17">
        <v>0.12</v>
      </c>
      <c r="I1" s="17"/>
    </row>
    <row r="2" spans="3:13" ht="16.5" x14ac:dyDescent="0.3">
      <c r="E2" t="s">
        <v>34</v>
      </c>
      <c r="G2" s="14">
        <v>30</v>
      </c>
      <c r="H2">
        <v>0</v>
      </c>
    </row>
    <row r="4" spans="3:13" ht="16.5" x14ac:dyDescent="0.3">
      <c r="C4" s="12" t="s">
        <v>8</v>
      </c>
      <c r="D4" s="12" t="s">
        <v>10</v>
      </c>
      <c r="E4" s="12" t="s">
        <v>12</v>
      </c>
      <c r="F4" s="2" t="s">
        <v>15</v>
      </c>
      <c r="G4" s="12" t="s">
        <v>16</v>
      </c>
      <c r="H4" s="12" t="s">
        <v>17</v>
      </c>
      <c r="I4" s="12"/>
      <c r="J4" s="12" t="s">
        <v>18</v>
      </c>
      <c r="K4" s="12" t="s">
        <v>19</v>
      </c>
      <c r="L4" s="12" t="s">
        <v>20</v>
      </c>
      <c r="M4" s="12" t="s">
        <v>21</v>
      </c>
    </row>
    <row r="5" spans="3:13" ht="16.5" x14ac:dyDescent="0.3">
      <c r="C5" s="4" t="s">
        <v>9</v>
      </c>
      <c r="D5" s="4" t="s">
        <v>11</v>
      </c>
      <c r="E5" s="4" t="s">
        <v>13</v>
      </c>
      <c r="F5" s="4" t="s">
        <v>28</v>
      </c>
      <c r="G5" s="13">
        <v>60</v>
      </c>
      <c r="H5" s="14">
        <v>150</v>
      </c>
      <c r="I5" s="14"/>
      <c r="J5" s="15">
        <v>0</v>
      </c>
      <c r="K5" s="16">
        <v>0</v>
      </c>
      <c r="L5" s="15">
        <v>0.12</v>
      </c>
      <c r="M5" s="14">
        <f>+G5*H5</f>
        <v>9000</v>
      </c>
    </row>
    <row r="6" spans="3:13" ht="16.5" x14ac:dyDescent="0.3">
      <c r="C6" s="4" t="s">
        <v>25</v>
      </c>
      <c r="D6" s="4" t="s">
        <v>26</v>
      </c>
      <c r="E6" s="4" t="s">
        <v>13</v>
      </c>
      <c r="F6" s="4" t="s">
        <v>14</v>
      </c>
      <c r="G6" s="13">
        <v>50</v>
      </c>
      <c r="H6" s="14">
        <f>+M6/G6</f>
        <v>1.6</v>
      </c>
      <c r="I6" s="14"/>
      <c r="J6" s="15">
        <v>0</v>
      </c>
      <c r="K6" s="16">
        <v>0</v>
      </c>
      <c r="L6" s="15">
        <v>0.12</v>
      </c>
      <c r="M6" s="14">
        <v>80</v>
      </c>
    </row>
    <row r="7" spans="3:13" ht="16.5" x14ac:dyDescent="0.3">
      <c r="C7" s="4" t="s">
        <v>29</v>
      </c>
      <c r="D7" s="4" t="s">
        <v>26</v>
      </c>
      <c r="E7" s="4" t="s">
        <v>13</v>
      </c>
      <c r="F7" s="4" t="s">
        <v>27</v>
      </c>
      <c r="G7" s="13">
        <v>2</v>
      </c>
      <c r="H7" s="14">
        <v>400</v>
      </c>
      <c r="I7" s="14"/>
      <c r="J7" s="15">
        <v>0</v>
      </c>
      <c r="K7" s="16">
        <v>0</v>
      </c>
      <c r="L7" s="15">
        <v>0.12</v>
      </c>
      <c r="M7" s="14">
        <f>+G7*H7</f>
        <v>800</v>
      </c>
    </row>
    <row r="8" spans="3:13" ht="16.5" x14ac:dyDescent="0.3">
      <c r="C8" s="4" t="s">
        <v>35</v>
      </c>
      <c r="H8" s="14">
        <v>20</v>
      </c>
      <c r="I8" s="14"/>
      <c r="J8" s="15">
        <v>0</v>
      </c>
      <c r="K8" s="16">
        <v>0</v>
      </c>
      <c r="L8" s="15">
        <v>0.12</v>
      </c>
      <c r="M8" s="14">
        <f>+H8</f>
        <v>20</v>
      </c>
    </row>
    <row r="10" spans="3:13" ht="16.5" x14ac:dyDescent="0.3">
      <c r="K10" s="4" t="s">
        <v>36</v>
      </c>
      <c r="M10" s="14">
        <f>SUM(M5:M8)</f>
        <v>9900</v>
      </c>
    </row>
    <row r="11" spans="3:13" ht="16.5" x14ac:dyDescent="0.3">
      <c r="K11" s="4" t="s">
        <v>37</v>
      </c>
      <c r="M11" s="14">
        <v>0</v>
      </c>
    </row>
    <row r="12" spans="3:13" ht="16.5" x14ac:dyDescent="0.3">
      <c r="K12" s="4" t="s">
        <v>38</v>
      </c>
      <c r="M12" s="14">
        <f>+M10*0.12</f>
        <v>1188</v>
      </c>
    </row>
    <row r="13" spans="3:13" ht="16.5" x14ac:dyDescent="0.3">
      <c r="K13" s="4"/>
      <c r="M13" s="14"/>
    </row>
    <row r="14" spans="3:13" ht="16.5" x14ac:dyDescent="0.3">
      <c r="K14" s="4" t="s">
        <v>39</v>
      </c>
      <c r="M14" s="14">
        <f>+M10+M11+M12+M13</f>
        <v>11088</v>
      </c>
    </row>
    <row r="17" spans="2:18" x14ac:dyDescent="0.25">
      <c r="C17" t="s">
        <v>41</v>
      </c>
      <c r="G17">
        <v>20</v>
      </c>
    </row>
    <row r="18" spans="2:18" x14ac:dyDescent="0.25">
      <c r="B18" t="s">
        <v>40</v>
      </c>
    </row>
    <row r="19" spans="2:18" ht="16.5" x14ac:dyDescent="0.3">
      <c r="C19" s="12" t="s">
        <v>8</v>
      </c>
      <c r="D19" s="12" t="s">
        <v>10</v>
      </c>
      <c r="E19" s="12" t="s">
        <v>12</v>
      </c>
      <c r="F19" s="2" t="s">
        <v>15</v>
      </c>
      <c r="G19" s="12" t="s">
        <v>16</v>
      </c>
      <c r="H19" s="12" t="s">
        <v>17</v>
      </c>
      <c r="I19" s="12" t="s">
        <v>46</v>
      </c>
      <c r="J19" s="12" t="s">
        <v>18</v>
      </c>
      <c r="K19" s="12" t="s">
        <v>19</v>
      </c>
      <c r="L19" s="12" t="s">
        <v>20</v>
      </c>
      <c r="M19" s="12" t="s">
        <v>21</v>
      </c>
    </row>
    <row r="20" spans="2:18" ht="16.5" x14ac:dyDescent="0.3">
      <c r="C20" s="4" t="s">
        <v>9</v>
      </c>
      <c r="D20" s="4" t="s">
        <v>11</v>
      </c>
      <c r="E20" s="4" t="s">
        <v>13</v>
      </c>
      <c r="F20" s="4" t="s">
        <v>28</v>
      </c>
      <c r="G20" s="13">
        <v>60</v>
      </c>
      <c r="H20" s="14">
        <v>150</v>
      </c>
      <c r="I20" s="14">
        <f>+R25</f>
        <v>0.33333333333333331</v>
      </c>
      <c r="J20" s="15">
        <v>0</v>
      </c>
      <c r="K20" s="16">
        <v>0</v>
      </c>
      <c r="L20" s="15">
        <v>0.12</v>
      </c>
      <c r="M20" s="14">
        <f>(H20+I20)*G20</f>
        <v>9020</v>
      </c>
      <c r="O20" t="s">
        <v>43</v>
      </c>
      <c r="P20" t="s">
        <v>44</v>
      </c>
    </row>
    <row r="21" spans="2:18" ht="16.5" x14ac:dyDescent="0.3">
      <c r="C21" s="4" t="s">
        <v>25</v>
      </c>
      <c r="D21" s="4" t="s">
        <v>26</v>
      </c>
      <c r="E21" s="4" t="s">
        <v>13</v>
      </c>
      <c r="F21" s="4" t="s">
        <v>14</v>
      </c>
      <c r="G21" s="13">
        <v>50</v>
      </c>
      <c r="H21" s="14">
        <f>+M21/G21</f>
        <v>1.6</v>
      </c>
      <c r="I21" s="14">
        <v>0</v>
      </c>
      <c r="J21" s="15">
        <v>0</v>
      </c>
      <c r="K21" s="16">
        <v>0</v>
      </c>
      <c r="L21" s="15">
        <v>0.12</v>
      </c>
      <c r="M21" s="14">
        <v>80</v>
      </c>
      <c r="O21" s="12" t="s">
        <v>42</v>
      </c>
      <c r="P21" s="19">
        <f>+G20</f>
        <v>60</v>
      </c>
    </row>
    <row r="22" spans="2:18" ht="16.5" x14ac:dyDescent="0.3">
      <c r="C22" s="4" t="s">
        <v>29</v>
      </c>
      <c r="D22" s="4" t="s">
        <v>26</v>
      </c>
      <c r="E22" s="4" t="s">
        <v>13</v>
      </c>
      <c r="F22" s="4" t="s">
        <v>27</v>
      </c>
      <c r="G22" s="13">
        <v>2</v>
      </c>
      <c r="H22" s="14">
        <v>400</v>
      </c>
      <c r="I22" s="14">
        <v>0</v>
      </c>
      <c r="J22" s="15">
        <v>0</v>
      </c>
      <c r="K22" s="16">
        <v>0</v>
      </c>
      <c r="L22" s="15">
        <v>0.12</v>
      </c>
      <c r="M22" s="14">
        <f>+G22*H22</f>
        <v>800</v>
      </c>
    </row>
    <row r="23" spans="2:18" ht="16.5" x14ac:dyDescent="0.3">
      <c r="C23" s="4"/>
      <c r="H23" s="14"/>
      <c r="I23" s="14"/>
      <c r="J23" s="15"/>
      <c r="K23" s="16"/>
      <c r="L23" s="15"/>
      <c r="M23" s="14"/>
      <c r="O23" t="s">
        <v>45</v>
      </c>
      <c r="P23" s="19">
        <f>+G20</f>
        <v>60</v>
      </c>
      <c r="Q23">
        <v>20</v>
      </c>
    </row>
    <row r="24" spans="2:18" x14ac:dyDescent="0.25">
      <c r="P24">
        <v>1</v>
      </c>
      <c r="R24">
        <f>+P24*Q23</f>
        <v>20</v>
      </c>
    </row>
    <row r="25" spans="2:18" ht="16.5" x14ac:dyDescent="0.3">
      <c r="K25" s="4" t="s">
        <v>36</v>
      </c>
      <c r="M25" s="14">
        <f>SUM(M20:M23)</f>
        <v>9900</v>
      </c>
      <c r="R25">
        <f>+R24/P23</f>
        <v>0.33333333333333331</v>
      </c>
    </row>
    <row r="26" spans="2:18" ht="16.5" x14ac:dyDescent="0.3">
      <c r="K26" s="4" t="s">
        <v>37</v>
      </c>
      <c r="M26" s="14">
        <v>0</v>
      </c>
    </row>
    <row r="27" spans="2:18" ht="16.5" x14ac:dyDescent="0.3">
      <c r="K27" s="4" t="s">
        <v>38</v>
      </c>
      <c r="M27" s="14">
        <f>+M25*0.12</f>
        <v>1188</v>
      </c>
    </row>
    <row r="28" spans="2:18" ht="16.5" x14ac:dyDescent="0.3">
      <c r="K28" s="4"/>
      <c r="M28" s="14"/>
    </row>
    <row r="29" spans="2:18" ht="16.5" x14ac:dyDescent="0.3">
      <c r="K29" s="4" t="s">
        <v>39</v>
      </c>
      <c r="M29" s="14">
        <f>+M25+M26+M27+M28</f>
        <v>11088</v>
      </c>
    </row>
    <row r="33" spans="3:19" x14ac:dyDescent="0.25">
      <c r="D33" t="s">
        <v>41</v>
      </c>
      <c r="H33">
        <v>20</v>
      </c>
    </row>
    <row r="34" spans="3:19" x14ac:dyDescent="0.25">
      <c r="C34" t="s">
        <v>40</v>
      </c>
    </row>
    <row r="35" spans="3:19" ht="16.5" x14ac:dyDescent="0.3">
      <c r="D35" s="12" t="s">
        <v>8</v>
      </c>
      <c r="E35" s="12" t="s">
        <v>10</v>
      </c>
      <c r="F35" s="12" t="s">
        <v>12</v>
      </c>
      <c r="G35" s="2" t="s">
        <v>15</v>
      </c>
      <c r="H35" s="12" t="s">
        <v>16</v>
      </c>
      <c r="I35" s="12" t="s">
        <v>17</v>
      </c>
      <c r="J35" s="12" t="s">
        <v>46</v>
      </c>
      <c r="K35" s="12" t="s">
        <v>18</v>
      </c>
      <c r="L35" s="12" t="s">
        <v>19</v>
      </c>
      <c r="M35" s="12" t="s">
        <v>20</v>
      </c>
      <c r="N35" s="12" t="s">
        <v>21</v>
      </c>
    </row>
    <row r="36" spans="3:19" ht="16.5" x14ac:dyDescent="0.3">
      <c r="D36" s="4" t="s">
        <v>9</v>
      </c>
      <c r="E36" s="4" t="s">
        <v>49</v>
      </c>
      <c r="F36" s="4" t="s">
        <v>13</v>
      </c>
      <c r="G36" s="4" t="s">
        <v>28</v>
      </c>
      <c r="H36" s="13">
        <v>60</v>
      </c>
      <c r="I36" s="14">
        <v>150</v>
      </c>
      <c r="J36" s="14">
        <f>+S41</f>
        <v>0.17857142857142858</v>
      </c>
      <c r="K36" s="15">
        <v>0</v>
      </c>
      <c r="L36" s="16">
        <v>0</v>
      </c>
      <c r="M36" s="15">
        <v>0.12</v>
      </c>
      <c r="N36" s="14">
        <f>(I36+J36)*H36</f>
        <v>9010.7142857142844</v>
      </c>
      <c r="P36" t="s">
        <v>43</v>
      </c>
      <c r="Q36" t="s">
        <v>44</v>
      </c>
    </row>
    <row r="37" spans="3:19" ht="16.5" x14ac:dyDescent="0.3">
      <c r="D37" s="4" t="s">
        <v>47</v>
      </c>
      <c r="E37" s="4" t="s">
        <v>49</v>
      </c>
      <c r="F37" s="4" t="s">
        <v>13</v>
      </c>
      <c r="G37" s="4" t="s">
        <v>28</v>
      </c>
      <c r="H37" s="13">
        <v>50</v>
      </c>
      <c r="I37" s="14">
        <v>1.6</v>
      </c>
      <c r="J37" s="14">
        <f>+S41</f>
        <v>0.17857142857142858</v>
      </c>
      <c r="K37" s="15">
        <v>0</v>
      </c>
      <c r="L37" s="16">
        <v>0</v>
      </c>
      <c r="M37" s="15">
        <v>0.12</v>
      </c>
      <c r="N37" s="14">
        <f>(I37+J37)*H37</f>
        <v>88.928571428571431</v>
      </c>
      <c r="P37" s="12" t="s">
        <v>42</v>
      </c>
      <c r="Q37" s="19">
        <f>SUM(H36:H38)</f>
        <v>112</v>
      </c>
    </row>
    <row r="38" spans="3:19" ht="16.5" x14ac:dyDescent="0.3">
      <c r="D38" s="4" t="s">
        <v>48</v>
      </c>
      <c r="E38" s="4" t="s">
        <v>49</v>
      </c>
      <c r="F38" s="4" t="s">
        <v>13</v>
      </c>
      <c r="G38" s="4" t="s">
        <v>28</v>
      </c>
      <c r="H38" s="13">
        <v>2</v>
      </c>
      <c r="I38" s="14">
        <v>400</v>
      </c>
      <c r="J38" s="14">
        <f>+S41</f>
        <v>0.17857142857142858</v>
      </c>
      <c r="K38" s="15">
        <v>0</v>
      </c>
      <c r="L38" s="16">
        <v>0</v>
      </c>
      <c r="M38" s="15">
        <v>0.12</v>
      </c>
      <c r="N38" s="14">
        <f>(I38+J38)*H38</f>
        <v>800.35714285714289</v>
      </c>
    </row>
    <row r="39" spans="3:19" ht="16.5" x14ac:dyDescent="0.3">
      <c r="D39" s="4"/>
      <c r="I39" s="14"/>
      <c r="J39" s="14"/>
      <c r="K39" s="15"/>
      <c r="L39" s="16"/>
      <c r="M39" s="15"/>
      <c r="N39" s="14"/>
      <c r="P39" t="s">
        <v>45</v>
      </c>
      <c r="Q39" s="19">
        <f>+Q37</f>
        <v>112</v>
      </c>
      <c r="R39">
        <v>20</v>
      </c>
    </row>
    <row r="40" spans="3:19" x14ac:dyDescent="0.25">
      <c r="Q40" s="18">
        <v>1</v>
      </c>
      <c r="S40">
        <f>+Q40*R39</f>
        <v>20</v>
      </c>
    </row>
    <row r="41" spans="3:19" ht="16.5" x14ac:dyDescent="0.3">
      <c r="L41" s="4" t="s">
        <v>36</v>
      </c>
      <c r="N41" s="14">
        <f>SUM(N36:N39)</f>
        <v>9899.9999999999982</v>
      </c>
      <c r="S41">
        <f>+S40/Q39</f>
        <v>0.17857142857142858</v>
      </c>
    </row>
    <row r="42" spans="3:19" ht="16.5" x14ac:dyDescent="0.3">
      <c r="J42" s="18"/>
      <c r="L42" s="4" t="s">
        <v>37</v>
      </c>
      <c r="N42" s="14">
        <v>0</v>
      </c>
    </row>
    <row r="43" spans="3:19" ht="16.5" x14ac:dyDescent="0.3">
      <c r="J43" s="18"/>
      <c r="L43" s="4" t="s">
        <v>38</v>
      </c>
      <c r="N43" s="14">
        <f>+N41*0.12</f>
        <v>1187.9999999999998</v>
      </c>
    </row>
    <row r="44" spans="3:19" ht="16.5" x14ac:dyDescent="0.3">
      <c r="J44" s="18"/>
      <c r="L44" s="4"/>
      <c r="N44" s="14"/>
    </row>
    <row r="45" spans="3:19" ht="16.5" x14ac:dyDescent="0.3">
      <c r="L45" s="4" t="s">
        <v>39</v>
      </c>
      <c r="N45" s="14">
        <f>+N41+N42+N43+N44</f>
        <v>11087.999999999998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9"/>
  <sheetViews>
    <sheetView topLeftCell="E10" workbookViewId="0">
      <selection activeCell="I32" sqref="I32"/>
    </sheetView>
  </sheetViews>
  <sheetFormatPr baseColWidth="10" defaultRowHeight="15" x14ac:dyDescent="0.25"/>
  <cols>
    <col min="3" max="3" width="10.85546875" bestFit="1" customWidth="1"/>
    <col min="4" max="4" width="7.42578125" bestFit="1" customWidth="1"/>
    <col min="5" max="5" width="13" bestFit="1" customWidth="1"/>
    <col min="6" max="6" width="3.7109375" bestFit="1" customWidth="1"/>
    <col min="7" max="7" width="8.85546875" bestFit="1" customWidth="1"/>
    <col min="8" max="8" width="13.5703125" bestFit="1" customWidth="1"/>
    <col min="9" max="9" width="13.5703125" customWidth="1"/>
    <col min="10" max="10" width="12.42578125" customWidth="1"/>
    <col min="11" max="12" width="8.140625" bestFit="1" customWidth="1"/>
    <col min="13" max="13" width="11" bestFit="1" customWidth="1"/>
    <col min="15" max="15" width="12.7109375" bestFit="1" customWidth="1"/>
    <col min="16" max="16" width="16" customWidth="1"/>
  </cols>
  <sheetData>
    <row r="1" spans="3:13" ht="16.5" x14ac:dyDescent="0.3">
      <c r="E1" t="s">
        <v>34</v>
      </c>
      <c r="G1" s="14"/>
      <c r="H1" s="17">
        <v>0</v>
      </c>
      <c r="I1" s="17"/>
    </row>
    <row r="2" spans="3:13" ht="16.5" x14ac:dyDescent="0.3">
      <c r="E2" t="s">
        <v>34</v>
      </c>
      <c r="G2" s="14">
        <v>30</v>
      </c>
      <c r="H2">
        <v>0</v>
      </c>
    </row>
    <row r="4" spans="3:13" ht="16.5" x14ac:dyDescent="0.3">
      <c r="C4" s="12" t="s">
        <v>8</v>
      </c>
      <c r="D4" s="12" t="s">
        <v>10</v>
      </c>
      <c r="E4" s="12" t="s">
        <v>12</v>
      </c>
      <c r="F4" s="2" t="s">
        <v>15</v>
      </c>
      <c r="G4" s="12" t="s">
        <v>16</v>
      </c>
      <c r="H4" s="12" t="s">
        <v>17</v>
      </c>
      <c r="I4" s="12"/>
      <c r="J4" s="12" t="s">
        <v>18</v>
      </c>
      <c r="K4" s="12" t="s">
        <v>19</v>
      </c>
      <c r="L4" s="12" t="s">
        <v>20</v>
      </c>
      <c r="M4" s="12" t="s">
        <v>21</v>
      </c>
    </row>
    <row r="5" spans="3:13" ht="16.5" x14ac:dyDescent="0.3">
      <c r="C5" s="4" t="s">
        <v>9</v>
      </c>
      <c r="D5" s="4" t="s">
        <v>11</v>
      </c>
      <c r="E5" s="4" t="s">
        <v>13</v>
      </c>
      <c r="F5" s="4" t="s">
        <v>28</v>
      </c>
      <c r="G5" s="13">
        <v>60</v>
      </c>
      <c r="H5" s="14">
        <v>150</v>
      </c>
      <c r="I5" s="14"/>
      <c r="J5" s="15">
        <v>0</v>
      </c>
      <c r="K5" s="16">
        <v>0</v>
      </c>
      <c r="L5" s="15">
        <v>0.12</v>
      </c>
      <c r="M5" s="14">
        <f>+G5*H5</f>
        <v>9000</v>
      </c>
    </row>
    <row r="6" spans="3:13" ht="16.5" x14ac:dyDescent="0.3">
      <c r="C6" s="4" t="s">
        <v>25</v>
      </c>
      <c r="D6" s="4" t="s">
        <v>26</v>
      </c>
      <c r="E6" s="4" t="s">
        <v>13</v>
      </c>
      <c r="F6" s="4" t="s">
        <v>14</v>
      </c>
      <c r="G6" s="13">
        <v>50</v>
      </c>
      <c r="H6" s="14">
        <f>+M6/G6</f>
        <v>1.6</v>
      </c>
      <c r="I6" s="14"/>
      <c r="J6" s="15">
        <v>0</v>
      </c>
      <c r="K6" s="16">
        <v>0</v>
      </c>
      <c r="L6" s="15">
        <v>0.12</v>
      </c>
      <c r="M6" s="14">
        <v>80</v>
      </c>
    </row>
    <row r="7" spans="3:13" ht="16.5" x14ac:dyDescent="0.3">
      <c r="C7" s="4" t="s">
        <v>29</v>
      </c>
      <c r="D7" s="4" t="s">
        <v>26</v>
      </c>
      <c r="E7" s="4" t="s">
        <v>13</v>
      </c>
      <c r="F7" s="4" t="s">
        <v>27</v>
      </c>
      <c r="G7" s="13">
        <v>2</v>
      </c>
      <c r="H7" s="14">
        <v>400</v>
      </c>
      <c r="I7" s="14"/>
      <c r="J7" s="15">
        <v>0</v>
      </c>
      <c r="K7" s="16">
        <v>0</v>
      </c>
      <c r="L7" s="15">
        <v>0.12</v>
      </c>
      <c r="M7" s="14">
        <f>+G7*H7</f>
        <v>800</v>
      </c>
    </row>
    <row r="8" spans="3:13" ht="16.5" x14ac:dyDescent="0.3">
      <c r="C8" s="4" t="s">
        <v>35</v>
      </c>
      <c r="H8" s="14">
        <v>30</v>
      </c>
      <c r="I8" s="14"/>
      <c r="J8" s="15">
        <v>0</v>
      </c>
      <c r="K8" s="16">
        <v>0</v>
      </c>
      <c r="L8" s="15">
        <v>0</v>
      </c>
      <c r="M8" s="14">
        <f>+H8</f>
        <v>30</v>
      </c>
    </row>
    <row r="10" spans="3:13" ht="16.5" x14ac:dyDescent="0.3">
      <c r="K10" s="4" t="s">
        <v>36</v>
      </c>
      <c r="M10" s="14">
        <f>SUM(M5:M7)</f>
        <v>9880</v>
      </c>
    </row>
    <row r="11" spans="3:13" ht="16.5" x14ac:dyDescent="0.3">
      <c r="K11" s="4" t="s">
        <v>37</v>
      </c>
      <c r="M11" s="14">
        <f>+M8</f>
        <v>30</v>
      </c>
    </row>
    <row r="12" spans="3:13" ht="16.5" x14ac:dyDescent="0.3">
      <c r="K12" s="4" t="s">
        <v>38</v>
      </c>
      <c r="M12" s="14">
        <f>+M10*0.12</f>
        <v>1185.5999999999999</v>
      </c>
    </row>
    <row r="13" spans="3:13" ht="16.5" x14ac:dyDescent="0.3">
      <c r="K13" s="4"/>
      <c r="M13" s="14"/>
    </row>
    <row r="14" spans="3:13" ht="16.5" x14ac:dyDescent="0.3">
      <c r="K14" s="4" t="s">
        <v>39</v>
      </c>
      <c r="M14" s="14">
        <f>+M10+M11+M12+M13</f>
        <v>11095.6</v>
      </c>
    </row>
    <row r="17" spans="2:19" x14ac:dyDescent="0.25">
      <c r="C17" t="s">
        <v>50</v>
      </c>
      <c r="G17">
        <v>30</v>
      </c>
    </row>
    <row r="18" spans="2:19" x14ac:dyDescent="0.25">
      <c r="B18" t="s">
        <v>40</v>
      </c>
    </row>
    <row r="19" spans="2:19" s="20" customFormat="1" ht="33" x14ac:dyDescent="0.25">
      <c r="C19" s="21" t="s">
        <v>8</v>
      </c>
      <c r="D19" s="21" t="s">
        <v>10</v>
      </c>
      <c r="E19" s="21" t="s">
        <v>12</v>
      </c>
      <c r="F19" s="21" t="s">
        <v>15</v>
      </c>
      <c r="G19" s="21" t="s">
        <v>16</v>
      </c>
      <c r="H19" s="21" t="s">
        <v>17</v>
      </c>
      <c r="I19" s="21" t="s">
        <v>51</v>
      </c>
      <c r="J19" s="21" t="s">
        <v>52</v>
      </c>
      <c r="K19" s="21" t="s">
        <v>18</v>
      </c>
      <c r="L19" s="21" t="s">
        <v>19</v>
      </c>
      <c r="M19" s="21" t="s">
        <v>20</v>
      </c>
      <c r="N19" s="21" t="s">
        <v>21</v>
      </c>
    </row>
    <row r="20" spans="2:19" ht="16.5" x14ac:dyDescent="0.3">
      <c r="C20" s="4" t="s">
        <v>9</v>
      </c>
      <c r="D20" s="4" t="s">
        <v>11</v>
      </c>
      <c r="E20" s="4" t="s">
        <v>13</v>
      </c>
      <c r="F20" s="4" t="s">
        <v>28</v>
      </c>
      <c r="G20" s="13">
        <v>60</v>
      </c>
      <c r="H20" s="14">
        <v>150</v>
      </c>
      <c r="I20" s="14">
        <v>0</v>
      </c>
      <c r="J20" s="14">
        <f>+S25</f>
        <v>0.26785714285714285</v>
      </c>
      <c r="K20" s="15">
        <v>0</v>
      </c>
      <c r="L20" s="16">
        <v>0</v>
      </c>
      <c r="M20" s="15">
        <v>0.12</v>
      </c>
      <c r="N20" s="14">
        <f>(H20+I20+J20)*G20</f>
        <v>9016.0714285714275</v>
      </c>
      <c r="P20" t="s">
        <v>43</v>
      </c>
      <c r="Q20" t="s">
        <v>44</v>
      </c>
    </row>
    <row r="21" spans="2:19" ht="16.5" x14ac:dyDescent="0.3">
      <c r="C21" s="4" t="s">
        <v>25</v>
      </c>
      <c r="D21" s="4" t="s">
        <v>26</v>
      </c>
      <c r="E21" s="4" t="s">
        <v>13</v>
      </c>
      <c r="F21" s="4" t="s">
        <v>14</v>
      </c>
      <c r="G21" s="13">
        <v>50</v>
      </c>
      <c r="H21" s="14">
        <v>1.6</v>
      </c>
      <c r="I21" s="14">
        <v>0</v>
      </c>
      <c r="J21" s="14">
        <f>+S25</f>
        <v>0.26785714285714285</v>
      </c>
      <c r="K21" s="15">
        <v>0</v>
      </c>
      <c r="L21" s="16">
        <v>0</v>
      </c>
      <c r="M21" s="15">
        <v>0.12</v>
      </c>
      <c r="N21" s="14">
        <f>(H21+I21+J21)*G21</f>
        <v>93.392857142857139</v>
      </c>
      <c r="P21" s="12" t="s">
        <v>42</v>
      </c>
      <c r="Q21" s="19">
        <v>112</v>
      </c>
    </row>
    <row r="22" spans="2:19" ht="16.5" x14ac:dyDescent="0.3">
      <c r="C22" s="4" t="s">
        <v>29</v>
      </c>
      <c r="D22" s="4" t="s">
        <v>26</v>
      </c>
      <c r="E22" s="4" t="s">
        <v>13</v>
      </c>
      <c r="F22" s="4" t="s">
        <v>27</v>
      </c>
      <c r="G22" s="13">
        <v>2</v>
      </c>
      <c r="H22" s="14">
        <v>400</v>
      </c>
      <c r="I22" s="14">
        <v>0</v>
      </c>
      <c r="J22" s="14">
        <f>+S25</f>
        <v>0.26785714285714285</v>
      </c>
      <c r="K22" s="15">
        <v>0</v>
      </c>
      <c r="L22" s="16">
        <v>0</v>
      </c>
      <c r="M22" s="15">
        <v>0.12</v>
      </c>
      <c r="N22" s="14">
        <f>(H22+I22+J22)*G22</f>
        <v>800.53571428571433</v>
      </c>
    </row>
    <row r="23" spans="2:19" ht="16.5" x14ac:dyDescent="0.3">
      <c r="C23" s="4"/>
      <c r="H23" s="14"/>
      <c r="I23" s="14"/>
      <c r="K23" s="15"/>
      <c r="L23" s="16"/>
      <c r="M23" s="15"/>
      <c r="N23" s="14"/>
      <c r="P23" t="s">
        <v>45</v>
      </c>
      <c r="Q23" s="19">
        <v>112</v>
      </c>
      <c r="R23">
        <v>30</v>
      </c>
    </row>
    <row r="24" spans="2:19" x14ac:dyDescent="0.25">
      <c r="Q24">
        <v>1</v>
      </c>
      <c r="S24">
        <f>+Q24*R23</f>
        <v>30</v>
      </c>
    </row>
    <row r="25" spans="2:19" ht="16.5" x14ac:dyDescent="0.3">
      <c r="L25" s="4" t="s">
        <v>36</v>
      </c>
      <c r="N25" s="14">
        <f>+(G20*H20)+(G21*H21)+(G22*H22)</f>
        <v>9880</v>
      </c>
      <c r="S25">
        <f>+S24/Q23</f>
        <v>0.26785714285714285</v>
      </c>
    </row>
    <row r="26" spans="2:19" ht="16.5" x14ac:dyDescent="0.3">
      <c r="L26" s="4" t="s">
        <v>37</v>
      </c>
      <c r="N26" s="14">
        <f>(G20*J20)+(G21*J21)+(G22*J22)</f>
        <v>29.999999999999996</v>
      </c>
    </row>
    <row r="27" spans="2:19" ht="16.5" x14ac:dyDescent="0.3">
      <c r="L27" s="4" t="s">
        <v>38</v>
      </c>
      <c r="N27" s="14">
        <f>+N25*0.12</f>
        <v>1185.5999999999999</v>
      </c>
    </row>
    <row r="28" spans="2:19" ht="16.5" x14ac:dyDescent="0.3">
      <c r="L28" s="4"/>
      <c r="N28" s="14"/>
    </row>
    <row r="29" spans="2:19" ht="16.5" x14ac:dyDescent="0.3">
      <c r="L29" s="4" t="s">
        <v>39</v>
      </c>
      <c r="N29" s="14">
        <f>+N25+N26+N27+N28</f>
        <v>11095.6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9"/>
  <sheetViews>
    <sheetView topLeftCell="D11" workbookViewId="0">
      <selection activeCell="D11" sqref="A1:XFD1048576"/>
    </sheetView>
  </sheetViews>
  <sheetFormatPr baseColWidth="10" defaultRowHeight="15" x14ac:dyDescent="0.25"/>
  <cols>
    <col min="3" max="3" width="10.85546875" bestFit="1" customWidth="1"/>
    <col min="4" max="4" width="7.42578125" bestFit="1" customWidth="1"/>
    <col min="5" max="5" width="13" bestFit="1" customWidth="1"/>
    <col min="6" max="6" width="3.7109375" bestFit="1" customWidth="1"/>
    <col min="7" max="7" width="8.85546875" bestFit="1" customWidth="1"/>
    <col min="8" max="8" width="13.5703125" bestFit="1" customWidth="1"/>
    <col min="9" max="9" width="13.5703125" customWidth="1"/>
    <col min="10" max="10" width="12.42578125" customWidth="1"/>
    <col min="11" max="12" width="8.140625" bestFit="1" customWidth="1"/>
    <col min="13" max="13" width="11" bestFit="1" customWidth="1"/>
    <col min="15" max="15" width="12.7109375" bestFit="1" customWidth="1"/>
    <col min="16" max="16" width="16" customWidth="1"/>
  </cols>
  <sheetData>
    <row r="1" spans="3:13" ht="16.5" x14ac:dyDescent="0.3">
      <c r="E1" t="s">
        <v>34</v>
      </c>
      <c r="G1" s="14"/>
      <c r="H1" s="17">
        <v>0</v>
      </c>
      <c r="I1" s="17"/>
    </row>
    <row r="2" spans="3:13" ht="16.5" x14ac:dyDescent="0.3">
      <c r="E2" t="s">
        <v>34</v>
      </c>
      <c r="G2" s="14">
        <v>30</v>
      </c>
      <c r="H2">
        <v>0</v>
      </c>
    </row>
    <row r="4" spans="3:13" ht="16.5" x14ac:dyDescent="0.3">
      <c r="C4" s="12" t="s">
        <v>8</v>
      </c>
      <c r="D4" s="12" t="s">
        <v>10</v>
      </c>
      <c r="E4" s="12" t="s">
        <v>12</v>
      </c>
      <c r="F4" s="2" t="s">
        <v>15</v>
      </c>
      <c r="G4" s="12" t="s">
        <v>16</v>
      </c>
      <c r="H4" s="12" t="s">
        <v>17</v>
      </c>
      <c r="I4" s="12"/>
      <c r="J4" s="12" t="s">
        <v>18</v>
      </c>
      <c r="K4" s="12" t="s">
        <v>19</v>
      </c>
      <c r="L4" s="12" t="s">
        <v>20</v>
      </c>
      <c r="M4" s="12" t="s">
        <v>21</v>
      </c>
    </row>
    <row r="5" spans="3:13" ht="16.5" x14ac:dyDescent="0.3">
      <c r="C5" s="4" t="s">
        <v>9</v>
      </c>
      <c r="D5" s="4" t="s">
        <v>11</v>
      </c>
      <c r="E5" s="4" t="s">
        <v>13</v>
      </c>
      <c r="F5" s="4" t="s">
        <v>28</v>
      </c>
      <c r="G5" s="13">
        <v>60</v>
      </c>
      <c r="H5" s="14">
        <v>150</v>
      </c>
      <c r="I5" s="14"/>
      <c r="J5" s="15">
        <v>0</v>
      </c>
      <c r="K5" s="16">
        <v>0</v>
      </c>
      <c r="L5" s="15">
        <v>0.12</v>
      </c>
      <c r="M5" s="14">
        <f>+G5*H5</f>
        <v>9000</v>
      </c>
    </row>
    <row r="6" spans="3:13" ht="16.5" x14ac:dyDescent="0.3">
      <c r="C6" s="4" t="s">
        <v>25</v>
      </c>
      <c r="D6" s="4" t="s">
        <v>26</v>
      </c>
      <c r="E6" s="4" t="s">
        <v>13</v>
      </c>
      <c r="F6" s="4" t="s">
        <v>14</v>
      </c>
      <c r="G6" s="13">
        <v>50</v>
      </c>
      <c r="H6" s="14">
        <f>+M6/G6</f>
        <v>1.6</v>
      </c>
      <c r="I6" s="14"/>
      <c r="J6" s="15">
        <v>0</v>
      </c>
      <c r="K6" s="16">
        <v>0</v>
      </c>
      <c r="L6" s="15">
        <v>0</v>
      </c>
      <c r="M6" s="14">
        <v>80</v>
      </c>
    </row>
    <row r="7" spans="3:13" ht="16.5" x14ac:dyDescent="0.3">
      <c r="C7" s="4" t="s">
        <v>29</v>
      </c>
      <c r="D7" s="4" t="s">
        <v>26</v>
      </c>
      <c r="E7" s="4" t="s">
        <v>13</v>
      </c>
      <c r="F7" s="4" t="s">
        <v>27</v>
      </c>
      <c r="G7" s="13">
        <v>2</v>
      </c>
      <c r="H7" s="14">
        <v>400</v>
      </c>
      <c r="I7" s="14"/>
      <c r="J7" s="15">
        <v>0</v>
      </c>
      <c r="K7" s="16">
        <v>0</v>
      </c>
      <c r="L7" s="15">
        <v>0.12</v>
      </c>
      <c r="M7" s="14">
        <f>+G7*H7</f>
        <v>800</v>
      </c>
    </row>
    <row r="8" spans="3:13" ht="16.5" x14ac:dyDescent="0.3">
      <c r="C8" s="4" t="s">
        <v>35</v>
      </c>
      <c r="H8" s="14">
        <v>30</v>
      </c>
      <c r="I8" s="14"/>
      <c r="J8" s="15">
        <v>0</v>
      </c>
      <c r="K8" s="16">
        <v>0</v>
      </c>
      <c r="L8" s="15">
        <v>0</v>
      </c>
      <c r="M8" s="14">
        <f>+H8</f>
        <v>30</v>
      </c>
    </row>
    <row r="10" spans="3:13" ht="16.5" x14ac:dyDescent="0.3">
      <c r="K10" s="4" t="s">
        <v>36</v>
      </c>
      <c r="M10" s="14">
        <f>+M5+M7</f>
        <v>9800</v>
      </c>
    </row>
    <row r="11" spans="3:13" ht="16.5" x14ac:dyDescent="0.3">
      <c r="K11" s="4" t="s">
        <v>37</v>
      </c>
      <c r="M11" s="14">
        <f>+M6+M8</f>
        <v>110</v>
      </c>
    </row>
    <row r="12" spans="3:13" ht="16.5" x14ac:dyDescent="0.3">
      <c r="K12" s="4" t="s">
        <v>38</v>
      </c>
      <c r="M12" s="14">
        <f>+M10*0.12</f>
        <v>1176</v>
      </c>
    </row>
    <row r="13" spans="3:13" ht="16.5" x14ac:dyDescent="0.3">
      <c r="K13" s="4"/>
      <c r="M13" s="14"/>
    </row>
    <row r="14" spans="3:13" ht="16.5" x14ac:dyDescent="0.3">
      <c r="K14" s="4" t="s">
        <v>39</v>
      </c>
      <c r="M14" s="14">
        <f>+M10+M11+M12+M13</f>
        <v>11086</v>
      </c>
    </row>
    <row r="17" spans="2:19" x14ac:dyDescent="0.25">
      <c r="C17" t="s">
        <v>50</v>
      </c>
      <c r="G17">
        <v>30</v>
      </c>
    </row>
    <row r="18" spans="2:19" x14ac:dyDescent="0.25">
      <c r="B18" t="s">
        <v>40</v>
      </c>
    </row>
    <row r="19" spans="2:19" s="20" customFormat="1" ht="33" x14ac:dyDescent="0.25">
      <c r="C19" s="21" t="s">
        <v>8</v>
      </c>
      <c r="D19" s="21" t="s">
        <v>10</v>
      </c>
      <c r="E19" s="21" t="s">
        <v>12</v>
      </c>
      <c r="F19" s="21" t="s">
        <v>15</v>
      </c>
      <c r="G19" s="21" t="s">
        <v>16</v>
      </c>
      <c r="H19" s="21" t="s">
        <v>17</v>
      </c>
      <c r="I19" s="21" t="s">
        <v>51</v>
      </c>
      <c r="J19" s="21" t="s">
        <v>52</v>
      </c>
      <c r="K19" s="21" t="s">
        <v>18</v>
      </c>
      <c r="L19" s="21" t="s">
        <v>19</v>
      </c>
      <c r="M19" s="21" t="s">
        <v>20</v>
      </c>
      <c r="N19" s="21" t="s">
        <v>21</v>
      </c>
    </row>
    <row r="20" spans="2:19" ht="16.5" x14ac:dyDescent="0.3">
      <c r="C20" s="4" t="s">
        <v>9</v>
      </c>
      <c r="D20" s="4" t="s">
        <v>11</v>
      </c>
      <c r="E20" s="4" t="s">
        <v>13</v>
      </c>
      <c r="F20" s="4" t="s">
        <v>28</v>
      </c>
      <c r="G20" s="13">
        <v>60</v>
      </c>
      <c r="H20" s="14">
        <v>150</v>
      </c>
      <c r="I20" s="14">
        <v>0</v>
      </c>
      <c r="J20" s="14">
        <f>+S25</f>
        <v>0.26785714285714285</v>
      </c>
      <c r="K20" s="15">
        <v>0</v>
      </c>
      <c r="L20" s="16">
        <v>0</v>
      </c>
      <c r="M20" s="15">
        <v>0.12</v>
      </c>
      <c r="N20" s="14">
        <f>(H20+I20+J20)*G20</f>
        <v>9016.0714285714275</v>
      </c>
      <c r="P20" t="s">
        <v>43</v>
      </c>
      <c r="Q20" t="s">
        <v>44</v>
      </c>
    </row>
    <row r="21" spans="2:19" ht="16.5" x14ac:dyDescent="0.3">
      <c r="C21" s="4" t="s">
        <v>25</v>
      </c>
      <c r="D21" s="4" t="s">
        <v>26</v>
      </c>
      <c r="E21" s="4" t="s">
        <v>13</v>
      </c>
      <c r="F21" s="4" t="s">
        <v>14</v>
      </c>
      <c r="G21" s="13">
        <v>50</v>
      </c>
      <c r="H21" s="14">
        <v>1.6</v>
      </c>
      <c r="I21" s="14">
        <v>0</v>
      </c>
      <c r="J21" s="14">
        <f>+S25</f>
        <v>0.26785714285714285</v>
      </c>
      <c r="K21" s="15">
        <v>0</v>
      </c>
      <c r="L21" s="16">
        <v>0</v>
      </c>
      <c r="M21" s="15">
        <v>0</v>
      </c>
      <c r="N21" s="14">
        <f>(H21+I21+J21)*G21</f>
        <v>93.392857142857139</v>
      </c>
      <c r="P21" s="12" t="s">
        <v>42</v>
      </c>
      <c r="Q21" s="19">
        <v>112</v>
      </c>
    </row>
    <row r="22" spans="2:19" ht="16.5" x14ac:dyDescent="0.3">
      <c r="C22" s="4" t="s">
        <v>29</v>
      </c>
      <c r="D22" s="4" t="s">
        <v>26</v>
      </c>
      <c r="E22" s="4" t="s">
        <v>13</v>
      </c>
      <c r="F22" s="4" t="s">
        <v>27</v>
      </c>
      <c r="G22" s="13">
        <v>2</v>
      </c>
      <c r="H22" s="14">
        <v>400</v>
      </c>
      <c r="I22" s="14">
        <v>0</v>
      </c>
      <c r="J22" s="14">
        <f>+S25</f>
        <v>0.26785714285714285</v>
      </c>
      <c r="K22" s="15">
        <v>0</v>
      </c>
      <c r="L22" s="16">
        <v>0</v>
      </c>
      <c r="M22" s="15">
        <v>0.12</v>
      </c>
      <c r="N22" s="14">
        <f>(H22+I22+J22)*G22</f>
        <v>800.53571428571433</v>
      </c>
    </row>
    <row r="23" spans="2:19" ht="16.5" x14ac:dyDescent="0.3">
      <c r="C23" s="4"/>
      <c r="H23" s="14"/>
      <c r="I23" s="14"/>
      <c r="K23" s="15"/>
      <c r="L23" s="16"/>
      <c r="M23" s="15"/>
      <c r="N23" s="14"/>
      <c r="P23" t="s">
        <v>45</v>
      </c>
      <c r="Q23" s="19">
        <v>112</v>
      </c>
      <c r="R23">
        <v>30</v>
      </c>
    </row>
    <row r="24" spans="2:19" x14ac:dyDescent="0.25">
      <c r="Q24">
        <v>1</v>
      </c>
      <c r="S24">
        <f>+Q24*R23</f>
        <v>30</v>
      </c>
    </row>
    <row r="25" spans="2:19" ht="16.5" x14ac:dyDescent="0.3">
      <c r="L25" s="4" t="s">
        <v>36</v>
      </c>
      <c r="N25" s="14">
        <f>+(G20*H20)+(G22*H22)</f>
        <v>9800</v>
      </c>
      <c r="S25">
        <f>+S24/Q23</f>
        <v>0.26785714285714285</v>
      </c>
    </row>
    <row r="26" spans="2:19" ht="16.5" x14ac:dyDescent="0.3">
      <c r="L26" s="4" t="s">
        <v>37</v>
      </c>
      <c r="N26" s="14">
        <f>(G20*J20)+(G21*J21)+(G22*J22)+(G21*H21)</f>
        <v>110</v>
      </c>
    </row>
    <row r="27" spans="2:19" ht="16.5" x14ac:dyDescent="0.3">
      <c r="L27" s="4" t="s">
        <v>38</v>
      </c>
      <c r="N27" s="14">
        <f>+N25*0.12</f>
        <v>1176</v>
      </c>
    </row>
    <row r="28" spans="2:19" ht="16.5" x14ac:dyDescent="0.3">
      <c r="L28" s="4"/>
      <c r="N28" s="14"/>
    </row>
    <row r="29" spans="2:19" ht="16.5" x14ac:dyDescent="0.3">
      <c r="L29" s="4" t="s">
        <v>39</v>
      </c>
      <c r="N29" s="14">
        <f>+N25+N26+N27+N28</f>
        <v>11086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I59"/>
  <sheetViews>
    <sheetView topLeftCell="B10" workbookViewId="0">
      <selection activeCell="I20" sqref="I20"/>
    </sheetView>
  </sheetViews>
  <sheetFormatPr baseColWidth="10" defaultRowHeight="15" x14ac:dyDescent="0.25"/>
  <cols>
    <col min="3" max="3" width="10.85546875" bestFit="1" customWidth="1"/>
    <col min="4" max="4" width="7.42578125" bestFit="1" customWidth="1"/>
    <col min="5" max="5" width="13" bestFit="1" customWidth="1"/>
    <col min="6" max="6" width="3.7109375" bestFit="1" customWidth="1"/>
    <col min="7" max="7" width="8.85546875" bestFit="1" customWidth="1"/>
    <col min="8" max="8" width="13.5703125" bestFit="1" customWidth="1"/>
    <col min="9" max="9" width="13.5703125" customWidth="1"/>
    <col min="10" max="10" width="12.42578125" customWidth="1"/>
    <col min="11" max="11" width="10.28515625" bestFit="1" customWidth="1"/>
    <col min="12" max="12" width="10.85546875" customWidth="1"/>
    <col min="13" max="13" width="11" bestFit="1" customWidth="1"/>
    <col min="15" max="15" width="12.7109375" bestFit="1" customWidth="1"/>
    <col min="16" max="16" width="16" customWidth="1"/>
  </cols>
  <sheetData>
    <row r="1" spans="3:13" ht="16.5" x14ac:dyDescent="0.3">
      <c r="E1" t="s">
        <v>34</v>
      </c>
      <c r="G1" s="14">
        <v>20</v>
      </c>
      <c r="H1" s="17">
        <v>0.02</v>
      </c>
      <c r="I1" s="17"/>
    </row>
    <row r="2" spans="3:13" ht="16.5" x14ac:dyDescent="0.3">
      <c r="E2" t="s">
        <v>34</v>
      </c>
      <c r="G2" s="14">
        <v>30</v>
      </c>
      <c r="H2">
        <v>0</v>
      </c>
    </row>
    <row r="4" spans="3:13" ht="16.5" x14ac:dyDescent="0.3">
      <c r="C4" s="12" t="s">
        <v>8</v>
      </c>
      <c r="D4" s="12" t="s">
        <v>10</v>
      </c>
      <c r="E4" s="12" t="s">
        <v>12</v>
      </c>
      <c r="F4" s="2" t="s">
        <v>15</v>
      </c>
      <c r="G4" s="12" t="s">
        <v>16</v>
      </c>
      <c r="H4" s="12" t="s">
        <v>17</v>
      </c>
      <c r="I4" s="12"/>
      <c r="J4" s="12" t="s">
        <v>18</v>
      </c>
      <c r="K4" s="12" t="s">
        <v>19</v>
      </c>
      <c r="L4" s="12" t="s">
        <v>20</v>
      </c>
      <c r="M4" s="12" t="s">
        <v>21</v>
      </c>
    </row>
    <row r="5" spans="3:13" ht="16.5" x14ac:dyDescent="0.3">
      <c r="C5" s="4" t="s">
        <v>9</v>
      </c>
      <c r="D5" s="4" t="s">
        <v>11</v>
      </c>
      <c r="E5" s="4" t="s">
        <v>13</v>
      </c>
      <c r="F5" s="4" t="s">
        <v>28</v>
      </c>
      <c r="G5" s="13">
        <v>60</v>
      </c>
      <c r="H5" s="14">
        <v>150</v>
      </c>
      <c r="I5" s="14"/>
      <c r="J5" s="15">
        <v>0</v>
      </c>
      <c r="K5" s="16">
        <v>0</v>
      </c>
      <c r="L5" s="15">
        <v>0.12</v>
      </c>
      <c r="M5" s="14">
        <f>+G5*H5</f>
        <v>9000</v>
      </c>
    </row>
    <row r="6" spans="3:13" ht="16.5" x14ac:dyDescent="0.3">
      <c r="C6" s="4" t="s">
        <v>25</v>
      </c>
      <c r="D6" s="4" t="s">
        <v>26</v>
      </c>
      <c r="E6" s="4" t="s">
        <v>13</v>
      </c>
      <c r="F6" s="4" t="s">
        <v>14</v>
      </c>
      <c r="G6" s="13">
        <v>50</v>
      </c>
      <c r="H6" s="14">
        <f>+M6/G6</f>
        <v>1.6</v>
      </c>
      <c r="I6" s="14"/>
      <c r="J6" s="15">
        <v>0</v>
      </c>
      <c r="K6" s="16">
        <v>0</v>
      </c>
      <c r="L6" s="15">
        <v>0</v>
      </c>
      <c r="M6" s="14">
        <v>80</v>
      </c>
    </row>
    <row r="7" spans="3:13" ht="16.5" x14ac:dyDescent="0.3">
      <c r="C7" s="4" t="s">
        <v>29</v>
      </c>
      <c r="D7" s="4" t="s">
        <v>26</v>
      </c>
      <c r="E7" s="4" t="s">
        <v>13</v>
      </c>
      <c r="F7" s="4" t="s">
        <v>27</v>
      </c>
      <c r="G7" s="13">
        <v>2</v>
      </c>
      <c r="H7" s="14">
        <v>400</v>
      </c>
      <c r="I7" s="14"/>
      <c r="J7" s="15">
        <v>0</v>
      </c>
      <c r="K7" s="16">
        <v>0</v>
      </c>
      <c r="L7" s="15">
        <v>0.12</v>
      </c>
      <c r="M7" s="14">
        <f>+G7*H7</f>
        <v>800</v>
      </c>
    </row>
    <row r="8" spans="3:13" ht="16.5" x14ac:dyDescent="0.3">
      <c r="C8" s="4" t="s">
        <v>35</v>
      </c>
      <c r="H8" s="14">
        <v>30</v>
      </c>
      <c r="I8" s="14"/>
      <c r="J8" s="15">
        <v>0</v>
      </c>
      <c r="K8" s="16">
        <v>0</v>
      </c>
      <c r="L8" s="15">
        <v>0</v>
      </c>
      <c r="M8" s="14">
        <f>+H8</f>
        <v>30</v>
      </c>
    </row>
    <row r="9" spans="3:13" ht="16.5" x14ac:dyDescent="0.3">
      <c r="H9" s="14">
        <v>20</v>
      </c>
      <c r="L9" s="15">
        <v>0.12</v>
      </c>
      <c r="M9" s="14">
        <f>+H9</f>
        <v>20</v>
      </c>
    </row>
    <row r="10" spans="3:13" ht="16.5" x14ac:dyDescent="0.3">
      <c r="K10" s="4" t="s">
        <v>36</v>
      </c>
      <c r="M10" s="14">
        <f>+M5+M7+M9</f>
        <v>9820</v>
      </c>
    </row>
    <row r="11" spans="3:13" ht="16.5" x14ac:dyDescent="0.3">
      <c r="K11" s="4" t="s">
        <v>37</v>
      </c>
      <c r="M11" s="14">
        <f>+M6+M8</f>
        <v>110</v>
      </c>
    </row>
    <row r="12" spans="3:13" ht="16.5" x14ac:dyDescent="0.3">
      <c r="K12" s="4" t="s">
        <v>38</v>
      </c>
      <c r="M12" s="14">
        <f>+M10*0.12</f>
        <v>1178.3999999999999</v>
      </c>
    </row>
    <row r="13" spans="3:13" ht="16.5" x14ac:dyDescent="0.3">
      <c r="K13" s="4"/>
      <c r="M13" s="14"/>
    </row>
    <row r="14" spans="3:13" ht="16.5" x14ac:dyDescent="0.3">
      <c r="K14" s="4" t="s">
        <v>39</v>
      </c>
      <c r="M14" s="14">
        <f>+M10+M11+M12+M13</f>
        <v>11108.4</v>
      </c>
    </row>
    <row r="16" spans="3:13" ht="16.5" x14ac:dyDescent="0.3">
      <c r="G16" s="82">
        <v>20</v>
      </c>
      <c r="H16" s="17">
        <v>0.12</v>
      </c>
    </row>
    <row r="17" spans="2:19" ht="16.5" x14ac:dyDescent="0.3">
      <c r="C17" t="s">
        <v>50</v>
      </c>
      <c r="G17" s="82">
        <v>30</v>
      </c>
      <c r="H17">
        <v>0</v>
      </c>
    </row>
    <row r="18" spans="2:19" x14ac:dyDescent="0.25">
      <c r="B18" t="s">
        <v>40</v>
      </c>
    </row>
    <row r="19" spans="2:19" s="20" customFormat="1" ht="28.5" customHeight="1" x14ac:dyDescent="0.25">
      <c r="C19" s="21" t="s">
        <v>8</v>
      </c>
      <c r="D19" s="21" t="s">
        <v>10</v>
      </c>
      <c r="E19" s="21" t="s">
        <v>12</v>
      </c>
      <c r="F19" s="21" t="s">
        <v>15</v>
      </c>
      <c r="G19" s="21" t="s">
        <v>16</v>
      </c>
      <c r="H19" s="21" t="s">
        <v>17</v>
      </c>
      <c r="I19" s="21" t="s">
        <v>51</v>
      </c>
      <c r="J19" s="21" t="s">
        <v>52</v>
      </c>
      <c r="K19" s="21" t="s">
        <v>18</v>
      </c>
      <c r="L19" s="21" t="s">
        <v>19</v>
      </c>
      <c r="M19" s="21" t="s">
        <v>20</v>
      </c>
      <c r="N19" s="21" t="s">
        <v>21</v>
      </c>
    </row>
    <row r="20" spans="2:19" ht="16.5" x14ac:dyDescent="0.3">
      <c r="C20" s="4" t="s">
        <v>9</v>
      </c>
      <c r="D20" s="4" t="s">
        <v>11</v>
      </c>
      <c r="E20" s="4" t="s">
        <v>13</v>
      </c>
      <c r="F20" s="4" t="s">
        <v>28</v>
      </c>
      <c r="G20" s="13">
        <v>60</v>
      </c>
      <c r="H20" s="14">
        <v>150</v>
      </c>
      <c r="I20" s="14">
        <f>+L46</f>
        <v>0.8235604163921465</v>
      </c>
      <c r="J20" s="14">
        <f>+S27</f>
        <v>0.44642857142857145</v>
      </c>
      <c r="K20" s="15">
        <v>0</v>
      </c>
      <c r="L20" s="16">
        <v>0</v>
      </c>
      <c r="M20" s="15">
        <v>0.12</v>
      </c>
      <c r="N20" s="14">
        <f>(H20+I20+J20)*G20</f>
        <v>9076.1993392692439</v>
      </c>
      <c r="P20" t="s">
        <v>43</v>
      </c>
      <c r="Q20" t="s">
        <v>44</v>
      </c>
    </row>
    <row r="21" spans="2:19" ht="16.5" x14ac:dyDescent="0.3">
      <c r="C21" s="4" t="s">
        <v>25</v>
      </c>
      <c r="D21" s="4" t="s">
        <v>26</v>
      </c>
      <c r="E21" s="4" t="s">
        <v>13</v>
      </c>
      <c r="F21" s="4" t="s">
        <v>14</v>
      </c>
      <c r="G21" s="13">
        <v>50</v>
      </c>
      <c r="H21" s="14">
        <v>1.6</v>
      </c>
      <c r="I21" s="14">
        <f>+L51</f>
        <v>1.0541573329819476E-2</v>
      </c>
      <c r="J21" s="14">
        <f>+S27</f>
        <v>0.44642857142857145</v>
      </c>
      <c r="K21" s="15">
        <v>0</v>
      </c>
      <c r="L21" s="16">
        <v>0</v>
      </c>
      <c r="M21" s="15">
        <v>0</v>
      </c>
      <c r="N21" s="14">
        <f>(H21+I21+J21)*G21</f>
        <v>102.84850723791956</v>
      </c>
      <c r="P21" s="12" t="s">
        <v>53</v>
      </c>
      <c r="Q21" s="19">
        <v>112</v>
      </c>
    </row>
    <row r="22" spans="2:19" ht="16.5" x14ac:dyDescent="0.3">
      <c r="C22" s="68"/>
      <c r="D22" s="68"/>
      <c r="E22" s="68"/>
      <c r="F22" s="68"/>
      <c r="G22" s="13">
        <v>1</v>
      </c>
      <c r="H22" s="14">
        <v>0.18</v>
      </c>
      <c r="I22" s="14">
        <f>+L56</f>
        <v>5.9296349980234551E-2</v>
      </c>
      <c r="J22" s="14"/>
      <c r="K22" s="15"/>
      <c r="L22" s="16"/>
      <c r="M22" s="15"/>
      <c r="N22" s="14">
        <f>(H22+I22+J22)*G22</f>
        <v>0.23929634998023455</v>
      </c>
      <c r="P22" s="12"/>
      <c r="Q22" s="19"/>
    </row>
    <row r="23" spans="2:19" ht="16.5" x14ac:dyDescent="0.3">
      <c r="C23" s="4" t="s">
        <v>29</v>
      </c>
      <c r="D23" s="4" t="s">
        <v>26</v>
      </c>
      <c r="E23" s="4" t="s">
        <v>13</v>
      </c>
      <c r="F23" s="4" t="s">
        <v>27</v>
      </c>
      <c r="G23" s="13">
        <v>2</v>
      </c>
      <c r="H23" s="14">
        <v>400</v>
      </c>
      <c r="I23" s="14">
        <v>0</v>
      </c>
      <c r="J23" s="14">
        <f>+S27</f>
        <v>0.44642857142857145</v>
      </c>
      <c r="K23" s="15">
        <v>0</v>
      </c>
      <c r="L23" s="16">
        <v>0</v>
      </c>
      <c r="M23" s="15">
        <v>0.12</v>
      </c>
      <c r="N23" s="14">
        <f>(H23+I23+J23)*G23</f>
        <v>800.89285714285711</v>
      </c>
      <c r="P23" s="12"/>
      <c r="Q23" s="19"/>
    </row>
    <row r="24" spans="2:19" ht="16.5" x14ac:dyDescent="0.3">
      <c r="C24" s="4"/>
      <c r="H24" s="14"/>
      <c r="I24" s="14"/>
      <c r="K24" s="15"/>
      <c r="L24" s="16"/>
      <c r="M24" s="15"/>
      <c r="N24" s="14"/>
    </row>
    <row r="25" spans="2:19" x14ac:dyDescent="0.25">
      <c r="H25" s="18"/>
      <c r="I25" s="18"/>
      <c r="P25" t="s">
        <v>45</v>
      </c>
      <c r="Q25" s="19">
        <v>112</v>
      </c>
      <c r="R25" s="18">
        <f>+G16+G17</f>
        <v>50</v>
      </c>
    </row>
    <row r="26" spans="2:19" ht="16.5" x14ac:dyDescent="0.3">
      <c r="L26" s="4" t="s">
        <v>36</v>
      </c>
      <c r="N26" s="14">
        <f>(G20*H20)+(G23*H23)+G16</f>
        <v>9820</v>
      </c>
      <c r="Q26">
        <v>1</v>
      </c>
      <c r="S26">
        <f>+Q26*R25</f>
        <v>50</v>
      </c>
    </row>
    <row r="27" spans="2:19" ht="16.5" x14ac:dyDescent="0.3">
      <c r="J27" s="18"/>
      <c r="L27" s="4" t="s">
        <v>37</v>
      </c>
      <c r="N27" s="14">
        <f>+(G21*H21)+G17</f>
        <v>110</v>
      </c>
      <c r="S27">
        <f>+S26/Q25</f>
        <v>0.44642857142857145</v>
      </c>
    </row>
    <row r="28" spans="2:19" ht="16.5" x14ac:dyDescent="0.3">
      <c r="G28" s="18"/>
      <c r="H28" s="14">
        <v>50</v>
      </c>
      <c r="I28" s="14">
        <v>50</v>
      </c>
      <c r="J28" s="14">
        <v>50</v>
      </c>
      <c r="L28" s="4" t="s">
        <v>38</v>
      </c>
      <c r="N28" s="14">
        <f>+N26*0.12</f>
        <v>1178.3999999999999</v>
      </c>
    </row>
    <row r="29" spans="2:19" ht="16.5" x14ac:dyDescent="0.3">
      <c r="H29" s="81">
        <v>111</v>
      </c>
      <c r="I29" s="81">
        <v>111</v>
      </c>
      <c r="J29" s="81">
        <v>111</v>
      </c>
      <c r="L29" s="4"/>
      <c r="N29" s="14"/>
    </row>
    <row r="30" spans="2:19" ht="16.5" x14ac:dyDescent="0.3">
      <c r="G30" s="18"/>
      <c r="H30" s="14">
        <f>+H28/H29</f>
        <v>0.45045045045045046</v>
      </c>
      <c r="I30" s="14">
        <f>+I28/I29</f>
        <v>0.45045045045045046</v>
      </c>
      <c r="J30" s="14">
        <f>+J28/J29</f>
        <v>0.45045045045045046</v>
      </c>
      <c r="L30" s="4" t="s">
        <v>39</v>
      </c>
      <c r="N30" s="14">
        <f>+N26+N27+N28+N29</f>
        <v>11108.4</v>
      </c>
    </row>
    <row r="31" spans="2:19" x14ac:dyDescent="0.25">
      <c r="G31" s="80"/>
      <c r="H31">
        <f>+H30*G20</f>
        <v>27.027027027027028</v>
      </c>
      <c r="I31">
        <f>+I30*G21</f>
        <v>22.522522522522522</v>
      </c>
      <c r="J31">
        <f>+J30*G22</f>
        <v>0.45045045045045046</v>
      </c>
      <c r="K31">
        <f>SUM(H31:J31)</f>
        <v>50.000000000000007</v>
      </c>
    </row>
    <row r="33" spans="7:35" x14ac:dyDescent="0.25">
      <c r="G33" s="19">
        <f>+G20+G21+G22</f>
        <v>111</v>
      </c>
      <c r="H33" s="18">
        <f>+G16+G17</f>
        <v>50</v>
      </c>
      <c r="I33" s="18"/>
    </row>
    <row r="34" spans="7:35" ht="16.5" x14ac:dyDescent="0.3">
      <c r="H34" s="18">
        <f>+H33/G33</f>
        <v>0.45045045045045046</v>
      </c>
      <c r="I34" s="18">
        <f>+H34*G20</f>
        <v>27.027027027027028</v>
      </c>
      <c r="J34" s="80">
        <f>+G20*H20</f>
        <v>9000</v>
      </c>
      <c r="K34" s="80">
        <f>+J34+I34</f>
        <v>9027.0270270270266</v>
      </c>
      <c r="L34" s="14">
        <f>+K34/G20</f>
        <v>150.45045045045043</v>
      </c>
      <c r="M34" s="80">
        <f>+H20+H34</f>
        <v>150.45045045045046</v>
      </c>
      <c r="N34">
        <v>60</v>
      </c>
      <c r="O34">
        <v>111</v>
      </c>
      <c r="P34">
        <v>100</v>
      </c>
      <c r="Q34">
        <v>1</v>
      </c>
    </row>
    <row r="35" spans="7:35" ht="16.5" x14ac:dyDescent="0.3">
      <c r="H35" s="18">
        <f>+H34</f>
        <v>0.45045045045045046</v>
      </c>
      <c r="I35" s="18">
        <f>+H35*G21</f>
        <v>22.522522522522522</v>
      </c>
      <c r="J35" s="80">
        <f>+G21*H21</f>
        <v>80</v>
      </c>
      <c r="K35" s="80">
        <f>+J35+I35</f>
        <v>102.52252252252252</v>
      </c>
      <c r="L35" s="14">
        <f>+K35/G21</f>
        <v>2.0504504504504504</v>
      </c>
      <c r="M35" s="80">
        <f>+H21+H35</f>
        <v>2.0504504504504504</v>
      </c>
      <c r="N35">
        <v>50</v>
      </c>
      <c r="O35">
        <v>1</v>
      </c>
      <c r="P35">
        <f>+O35*P34</f>
        <v>100</v>
      </c>
      <c r="Q35">
        <v>1</v>
      </c>
      <c r="R35">
        <v>54.054054054054056</v>
      </c>
      <c r="S35" s="14">
        <v>50</v>
      </c>
      <c r="T35" s="14">
        <f>+S35*R35/100</f>
        <v>27.027027027027028</v>
      </c>
      <c r="U35" s="14">
        <f>+T35/N34</f>
        <v>0.45045045045045046</v>
      </c>
      <c r="V35">
        <f>+U35*N34</f>
        <v>27.027027027027028</v>
      </c>
      <c r="X35">
        <f>+H29</f>
        <v>111</v>
      </c>
    </row>
    <row r="36" spans="7:35" ht="16.5" x14ac:dyDescent="0.3">
      <c r="H36" s="18">
        <f>+H35</f>
        <v>0.45045045045045046</v>
      </c>
      <c r="I36" s="18">
        <f>+H36*G22</f>
        <v>0.45045045045045046</v>
      </c>
      <c r="J36" s="80">
        <f>+G22*H22</f>
        <v>0.18</v>
      </c>
      <c r="K36" s="80">
        <f>+J36+I36</f>
        <v>0.63045045045045045</v>
      </c>
      <c r="L36" s="14">
        <f>+K36/G22</f>
        <v>0.63045045045045045</v>
      </c>
      <c r="M36" s="80">
        <f>+H22+H36</f>
        <v>0.63045045045045045</v>
      </c>
      <c r="N36">
        <v>1</v>
      </c>
      <c r="O36">
        <v>111</v>
      </c>
      <c r="P36">
        <f>+P35/O34</f>
        <v>0.90090090090090091</v>
      </c>
      <c r="Q36">
        <v>1</v>
      </c>
      <c r="R36">
        <v>45.045045045045043</v>
      </c>
      <c r="S36" s="14">
        <v>50</v>
      </c>
      <c r="T36" s="14">
        <f>+S36*R36/100</f>
        <v>22.522522522522522</v>
      </c>
      <c r="U36" s="14">
        <f>+T36/N35</f>
        <v>0.45045045045045046</v>
      </c>
      <c r="V36">
        <f>+U36*N35</f>
        <v>22.522522522522522</v>
      </c>
      <c r="AB36" s="85" t="s">
        <v>107</v>
      </c>
    </row>
    <row r="37" spans="7:35" ht="16.5" x14ac:dyDescent="0.3">
      <c r="H37" s="18"/>
      <c r="I37" s="18">
        <f>SUM(I34:I36)</f>
        <v>50.000000000000007</v>
      </c>
      <c r="R37">
        <v>0.90090090090090091</v>
      </c>
      <c r="S37" s="14">
        <v>50</v>
      </c>
      <c r="T37" s="14">
        <f>+S37*R37/100</f>
        <v>0.45045045045045046</v>
      </c>
      <c r="U37" s="14">
        <f>+T37</f>
        <v>0.45045045045045046</v>
      </c>
      <c r="V37">
        <f>+U37*N36</f>
        <v>0.45045045045045046</v>
      </c>
      <c r="AB37" t="s">
        <v>108</v>
      </c>
    </row>
    <row r="38" spans="7:35" x14ac:dyDescent="0.25">
      <c r="O38">
        <f>+N34/N35</f>
        <v>1.2</v>
      </c>
      <c r="R38">
        <f>SUM(R35:R37)</f>
        <v>100.00000000000001</v>
      </c>
      <c r="V38">
        <f>SUM(V35:V37)</f>
        <v>50.000000000000007</v>
      </c>
      <c r="Y38">
        <f>+Y37/X35</f>
        <v>0</v>
      </c>
      <c r="AB38" s="85" t="s">
        <v>109</v>
      </c>
      <c r="AG38" t="s">
        <v>110</v>
      </c>
    </row>
    <row r="39" spans="7:35" x14ac:dyDescent="0.25">
      <c r="G39" s="19"/>
      <c r="H39" s="80"/>
      <c r="T39" s="18">
        <f>SUM(T35:T37)</f>
        <v>50.000000000000007</v>
      </c>
      <c r="U39" s="18">
        <f>SUM(U35:U37)</f>
        <v>1.3513513513513513</v>
      </c>
      <c r="AB39" s="85" t="s">
        <v>111</v>
      </c>
      <c r="AG39" t="s">
        <v>110</v>
      </c>
    </row>
    <row r="40" spans="7:35" x14ac:dyDescent="0.25">
      <c r="G40" s="19">
        <v>50</v>
      </c>
      <c r="H40" s="80">
        <v>60</v>
      </c>
      <c r="I40" s="80">
        <f>+G40/H40</f>
        <v>0.83333333333333337</v>
      </c>
      <c r="K40">
        <v>50</v>
      </c>
      <c r="L40">
        <v>111</v>
      </c>
      <c r="U40">
        <f>+U39*R35</f>
        <v>73.046018991964942</v>
      </c>
    </row>
    <row r="41" spans="7:35" x14ac:dyDescent="0.25">
      <c r="G41" s="19"/>
      <c r="H41" s="80">
        <v>50</v>
      </c>
      <c r="I41" s="80">
        <f>+G40/H41</f>
        <v>1</v>
      </c>
    </row>
    <row r="42" spans="7:35" x14ac:dyDescent="0.25">
      <c r="H42">
        <v>1</v>
      </c>
      <c r="I42">
        <f>+G40/H42</f>
        <v>50</v>
      </c>
    </row>
    <row r="43" spans="7:35" x14ac:dyDescent="0.25">
      <c r="H43" s="83"/>
    </row>
    <row r="44" spans="7:35" x14ac:dyDescent="0.25">
      <c r="H44" s="18">
        <f>SUM(H20:H22)</f>
        <v>151.78</v>
      </c>
      <c r="I44">
        <v>50</v>
      </c>
      <c r="L44" s="18"/>
    </row>
    <row r="45" spans="7:35" x14ac:dyDescent="0.25">
      <c r="H45">
        <v>150</v>
      </c>
      <c r="J45">
        <f>+H45*I44</f>
        <v>7500</v>
      </c>
      <c r="L45" s="18"/>
      <c r="X45">
        <v>111</v>
      </c>
    </row>
    <row r="46" spans="7:35" x14ac:dyDescent="0.25">
      <c r="J46" s="80">
        <f>+J45/H44</f>
        <v>49.413624983528791</v>
      </c>
      <c r="K46" s="84">
        <v>60</v>
      </c>
      <c r="L46" s="18">
        <f>+J46/K46</f>
        <v>0.8235604163921465</v>
      </c>
      <c r="M46" s="18">
        <f>+L46*K46</f>
        <v>49.413624983528791</v>
      </c>
      <c r="N46">
        <f>+H45*K46</f>
        <v>9000</v>
      </c>
      <c r="O46" s="80">
        <f>+N46+M46</f>
        <v>9049.4136249835283</v>
      </c>
      <c r="P46">
        <f>+O46/K46</f>
        <v>150.82356041639213</v>
      </c>
      <c r="R46">
        <v>111</v>
      </c>
      <c r="S46">
        <v>100</v>
      </c>
      <c r="T46">
        <v>1</v>
      </c>
      <c r="Z46" s="18">
        <v>111</v>
      </c>
      <c r="AA46" s="18">
        <v>50</v>
      </c>
      <c r="AC46">
        <f>+Z46</f>
        <v>111</v>
      </c>
      <c r="AD46">
        <f>+AA46</f>
        <v>50</v>
      </c>
      <c r="AF46">
        <f>+AC46</f>
        <v>111</v>
      </c>
      <c r="AG46">
        <f>+AD46</f>
        <v>50</v>
      </c>
    </row>
    <row r="47" spans="7:35" ht="16.5" x14ac:dyDescent="0.3">
      <c r="L47" s="18"/>
      <c r="M47" s="18"/>
      <c r="R47">
        <v>50</v>
      </c>
      <c r="S47">
        <f>+R47*S46</f>
        <v>5000</v>
      </c>
      <c r="T47">
        <v>1</v>
      </c>
      <c r="U47">
        <v>45.045045045045043</v>
      </c>
      <c r="V47" s="14">
        <v>60</v>
      </c>
      <c r="W47" s="14">
        <f>+V47*U47/100</f>
        <v>27.027027027027025</v>
      </c>
      <c r="X47" s="14">
        <f>+W47/V47</f>
        <v>0.4504504504504504</v>
      </c>
      <c r="Y47">
        <f>+X47*Q46</f>
        <v>0</v>
      </c>
      <c r="Z47">
        <v>60</v>
      </c>
      <c r="AA47">
        <f>+Z47+AA46</f>
        <v>110</v>
      </c>
      <c r="AC47">
        <v>50</v>
      </c>
      <c r="AD47">
        <f>+AC47+AD46</f>
        <v>100</v>
      </c>
      <c r="AF47">
        <v>1</v>
      </c>
      <c r="AG47">
        <f>+AF47+AG46</f>
        <v>51</v>
      </c>
      <c r="AH47">
        <f>+Z47+AC47+AF47</f>
        <v>111</v>
      </c>
    </row>
    <row r="48" spans="7:35" ht="16.5" x14ac:dyDescent="0.3">
      <c r="L48" s="18"/>
      <c r="M48" s="18"/>
      <c r="S48">
        <f>+S47/R46</f>
        <v>45.045045045045043</v>
      </c>
      <c r="T48">
        <v>1</v>
      </c>
      <c r="U48">
        <v>45.045045045045043</v>
      </c>
      <c r="V48" s="14">
        <v>50</v>
      </c>
      <c r="W48" s="14">
        <f>+V48*U48/100</f>
        <v>22.522522522522522</v>
      </c>
      <c r="X48" s="14">
        <f>+W48/V48</f>
        <v>0.45045045045045046</v>
      </c>
      <c r="Y48">
        <f>+X48*Q47</f>
        <v>0</v>
      </c>
      <c r="AA48">
        <f>+AA47/Z46</f>
        <v>0.99099099099099097</v>
      </c>
      <c r="AD48">
        <f>+AD47/AC46</f>
        <v>0.90090090090090091</v>
      </c>
      <c r="AG48">
        <f>+AG47/AF46</f>
        <v>0.45945945945945948</v>
      </c>
      <c r="AH48">
        <f>+AA48+AD48+AG48</f>
        <v>2.3513513513513513</v>
      </c>
      <c r="AI48" s="80">
        <f>+AH48-X51</f>
        <v>1</v>
      </c>
    </row>
    <row r="49" spans="8:35" ht="16.5" x14ac:dyDescent="0.3">
      <c r="H49" s="18">
        <f>+H44</f>
        <v>151.78</v>
      </c>
      <c r="I49">
        <v>50</v>
      </c>
      <c r="L49" s="18"/>
      <c r="M49" s="18"/>
      <c r="U49">
        <v>45.045045045045043</v>
      </c>
      <c r="V49" s="14">
        <v>1</v>
      </c>
      <c r="W49" s="14">
        <f>+V49*U49/100</f>
        <v>0.45045045045045046</v>
      </c>
      <c r="X49" s="14">
        <f>+W49</f>
        <v>0.45045045045045046</v>
      </c>
      <c r="Y49">
        <f>+X49*Q48</f>
        <v>0</v>
      </c>
      <c r="AA49">
        <f>+Z47*AA48</f>
        <v>59.45945945945946</v>
      </c>
      <c r="AD49">
        <f>+AC47*AD48</f>
        <v>45.045045045045043</v>
      </c>
      <c r="AG49">
        <f>+AF47*AG48</f>
        <v>0.45945945945945948</v>
      </c>
      <c r="AH49">
        <f>SUM(AA49:AG49)</f>
        <v>104.96396396396395</v>
      </c>
      <c r="AI49" s="80">
        <f>+AH49-W51</f>
        <v>54.963963963963948</v>
      </c>
    </row>
    <row r="50" spans="8:35" x14ac:dyDescent="0.25">
      <c r="H50" s="18">
        <f>+H21</f>
        <v>1.6</v>
      </c>
      <c r="J50">
        <f>+H50*I49</f>
        <v>80</v>
      </c>
      <c r="L50" s="18"/>
      <c r="M50" s="18"/>
      <c r="R50" t="e">
        <f>+Q46/Q47</f>
        <v>#DIV/0!</v>
      </c>
      <c r="U50">
        <f>SUM(U47:U49)</f>
        <v>135.13513513513513</v>
      </c>
      <c r="Y50">
        <f>SUM(Y47:Y49)</f>
        <v>0</v>
      </c>
    </row>
    <row r="51" spans="8:35" x14ac:dyDescent="0.25">
      <c r="J51" s="80">
        <f>+J50/H49</f>
        <v>0.52707866649097379</v>
      </c>
      <c r="K51" s="84">
        <v>50</v>
      </c>
      <c r="L51" s="18">
        <f>+J51/K51</f>
        <v>1.0541573329819476E-2</v>
      </c>
      <c r="M51" s="18">
        <f>+L51*K51</f>
        <v>0.52707866649097379</v>
      </c>
      <c r="N51">
        <f>+H50*K51</f>
        <v>80</v>
      </c>
      <c r="O51" s="80">
        <f>+N51+M51</f>
        <v>80.527078666490979</v>
      </c>
      <c r="P51">
        <f>+O51/K51</f>
        <v>1.6105415733298196</v>
      </c>
      <c r="W51" s="18">
        <f>SUM(W47:W49)</f>
        <v>50</v>
      </c>
      <c r="X51" s="18">
        <f>SUM(X47:X49)</f>
        <v>1.3513513513513513</v>
      </c>
    </row>
    <row r="52" spans="8:35" x14ac:dyDescent="0.25">
      <c r="L52" s="18"/>
      <c r="M52" s="18"/>
      <c r="X52">
        <f>+X51*U47</f>
        <v>60.871682493304114</v>
      </c>
    </row>
    <row r="53" spans="8:35" x14ac:dyDescent="0.25">
      <c r="L53" s="18"/>
      <c r="M53" s="18"/>
    </row>
    <row r="54" spans="8:35" x14ac:dyDescent="0.25">
      <c r="H54" s="18">
        <f>+H49</f>
        <v>151.78</v>
      </c>
      <c r="I54">
        <v>50</v>
      </c>
      <c r="L54" s="18"/>
      <c r="M54" s="18"/>
    </row>
    <row r="55" spans="8:35" x14ac:dyDescent="0.25">
      <c r="H55" s="18">
        <v>0.18</v>
      </c>
      <c r="J55">
        <f>+H55*I54</f>
        <v>9</v>
      </c>
      <c r="L55" s="18"/>
      <c r="M55" s="18"/>
      <c r="U55">
        <v>50</v>
      </c>
      <c r="V55">
        <v>100</v>
      </c>
    </row>
    <row r="56" spans="8:35" x14ac:dyDescent="0.25">
      <c r="J56" s="80">
        <f>+J55/H54</f>
        <v>5.9296349980234551E-2</v>
      </c>
      <c r="K56" s="84">
        <v>1</v>
      </c>
      <c r="L56" s="18">
        <f>+J56/K56</f>
        <v>5.9296349980234551E-2</v>
      </c>
      <c r="M56" s="18">
        <f>+L56*K56</f>
        <v>5.9296349980234551E-2</v>
      </c>
      <c r="N56">
        <f>+H55*K56</f>
        <v>0.18</v>
      </c>
      <c r="O56" s="80">
        <f>+N56+M56</f>
        <v>0.23929634998023455</v>
      </c>
      <c r="P56">
        <f>+O56/K56</f>
        <v>0.23929634998023455</v>
      </c>
      <c r="U56">
        <v>110</v>
      </c>
    </row>
    <row r="57" spans="8:35" x14ac:dyDescent="0.25">
      <c r="L57" s="18"/>
      <c r="W57">
        <f>+U56*V55</f>
        <v>11000</v>
      </c>
    </row>
    <row r="58" spans="8:35" x14ac:dyDescent="0.25">
      <c r="L58" s="18">
        <f>SUM(L46:L56)</f>
        <v>0.89339833970220051</v>
      </c>
      <c r="M58">
        <f>SUM(M46:M56)</f>
        <v>50</v>
      </c>
      <c r="W58">
        <f>+W57/U55</f>
        <v>220</v>
      </c>
    </row>
    <row r="59" spans="8:35" x14ac:dyDescent="0.25">
      <c r="L59" s="18"/>
    </row>
  </sheetData>
  <hyperlinks>
    <hyperlink ref="AB36" r:id="rId1"/>
    <hyperlink ref="AB38" r:id="rId2"/>
    <hyperlink ref="AB39" r:id="rId3"/>
  </hyperlinks>
  <pageMargins left="0.7" right="0.7" top="0.75" bottom="0.75" header="0.3" footer="0.3"/>
  <pageSetup orientation="portrait" horizontalDpi="360" verticalDpi="36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1-3</vt:lpstr>
      <vt:lpstr>1 PRORRATEP</vt:lpstr>
      <vt:lpstr>2 prorrateo </vt:lpstr>
      <vt:lpstr>3 prorrateo</vt:lpstr>
      <vt:lpstr>4 prorrateo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2020-04-01T01:44:59Z</dcterms:created>
  <dcterms:modified xsi:type="dcterms:W3CDTF">2023-02-11T04:11:35Z</dcterms:modified>
</cp:coreProperties>
</file>