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INARDAP\"/>
    </mc:Choice>
  </mc:AlternateContent>
  <bookViews>
    <workbookView xWindow="0" yWindow="0" windowWidth="20490" windowHeight="7650"/>
  </bookViews>
  <sheets>
    <sheet name="1-3" sheetId="1" r:id="rId1"/>
    <sheet name="1 PRORRATEP" sheetId="2" state="hidden" r:id="rId2"/>
    <sheet name="2 prorrateo " sheetId="3" state="hidden" r:id="rId3"/>
    <sheet name="3 prorrateo" sheetId="4" state="hidden" r:id="rId4"/>
    <sheet name="4 prorrateo " sheetId="5" state="hidden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85" i="1" l="1"/>
  <c r="Z86" i="1" s="1"/>
  <c r="Z84" i="1"/>
  <c r="AB83" i="1"/>
  <c r="AB84" i="1" s="1"/>
  <c r="Z83" i="1"/>
  <c r="W84" i="1"/>
  <c r="W86" i="1" s="1"/>
  <c r="Y83" i="1"/>
  <c r="Y84" i="1" s="1"/>
  <c r="W83" i="1"/>
  <c r="AA84" i="1" l="1"/>
  <c r="AA83" i="1"/>
  <c r="Y85" i="1"/>
  <c r="X84" i="1"/>
  <c r="X83" i="1"/>
  <c r="O33" i="1"/>
  <c r="Y86" i="1" l="1"/>
  <c r="X85" i="1"/>
  <c r="AB85" i="1" s="1"/>
  <c r="AB86" i="1" s="1"/>
  <c r="O30" i="1"/>
  <c r="O29" i="1"/>
  <c r="O28" i="1"/>
  <c r="O27" i="1"/>
  <c r="O25" i="1"/>
  <c r="S34" i="1"/>
  <c r="S33" i="1"/>
  <c r="S32" i="1"/>
  <c r="AA85" i="1" l="1"/>
  <c r="O23" i="1"/>
  <c r="Q23" i="1"/>
  <c r="AI25" i="1"/>
  <c r="AH26" i="1"/>
  <c r="AO28" i="1"/>
  <c r="AN28" i="1"/>
  <c r="AO24" i="1"/>
  <c r="AO25" i="1" s="1"/>
  <c r="AF24" i="1" l="1"/>
  <c r="AF26" i="1" s="1"/>
  <c r="AF27" i="1" l="1"/>
  <c r="AF28" i="1" s="1"/>
  <c r="S54" i="1"/>
  <c r="O34" i="1" l="1"/>
  <c r="T34" i="1"/>
  <c r="T33" i="1"/>
  <c r="T32" i="1"/>
  <c r="AC46" i="5"/>
  <c r="AF46" i="5" s="1"/>
  <c r="AD46" i="5"/>
  <c r="AG46" i="5" s="1"/>
  <c r="AA47" i="5"/>
  <c r="AA48" i="5" s="1"/>
  <c r="W57" i="5"/>
  <c r="W58" i="5" s="1"/>
  <c r="X35" i="5"/>
  <c r="Y38" i="5" s="1"/>
  <c r="U50" i="5"/>
  <c r="R50" i="5"/>
  <c r="W49" i="5"/>
  <c r="X49" i="5" s="1"/>
  <c r="Y49" i="5" s="1"/>
  <c r="W48" i="5"/>
  <c r="W47" i="5"/>
  <c r="W51" i="5" s="1"/>
  <c r="S47" i="5"/>
  <c r="S48" i="5" s="1"/>
  <c r="T37" i="5"/>
  <c r="U37" i="5" s="1"/>
  <c r="T36" i="5"/>
  <c r="U36" i="5" s="1"/>
  <c r="V36" i="5" s="1"/>
  <c r="P35" i="5"/>
  <c r="P36" i="5" s="1"/>
  <c r="O38" i="5"/>
  <c r="N56" i="5"/>
  <c r="N46" i="5"/>
  <c r="J55" i="5"/>
  <c r="H50" i="5"/>
  <c r="J50" i="5" s="1"/>
  <c r="H44" i="5"/>
  <c r="J45" i="5"/>
  <c r="I42" i="5"/>
  <c r="I41" i="5"/>
  <c r="I40" i="5"/>
  <c r="H31" i="5"/>
  <c r="J30" i="5"/>
  <c r="J31" i="5" s="1"/>
  <c r="H30" i="5"/>
  <c r="I30" i="5"/>
  <c r="I31" i="5" s="1"/>
  <c r="H33" i="5"/>
  <c r="H34" i="5" s="1"/>
  <c r="J36" i="5"/>
  <c r="J35" i="5"/>
  <c r="J34" i="5"/>
  <c r="G33" i="5"/>
  <c r="I34" i="5" l="1"/>
  <c r="K34" i="5" s="1"/>
  <c r="L34" i="5" s="1"/>
  <c r="H35" i="5"/>
  <c r="H36" i="5" s="1"/>
  <c r="N51" i="5"/>
  <c r="J46" i="5"/>
  <c r="L46" i="5" s="1"/>
  <c r="X47" i="5"/>
  <c r="X48" i="5"/>
  <c r="Y48" i="5" s="1"/>
  <c r="T35" i="1"/>
  <c r="U32" i="1" s="1"/>
  <c r="AD47" i="5"/>
  <c r="AG47" i="5"/>
  <c r="AG48" i="5" s="1"/>
  <c r="AG49" i="5" s="1"/>
  <c r="AH47" i="5"/>
  <c r="AA49" i="5"/>
  <c r="AD48" i="5"/>
  <c r="AD49" i="5" s="1"/>
  <c r="K31" i="5"/>
  <c r="T35" i="5"/>
  <c r="R38" i="5"/>
  <c r="V37" i="5"/>
  <c r="H49" i="5"/>
  <c r="I20" i="5"/>
  <c r="M46" i="5"/>
  <c r="O46" i="5" s="1"/>
  <c r="P46" i="5" s="1"/>
  <c r="M34" i="5"/>
  <c r="I79" i="1"/>
  <c r="N70" i="1"/>
  <c r="X69" i="1" s="1"/>
  <c r="L69" i="1"/>
  <c r="T69" i="1" s="1"/>
  <c r="T70" i="1" s="1"/>
  <c r="T71" i="1" s="1"/>
  <c r="T72" i="1" s="1"/>
  <c r="D72" i="1"/>
  <c r="Q17" i="1"/>
  <c r="Q25" i="1"/>
  <c r="S25" i="1" s="1"/>
  <c r="R27" i="1" s="1"/>
  <c r="T26" i="1"/>
  <c r="T25" i="1"/>
  <c r="V32" i="1" l="1"/>
  <c r="U33" i="1"/>
  <c r="AH49" i="5"/>
  <c r="AI49" i="5" s="1"/>
  <c r="AH48" i="5"/>
  <c r="X51" i="5"/>
  <c r="X52" i="5" s="1"/>
  <c r="Y47" i="5"/>
  <c r="Y50" i="5" s="1"/>
  <c r="T39" i="5"/>
  <c r="U35" i="5"/>
  <c r="V35" i="5" s="1"/>
  <c r="V38" i="5" s="1"/>
  <c r="H54" i="5"/>
  <c r="J56" i="5" s="1"/>
  <c r="L56" i="5" s="1"/>
  <c r="J51" i="5"/>
  <c r="L51" i="5" s="1"/>
  <c r="L58" i="5" s="1"/>
  <c r="I36" i="5"/>
  <c r="M36" i="5"/>
  <c r="I35" i="5"/>
  <c r="K35" i="5" s="1"/>
  <c r="L35" i="5" s="1"/>
  <c r="M35" i="5"/>
  <c r="AI48" i="5" l="1"/>
  <c r="U39" i="5"/>
  <c r="U40" i="5" s="1"/>
  <c r="V33" i="1"/>
  <c r="U34" i="1"/>
  <c r="V34" i="1" s="1"/>
  <c r="X32" i="1"/>
  <c r="W32" i="1"/>
  <c r="I21" i="5"/>
  <c r="M51" i="5"/>
  <c r="I22" i="5"/>
  <c r="N22" i="5" s="1"/>
  <c r="M56" i="5"/>
  <c r="O56" i="5" s="1"/>
  <c r="P56" i="5" s="1"/>
  <c r="I37" i="5"/>
  <c r="K36" i="5"/>
  <c r="L36" i="5" s="1"/>
  <c r="K22" i="1" l="1"/>
  <c r="O22" i="1" s="1"/>
  <c r="Y32" i="1"/>
  <c r="Z32" i="1" s="1"/>
  <c r="V35" i="1"/>
  <c r="X34" i="1"/>
  <c r="W34" i="1"/>
  <c r="W33" i="1"/>
  <c r="X33" i="1"/>
  <c r="Y33" i="1" s="1"/>
  <c r="Z33" i="1" s="1"/>
  <c r="O51" i="5"/>
  <c r="P51" i="5" s="1"/>
  <c r="M58" i="5"/>
  <c r="R23" i="1" l="1"/>
  <c r="S23" i="1" s="1"/>
  <c r="U25" i="1"/>
  <c r="U26" i="1" s="1"/>
  <c r="K26" i="1"/>
  <c r="O26" i="1" s="1"/>
  <c r="Y34" i="1"/>
  <c r="Z34" i="1" s="1"/>
  <c r="K24" i="1"/>
  <c r="O24" i="1" s="1"/>
  <c r="N26" i="5"/>
  <c r="N27" i="5"/>
  <c r="Q28" i="1" l="1"/>
  <c r="X25" i="1"/>
  <c r="Y25" i="1" s="1"/>
  <c r="V25" i="1"/>
  <c r="V26" i="1"/>
  <c r="X26" i="1"/>
  <c r="Y26" i="1" s="1"/>
  <c r="U27" i="1"/>
  <c r="N28" i="5"/>
  <c r="R25" i="5"/>
  <c r="S26" i="5" s="1"/>
  <c r="S27" i="5" s="1"/>
  <c r="M9" i="5"/>
  <c r="M8" i="5"/>
  <c r="M11" i="5" s="1"/>
  <c r="M7" i="5"/>
  <c r="H6" i="5"/>
  <c r="M5" i="5"/>
  <c r="N25" i="4"/>
  <c r="N27" i="4" s="1"/>
  <c r="S24" i="4"/>
  <c r="S25" i="4" s="1"/>
  <c r="M8" i="4"/>
  <c r="M11" i="4" s="1"/>
  <c r="M7" i="4"/>
  <c r="H6" i="4"/>
  <c r="M5" i="4"/>
  <c r="N25" i="3"/>
  <c r="S24" i="3"/>
  <c r="S25" i="3" s="1"/>
  <c r="J21" i="3" s="1"/>
  <c r="M8" i="3"/>
  <c r="M11" i="3" s="1"/>
  <c r="M7" i="3"/>
  <c r="H6" i="3"/>
  <c r="M5" i="3"/>
  <c r="S40" i="2"/>
  <c r="Q37" i="2"/>
  <c r="Q39" i="2" s="1"/>
  <c r="P23" i="2"/>
  <c r="R24" i="2"/>
  <c r="P21" i="2"/>
  <c r="M22" i="2"/>
  <c r="H21" i="2"/>
  <c r="M8" i="2"/>
  <c r="M7" i="2"/>
  <c r="H6" i="2"/>
  <c r="M5" i="2"/>
  <c r="M10" i="4" l="1"/>
  <c r="X27" i="1"/>
  <c r="Y27" i="1" s="1"/>
  <c r="V27" i="1"/>
  <c r="V28" i="1" s="1"/>
  <c r="M10" i="3"/>
  <c r="M12" i="3" s="1"/>
  <c r="M14" i="3" s="1"/>
  <c r="J20" i="3"/>
  <c r="N20" i="3" s="1"/>
  <c r="M10" i="5"/>
  <c r="M12" i="5" s="1"/>
  <c r="M14" i="5" s="1"/>
  <c r="S41" i="2"/>
  <c r="J22" i="3"/>
  <c r="N22" i="3" s="1"/>
  <c r="J23" i="5"/>
  <c r="J20" i="5"/>
  <c r="J21" i="5"/>
  <c r="M12" i="4"/>
  <c r="M14" i="4" s="1"/>
  <c r="J22" i="4"/>
  <c r="N22" i="4" s="1"/>
  <c r="J20" i="4"/>
  <c r="J21" i="4"/>
  <c r="N21" i="4" s="1"/>
  <c r="N21" i="3"/>
  <c r="R25" i="2"/>
  <c r="I20" i="2" s="1"/>
  <c r="M20" i="2" s="1"/>
  <c r="M25" i="2"/>
  <c r="M27" i="2" s="1"/>
  <c r="M10" i="2"/>
  <c r="M12" i="2" s="1"/>
  <c r="M14" i="2" s="1"/>
  <c r="N26" i="4" l="1"/>
  <c r="N26" i="3"/>
  <c r="N23" i="5"/>
  <c r="N21" i="5"/>
  <c r="N20" i="5"/>
  <c r="N30" i="5"/>
  <c r="N29" i="4"/>
  <c r="N20" i="4"/>
  <c r="J36" i="2"/>
  <c r="N36" i="2" s="1"/>
  <c r="J38" i="2"/>
  <c r="N38" i="2" s="1"/>
  <c r="J37" i="2"/>
  <c r="N37" i="2" s="1"/>
  <c r="M29" i="2"/>
  <c r="N41" i="2" l="1"/>
  <c r="N43" i="2" s="1"/>
  <c r="N45" i="2" s="1"/>
  <c r="N27" i="3" l="1"/>
  <c r="N29" i="3" s="1"/>
  <c r="F67" i="1"/>
  <c r="I68" i="1" s="1"/>
  <c r="O31" i="1"/>
  <c r="R52" i="1" s="1"/>
  <c r="M69" i="1"/>
  <c r="N69" i="1" s="1"/>
  <c r="P33" i="1" l="1"/>
  <c r="R54" i="1"/>
  <c r="O35" i="1"/>
  <c r="X68" i="1"/>
  <c r="X71" i="1" s="1"/>
  <c r="V69" i="1"/>
  <c r="O36" i="1" l="1"/>
  <c r="V70" i="1"/>
  <c r="U69" i="1"/>
  <c r="F71" i="1" l="1"/>
  <c r="I72" i="1"/>
  <c r="U70" i="1"/>
  <c r="Q71" i="1" s="1"/>
  <c r="Q72" i="1" l="1"/>
  <c r="R72" i="1" s="1"/>
  <c r="Y69" i="1" s="1"/>
  <c r="R71" i="1"/>
  <c r="Y68" i="1" l="1"/>
  <c r="Y71" i="1" s="1"/>
  <c r="V71" i="1"/>
  <c r="V72" i="1" l="1"/>
  <c r="U71" i="1"/>
</calcChain>
</file>

<file path=xl/comments1.xml><?xml version="1.0" encoding="utf-8"?>
<comments xmlns="http://schemas.openxmlformats.org/spreadsheetml/2006/main">
  <authors>
    <author>WinUser</author>
    <author>USUARIO</author>
    <author>MARIO</author>
  </authors>
  <commentList>
    <comment ref="J7" authorId="0" shapeId="0">
      <text>
        <r>
          <rPr>
            <b/>
            <sz val="9"/>
            <color indexed="81"/>
            <rFont val="Tahoma"/>
            <charset val="1"/>
          </rPr>
          <t>WinUser:</t>
        </r>
        <r>
          <rPr>
            <sz val="9"/>
            <color indexed="81"/>
            <rFont val="Tahoma"/>
            <charset val="1"/>
          </rPr>
          <t xml:space="preserve">
si es un diario contable el sistema asignará un secuencial automatico 001-001-00000001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WinUser:</t>
        </r>
        <r>
          <rPr>
            <sz val="9"/>
            <color indexed="81"/>
            <rFont val="Tahoma"/>
            <family val="2"/>
          </rPr>
          <t xml:space="preserve">
SUSTENTO DE CREDITO TRIBUTARIO
</t>
        </r>
      </text>
    </comment>
    <comment ref="L8" authorId="0" shapeId="0">
      <text>
        <r>
          <rPr>
            <b/>
            <sz val="9"/>
            <color indexed="81"/>
            <rFont val="Tahoma"/>
            <charset val="1"/>
          </rPr>
          <t>WinUser:</t>
        </r>
        <r>
          <rPr>
            <sz val="9"/>
            <color indexed="81"/>
            <rFont val="Tahoma"/>
            <charset val="1"/>
          </rPr>
          <t xml:space="preserve">
si se seleccionó diario contable la casilla de auorizacion se bloquea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WinUser:</t>
        </r>
        <r>
          <rPr>
            <sz val="9"/>
            <color indexed="81"/>
            <rFont val="Tahoma"/>
            <charset val="1"/>
          </rPr>
          <t xml:space="preserve">
por defecto estar NO
</t>
        </r>
      </text>
    </comment>
    <comment ref="C21" authorId="1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en caso de tener una sola unidad de medida aparecerá directamente, pero en el caso de tener equivalentes, permitirá isualziar la medida que se a a compras 
</t>
        </r>
      </text>
    </comment>
    <comment ref="I21" authorId="1" shapeId="0">
      <text>
        <r>
          <rPr>
            <b/>
            <sz val="9"/>
            <color indexed="81"/>
            <rFont val="Tahoma"/>
            <family val="2"/>
          </rPr>
          <t>USUARE
Este valor se lo puede Ingresos o en su defecto puede actualizar si el usuario digita un valor en el Total 
Debe visualizar el ultimo costo de compra. (no costo promedio)</t>
        </r>
      </text>
    </comment>
    <comment ref="G22" authorId="2" shapeId="0">
      <text>
        <r>
          <rPr>
            <b/>
            <sz val="9"/>
            <color indexed="81"/>
            <rFont val="Tahoma"/>
            <family val="2"/>
          </rPr>
          <t>MARIO:</t>
        </r>
        <r>
          <rPr>
            <sz val="9"/>
            <color indexed="81"/>
            <rFont val="Tahoma"/>
            <family val="2"/>
          </rPr>
          <t xml:space="preserve">
listar las compras relacionadas al producto, por rango de fecha, provedor.</t>
        </r>
      </text>
    </comment>
    <comment ref="S31" authorId="1" shapeId="0">
      <text>
        <r>
          <rPr>
            <b/>
            <sz val="9"/>
            <color indexed="81"/>
            <rFont val="Tahoma"/>
            <family val="2"/>
          </rPr>
          <t xml:space="preserve">USUARE
Este valor se lo puede Ingresos o en su defecto puede actualizar si el usuario digita un valor en el Total 
</t>
        </r>
      </text>
    </comment>
  </commentList>
</comments>
</file>

<file path=xl/comments2.xml><?xml version="1.0" encoding="utf-8"?>
<comments xmlns="http://schemas.openxmlformats.org/spreadsheetml/2006/main">
  <authors>
    <author>USUARIO</author>
  </authors>
  <commentList>
    <comment ref="D4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en caso de tener una sola unidad de medida aparecerá directamente, pero en el caso de tener equivalentes, permitirá isualziar la medida que se a a compras 
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 xml:space="preserve">USUARE
Este valor se lo puede Ingresos o en su defecto puede actualizar si el usuario digita un valor en el Total 
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en caso de tener una sola unidad de medida aparecerá directamente, pero en el caso de tener equivalentes, permitirá isualziar la medida que se a a compras 
</t>
        </r>
      </text>
    </comment>
    <comment ref="H19" authorId="0" shapeId="0">
      <text>
        <r>
          <rPr>
            <b/>
            <sz val="9"/>
            <color indexed="81"/>
            <rFont val="Tahoma"/>
            <family val="2"/>
          </rPr>
          <t xml:space="preserve">USUARE
Este valor se lo puede Ingresos o en su defecto puede actualizar si el usuario digita un valor en el Total 
</t>
        </r>
      </text>
    </comment>
    <comment ref="E35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en caso de tener una sola unidad de medida aparecerá directamente, pero en el caso de tener equivalentes, permitirá isualziar la medida que se a a compras 
</t>
        </r>
      </text>
    </comment>
    <comment ref="I35" authorId="0" shapeId="0">
      <text>
        <r>
          <rPr>
            <b/>
            <sz val="9"/>
            <color indexed="81"/>
            <rFont val="Tahoma"/>
            <family val="2"/>
          </rPr>
          <t xml:space="preserve">USUARE
Este valor se lo puede Ingresos o en su defecto puede actualizar si el usuario digita un valor en el Total 
</t>
        </r>
      </text>
    </comment>
  </commentList>
</comments>
</file>

<file path=xl/comments3.xml><?xml version="1.0" encoding="utf-8"?>
<comments xmlns="http://schemas.openxmlformats.org/spreadsheetml/2006/main">
  <authors>
    <author>USUARIO</author>
  </authors>
  <commentList>
    <comment ref="D4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en caso de tener una sola unidad de medida aparecerá directamente, pero en el caso de tener equivalentes, permitirá isualziar la medida que se a a compras 
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 xml:space="preserve">USUARE
Este valor se lo puede Ingresos o en su defecto puede actualizar si el usuario digita un valor en el Total 
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en caso de tener una sola unidad de medida aparecerá directamente, pero en el caso de tener equivalentes, permitirá isualziar la medida que se a a compras 
</t>
        </r>
      </text>
    </comment>
    <comment ref="H19" authorId="0" shapeId="0">
      <text>
        <r>
          <rPr>
            <b/>
            <sz val="9"/>
            <color indexed="81"/>
            <rFont val="Tahoma"/>
            <family val="2"/>
          </rPr>
          <t xml:space="preserve">USUARE
Este valor se lo puede Ingresos o en su defecto puede actualizar si el usuario digita un valor en el Total 
</t>
        </r>
      </text>
    </comment>
  </commentList>
</comments>
</file>

<file path=xl/comments4.xml><?xml version="1.0" encoding="utf-8"?>
<comments xmlns="http://schemas.openxmlformats.org/spreadsheetml/2006/main">
  <authors>
    <author>USUARIO</author>
  </authors>
  <commentList>
    <comment ref="D4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en caso de tener una sola unidad de medida aparecerá directamente, pero en el caso de tener equivalentes, permitirá isualziar la medida que se a a compras 
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 xml:space="preserve">USUARE
Este valor se lo puede Ingresos o en su defecto puede actualizar si el usuario digita un valor en el Total 
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en caso de tener una sola unidad de medida aparecerá directamente, pero en el caso de tener equivalentes, permitirá isualziar la medida que se a a compras 
</t>
        </r>
      </text>
    </comment>
    <comment ref="H19" authorId="0" shapeId="0">
      <text>
        <r>
          <rPr>
            <b/>
            <sz val="9"/>
            <color indexed="81"/>
            <rFont val="Tahoma"/>
            <family val="2"/>
          </rPr>
          <t xml:space="preserve">USUARE
Este valor se lo puede Ingresos o en su defecto puede actualizar si el usuario digita un valor en el Total 
</t>
        </r>
      </text>
    </comment>
  </commentList>
</comments>
</file>

<file path=xl/comments5.xml><?xml version="1.0" encoding="utf-8"?>
<comments xmlns="http://schemas.openxmlformats.org/spreadsheetml/2006/main">
  <authors>
    <author>USUARIO</author>
  </authors>
  <commentList>
    <comment ref="D4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en caso de tener una sola unidad de medida aparecerá directamente, pero en el caso de tener equivalentes, permitirá isualziar la medida que se a a compras 
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 xml:space="preserve">USUARE
Este valor se lo puede Ingresos o en su defecto puede actualizar si el usuario digita un valor en el Total 
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en caso de tener una sola unidad de medida aparecerá directamente, pero en el caso de tener equivalentes, permitirá isualziar la medida que se a a compras 
</t>
        </r>
      </text>
    </comment>
    <comment ref="H19" authorId="0" shapeId="0">
      <text>
        <r>
          <rPr>
            <b/>
            <sz val="9"/>
            <color indexed="81"/>
            <rFont val="Tahoma"/>
            <family val="2"/>
          </rPr>
          <t xml:space="preserve">USUARE
Este valor se lo puede Ingresos o en su defecto puede actualizar si el usuario digita un valor en el Total 
</t>
        </r>
      </text>
    </comment>
  </commentList>
</comments>
</file>

<file path=xl/sharedStrings.xml><?xml version="1.0" encoding="utf-8"?>
<sst xmlns="http://schemas.openxmlformats.org/spreadsheetml/2006/main" count="490" uniqueCount="165">
  <si>
    <t>Proveedor</t>
  </si>
  <si>
    <t>Ruc</t>
  </si>
  <si>
    <t>No. Comprobante</t>
  </si>
  <si>
    <t>001</t>
  </si>
  <si>
    <t>Prov- Auxiliar</t>
  </si>
  <si>
    <t>USD: 0,000</t>
  </si>
  <si>
    <t>SCT</t>
  </si>
  <si>
    <t xml:space="preserve">SI </t>
  </si>
  <si>
    <t>No</t>
  </si>
  <si>
    <t xml:space="preserve">Bodega </t>
  </si>
  <si>
    <t>05</t>
  </si>
  <si>
    <t xml:space="preserve">ASIENTO CONTABLE </t>
  </si>
  <si>
    <t>DC:20200331-00000050</t>
  </si>
  <si>
    <t xml:space="preserve">Producto </t>
  </si>
  <si>
    <t>Azucar</t>
  </si>
  <si>
    <t>Medida</t>
  </si>
  <si>
    <t xml:space="preserve">Caja </t>
  </si>
  <si>
    <t>B/S/AF</t>
  </si>
  <si>
    <t>B</t>
  </si>
  <si>
    <t>C</t>
  </si>
  <si>
    <t>Inv</t>
  </si>
  <si>
    <t>Cantidad</t>
  </si>
  <si>
    <t>Costo Unitario</t>
  </si>
  <si>
    <t>Desc %</t>
  </si>
  <si>
    <t>Des $</t>
  </si>
  <si>
    <t xml:space="preserve">Iva </t>
  </si>
  <si>
    <t>Total</t>
  </si>
  <si>
    <t xml:space="preserve">Ultimo Costo </t>
  </si>
  <si>
    <t>Series</t>
  </si>
  <si>
    <t>Costo Promedio</t>
  </si>
  <si>
    <t>Grapas</t>
  </si>
  <si>
    <t>Unidad</t>
  </si>
  <si>
    <t>E</t>
  </si>
  <si>
    <t>I</t>
  </si>
  <si>
    <t>Refrigerador</t>
  </si>
  <si>
    <t>F1</t>
  </si>
  <si>
    <t>F2</t>
  </si>
  <si>
    <t>F3</t>
  </si>
  <si>
    <t>F4</t>
  </si>
  <si>
    <t xml:space="preserve">TRANSPORTE </t>
  </si>
  <si>
    <t xml:space="preserve">Transporte </t>
  </si>
  <si>
    <t>SUB12%</t>
  </si>
  <si>
    <t>SUB 0%</t>
  </si>
  <si>
    <t>IVA 12%</t>
  </si>
  <si>
    <t xml:space="preserve">TOTAL </t>
  </si>
  <si>
    <t>CASO 1</t>
  </si>
  <si>
    <t xml:space="preserve">SERVICIO DE TRANSPORTE 12% </t>
  </si>
  <si>
    <t>TOTAL PROD</t>
  </si>
  <si>
    <t>A)</t>
  </si>
  <si>
    <t>Prorratear solo a costos de los Productos I= Inventarios</t>
  </si>
  <si>
    <t>REGLA DE TRES</t>
  </si>
  <si>
    <t>Pro. Costo</t>
  </si>
  <si>
    <t xml:space="preserve">Pan </t>
  </si>
  <si>
    <t>Carne</t>
  </si>
  <si>
    <t xml:space="preserve">Libra </t>
  </si>
  <si>
    <t xml:space="preserve">SERVICIO DE TRANSPORTE 0% </t>
  </si>
  <si>
    <t>Pro. Costo 12%</t>
  </si>
  <si>
    <t>Pro. Costo 0%</t>
  </si>
  <si>
    <t xml:space="preserve">TOTAL PROD </t>
  </si>
  <si>
    <t>1.- La distribucion solo actua para productos cotegorizados con I</t>
  </si>
  <si>
    <t>Televisores</t>
  </si>
  <si>
    <t>Biciletas</t>
  </si>
  <si>
    <t>Valdes</t>
  </si>
  <si>
    <t>2.- La distribucion se aplicara  a los productos que esten las celadas activas (marcado con azul en este ejmplo); por defecto el sistema activará a todas las que corresponda a Inventario (I)</t>
  </si>
  <si>
    <t xml:space="preserve">3.- Prorrateo de Costo.- Dividir la Cantidad de productos (tome como refe el Numeral 1 y 2 ) y se divide para el total de Costos a Distribuir sea con 12 y 0% </t>
  </si>
  <si>
    <t>4.- Total.- (Cantidad * Costo Unitario * Distr Costo) - Desc % - Des $</t>
  </si>
  <si>
    <t xml:space="preserve">Tome en cuenta la misma distribución para los DESCUENTO lo que se realizo en ventas </t>
  </si>
  <si>
    <t>5.- Los costos prorrateados están fera de la aplicación de descuentos porcentuales</t>
  </si>
  <si>
    <t xml:space="preserve">Subtotal </t>
  </si>
  <si>
    <t>Subtotal 12%</t>
  </si>
  <si>
    <t xml:space="preserve">Descuento </t>
  </si>
  <si>
    <t>Subtotal 0%</t>
  </si>
  <si>
    <t>Iva 12%</t>
  </si>
  <si>
    <t>Total Factura</t>
  </si>
  <si>
    <t>el sistema guardara la factura descargada o escaneada</t>
  </si>
  <si>
    <t>1234142412412412412412412412412412412412421442124124124124124</t>
  </si>
  <si>
    <t>Fecha</t>
  </si>
  <si>
    <t>AUTORIZACION</t>
  </si>
  <si>
    <t xml:space="preserve">6.- EL sistema permitira incoporar la informa a nivel de series, numeracion de factura autorizacion y ANALIZAR LA FORMA VIABLE DE TRASLADAR LOS PRODUCTOS </t>
  </si>
  <si>
    <t>DESCUENTO</t>
  </si>
  <si>
    <t>%</t>
  </si>
  <si>
    <t>$</t>
  </si>
  <si>
    <t>PROCESO 1/3</t>
  </si>
  <si>
    <t>Detalle</t>
  </si>
  <si>
    <t>distribucion</t>
  </si>
  <si>
    <t>x</t>
  </si>
  <si>
    <t>c/u</t>
  </si>
  <si>
    <t>ponderacion</t>
  </si>
  <si>
    <t>S U B  T O T A L   A  D I S T R I B U I R</t>
  </si>
  <si>
    <t xml:space="preserve">Consumos </t>
  </si>
  <si>
    <t>Kardex</t>
  </si>
  <si>
    <t xml:space="preserve">No hay Costo Promedio </t>
  </si>
  <si>
    <r>
      <t xml:space="preserve">Cantidad y </t>
    </r>
    <r>
      <rPr>
        <sz val="11"/>
        <color rgb="FFFF0000"/>
        <rFont val="Arial Narrow"/>
        <family val="2"/>
      </rPr>
      <t xml:space="preserve">Costo Unitarios </t>
    </r>
  </si>
  <si>
    <t xml:space="preserve">Inventario Consumo </t>
  </si>
  <si>
    <t>CXP</t>
  </si>
  <si>
    <t xml:space="preserve">Compramos  Enero </t>
  </si>
  <si>
    <t xml:space="preserve">Entrega Marzo </t>
  </si>
  <si>
    <t>Gasto Suministro s</t>
  </si>
  <si>
    <t>Consumo</t>
  </si>
  <si>
    <t xml:space="preserve">Ingresos </t>
  </si>
  <si>
    <t>Canitdad</t>
  </si>
  <si>
    <t xml:space="preserve">Costo </t>
  </si>
  <si>
    <t xml:space="preserve">Total </t>
  </si>
  <si>
    <t>Salidas</t>
  </si>
  <si>
    <t xml:space="preserve">Exitencias </t>
  </si>
  <si>
    <t xml:space="preserve">CONSUMOS </t>
  </si>
  <si>
    <t xml:space="preserve">Inventario </t>
  </si>
  <si>
    <t xml:space="preserve">Gastos Suministros </t>
  </si>
  <si>
    <t>Gasto Suminsitros</t>
  </si>
  <si>
    <t>G</t>
  </si>
  <si>
    <t xml:space="preserve">7.- E= Productos especiales que PERMITEN cargas una cuenta contable de Gasto Pero se contrala existencias en kardex, siempre y cuando el usuario acepte el mensaje que elsistema previamente emita </t>
  </si>
  <si>
    <t xml:space="preserve">" DESEA CONTROLAR EXISTENCIAS " SI  NO </t>
  </si>
  <si>
    <t xml:space="preserve">8.- Crear Modulo de Unificacion de Codigo de Productos para que el sistema se encargue de pasar tambien los productos </t>
  </si>
  <si>
    <t>SIGUIENTE</t>
  </si>
  <si>
    <t>https://www.youtube.com/watch?v=nC9zDTAFhUc</t>
  </si>
  <si>
    <t xml:space="preserve">importacion </t>
  </si>
  <si>
    <t>https://www.youtube.com/watch?v=CwVAuZpfDtw</t>
  </si>
  <si>
    <t>receta produccicon</t>
  </si>
  <si>
    <t>https://www.youtube.com/watch?v=9JtRqUM-__s</t>
  </si>
  <si>
    <t xml:space="preserve">FORMULA PARA DISTRIBUCION </t>
  </si>
  <si>
    <t xml:space="preserve">Costo Total </t>
  </si>
  <si>
    <t>Factor</t>
  </si>
  <si>
    <t>Factor = Costos Adicionales / Sumatoria de Costo Total</t>
  </si>
  <si>
    <t>A</t>
  </si>
  <si>
    <t xml:space="preserve">Factor * Costo Total </t>
  </si>
  <si>
    <t xml:space="preserve">Suma de "A" + Costo Total </t>
  </si>
  <si>
    <t>Costo a Distr</t>
  </si>
  <si>
    <t>Desea Controlar Existencias (S/N)</t>
  </si>
  <si>
    <t xml:space="preserve">Cuando se selecciona Diario Contable  generará una numeración automática </t>
  </si>
  <si>
    <t>R/C</t>
  </si>
  <si>
    <t>por defecto esta activado si / si ek comporbante seleccionado es Diario Contable automatica saaldra NO</t>
  </si>
  <si>
    <t xml:space="preserve">NOTA QUE LA DISTRIBUCION DE LOS COSTS SON PROPORCIONALES A LOS COSTOS TOTALES </t>
  </si>
  <si>
    <t xml:space="preserve">DEUDA ACTUAL </t>
  </si>
  <si>
    <t xml:space="preserve">JORGE HIDALGO </t>
  </si>
  <si>
    <t xml:space="preserve">FACTURA </t>
  </si>
  <si>
    <t>REFRIGERADORA</t>
  </si>
  <si>
    <t>TRANSPORTE</t>
  </si>
  <si>
    <t xml:space="preserve">TRANSPORTE GASTO </t>
  </si>
  <si>
    <t>Papel Boond</t>
  </si>
  <si>
    <t xml:space="preserve">de la prima eta </t>
  </si>
  <si>
    <t>}</t>
  </si>
  <si>
    <t>(SI/NO)</t>
  </si>
  <si>
    <t>Importacion</t>
  </si>
  <si>
    <t xml:space="preserve">Visualizar Fact </t>
  </si>
  <si>
    <t>Desgloce de Fact que estan en proceso de Distribucion Ver "Anexos 1"</t>
  </si>
  <si>
    <t>SI / No</t>
  </si>
  <si>
    <t xml:space="preserve">el usuario podra desmarcar o seleccionar de aucerdo a su criterio. Pero en el caso de ser facturas de gastos el prorrateo será automaticmente a todos los productos que se queden en pantalla </t>
  </si>
  <si>
    <t>+</t>
  </si>
  <si>
    <t>INGRESO NOTAS DE CREDITO EN COMPRAS</t>
  </si>
  <si>
    <t>0000000000000</t>
  </si>
  <si>
    <t>Factura</t>
  </si>
  <si>
    <t>de selección el cual permitira seleccionar la o las facturas a la cual afectara la nota de credito</t>
  </si>
  <si>
    <t>Devolucion                     Descuento                Conjunta</t>
  </si>
  <si>
    <t>Importar NC</t>
  </si>
  <si>
    <t>Total NC</t>
  </si>
  <si>
    <t>JUAN PEREZ</t>
  </si>
  <si>
    <t>NOTA DE CREDITO:</t>
  </si>
  <si>
    <t>KARDEX</t>
  </si>
  <si>
    <t xml:space="preserve">CUENTAS POR PAGAR </t>
  </si>
  <si>
    <t>Entradas</t>
  </si>
  <si>
    <t>Saklidas</t>
  </si>
  <si>
    <t xml:space="preserve">Existencias </t>
  </si>
  <si>
    <t xml:space="preserve">Fecja </t>
  </si>
  <si>
    <t>Transa</t>
  </si>
  <si>
    <t>NCC0001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</si>
</sst>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[$$-409]* #,##0.00_);_([$$-409]* \(#,##0.00\);_([$$-409]* &quot;-&quot;??_);_(@_)"/>
    <numFmt numFmtId="165" formatCode="_-[$$-409]* #,##0.00_ ;_-[$$-409]* \-#,##0.00\ ;_-[$$-409]* &quot;-&quot;??_ ;_-@_ "/>
    <numFmt numFmtId="166" formatCode="_([$$-409]* #,##0.000000000_);_([$$-409]* \(#,##0.000000000\);_([$$-409]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u/>
      <sz val="11"/>
      <color theme="1"/>
      <name val="Arial Narrow"/>
      <family val="2"/>
    </font>
    <font>
      <sz val="11"/>
      <color theme="0" tint="-4.9989318521683403E-2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7"/>
      <color theme="0"/>
      <name val="Arial Narrow"/>
      <family val="2"/>
    </font>
    <font>
      <b/>
      <sz val="10"/>
      <color theme="1"/>
      <name val="Arial Narrow"/>
      <family val="2"/>
    </font>
    <font>
      <sz val="11"/>
      <color theme="0"/>
      <name val="Arial Narrow"/>
      <family val="2"/>
    </font>
    <font>
      <b/>
      <sz val="11"/>
      <color theme="0"/>
      <name val="Arial Narrow"/>
      <family val="2"/>
    </font>
    <font>
      <sz val="11"/>
      <color rgb="FFFF0000"/>
      <name val="Arial Narrow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Arial Narrow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0000"/>
      </bottom>
      <diagonal/>
    </border>
    <border>
      <left style="hair">
        <color theme="3"/>
      </left>
      <right style="hair">
        <color theme="3"/>
      </right>
      <top style="double">
        <color rgb="FFFF0000"/>
      </top>
      <bottom style="hair">
        <color theme="3"/>
      </bottom>
      <diagonal/>
    </border>
    <border>
      <left style="hair">
        <color theme="3"/>
      </left>
      <right style="hair">
        <color theme="3"/>
      </right>
      <top style="hair">
        <color theme="3"/>
      </top>
      <bottom style="hair">
        <color theme="3"/>
      </bottom>
      <diagonal/>
    </border>
    <border>
      <left/>
      <right/>
      <top style="hair">
        <color theme="3"/>
      </top>
      <bottom style="thin">
        <color theme="3"/>
      </bottom>
      <diagonal/>
    </border>
    <border>
      <left style="medium">
        <color auto="1"/>
      </left>
      <right/>
      <top style="double">
        <color rgb="FFFF0000"/>
      </top>
      <bottom style="double">
        <color rgb="FFFF0000"/>
      </bottom>
      <diagonal/>
    </border>
    <border>
      <left/>
      <right/>
      <top style="double">
        <color rgb="FFFF0000"/>
      </top>
      <bottom style="double">
        <color rgb="FFFF0000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/>
      <top/>
      <bottom style="thin">
        <color theme="3"/>
      </bottom>
      <diagonal/>
    </border>
    <border>
      <left style="thin">
        <color rgb="FFFF0000"/>
      </left>
      <right style="medium">
        <color auto="1"/>
      </right>
      <top style="double">
        <color rgb="FFFF0000"/>
      </top>
      <bottom style="double">
        <color rgb="FFFF0000"/>
      </bottom>
      <diagonal/>
    </border>
    <border>
      <left style="thin">
        <color rgb="FFFF0000"/>
      </left>
      <right style="thin">
        <color rgb="FFFF0000"/>
      </right>
      <top style="double">
        <color rgb="FFFF0000"/>
      </top>
      <bottom style="double">
        <color rgb="FFFF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3" borderId="0" xfId="0" applyFont="1" applyFill="1"/>
    <xf numFmtId="0" fontId="1" fillId="0" borderId="1" xfId="0" quotePrefix="1" applyFont="1" applyBorder="1" applyAlignment="1">
      <alignment horizontal="center"/>
    </xf>
    <xf numFmtId="0" fontId="1" fillId="0" borderId="2" xfId="0" applyFont="1" applyBorder="1"/>
    <xf numFmtId="0" fontId="1" fillId="0" borderId="1" xfId="0" quotePrefix="1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 applyAlignment="1"/>
    <xf numFmtId="0" fontId="4" fillId="3" borderId="0" xfId="0" applyFont="1" applyFill="1" applyBorder="1" applyAlignment="1"/>
    <xf numFmtId="0" fontId="4" fillId="3" borderId="0" xfId="0" applyFont="1" applyFill="1"/>
    <xf numFmtId="0" fontId="2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/>
    <xf numFmtId="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9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3" borderId="6" xfId="0" applyFont="1" applyFill="1" applyBorder="1"/>
    <xf numFmtId="9" fontId="1" fillId="0" borderId="3" xfId="0" applyNumberFormat="1" applyFont="1" applyBorder="1" applyAlignment="1"/>
    <xf numFmtId="9" fontId="1" fillId="0" borderId="4" xfId="0" applyNumberFormat="1" applyFont="1" applyBorder="1"/>
    <xf numFmtId="164" fontId="1" fillId="3" borderId="4" xfId="0" applyNumberFormat="1" applyFont="1" applyFill="1" applyBorder="1"/>
    <xf numFmtId="164" fontId="1" fillId="3" borderId="5" xfId="0" applyNumberFormat="1" applyFont="1" applyFill="1" applyBorder="1"/>
    <xf numFmtId="0" fontId="1" fillId="0" borderId="0" xfId="0" applyFont="1" applyBorder="1"/>
    <xf numFmtId="0" fontId="1" fillId="0" borderId="0" xfId="0" quotePrefix="1" applyFont="1" applyBorder="1" applyAlignment="1"/>
    <xf numFmtId="0" fontId="2" fillId="0" borderId="0" xfId="0" applyFont="1" applyAlignment="1">
      <alignment horizontal="right"/>
    </xf>
    <xf numFmtId="0" fontId="1" fillId="0" borderId="1" xfId="0" applyFont="1" applyBorder="1"/>
    <xf numFmtId="0" fontId="1" fillId="0" borderId="1" xfId="0" quotePrefix="1" applyFont="1" applyBorder="1" applyAlignment="1"/>
    <xf numFmtId="164" fontId="1" fillId="0" borderId="0" xfId="0" applyNumberFormat="1" applyFont="1" applyBorder="1"/>
    <xf numFmtId="0" fontId="1" fillId="0" borderId="9" xfId="0" applyFont="1" applyBorder="1"/>
    <xf numFmtId="164" fontId="1" fillId="0" borderId="10" xfId="0" applyNumberFormat="1" applyFont="1" applyBorder="1"/>
    <xf numFmtId="0" fontId="10" fillId="6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6" borderId="0" xfId="0" applyFont="1" applyFill="1"/>
    <xf numFmtId="0" fontId="10" fillId="6" borderId="0" xfId="0" applyFont="1" applyFill="1" applyAlignment="1">
      <alignment horizontal="center"/>
    </xf>
    <xf numFmtId="164" fontId="1" fillId="0" borderId="16" xfId="0" applyNumberFormat="1" applyFont="1" applyBorder="1"/>
    <xf numFmtId="0" fontId="2" fillId="0" borderId="17" xfId="0" applyFont="1" applyBorder="1" applyAlignment="1">
      <alignment horizontal="center"/>
    </xf>
    <xf numFmtId="0" fontId="2" fillId="0" borderId="17" xfId="0" applyFont="1" applyBorder="1"/>
    <xf numFmtId="0" fontId="1" fillId="6" borderId="0" xfId="0" applyFont="1" applyFill="1" applyBorder="1"/>
    <xf numFmtId="0" fontId="9" fillId="6" borderId="0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164" fontId="1" fillId="0" borderId="18" xfId="0" applyNumberFormat="1" applyFont="1" applyBorder="1"/>
    <xf numFmtId="9" fontId="1" fillId="0" borderId="18" xfId="0" applyNumberFormat="1" applyFont="1" applyBorder="1" applyAlignment="1">
      <alignment horizontal="center"/>
    </xf>
    <xf numFmtId="164" fontId="1" fillId="0" borderId="18" xfId="0" applyNumberFormat="1" applyFont="1" applyBorder="1" applyAlignment="1">
      <alignment horizontal="center"/>
    </xf>
    <xf numFmtId="0" fontId="1" fillId="0" borderId="18" xfId="0" applyFont="1" applyBorder="1"/>
    <xf numFmtId="0" fontId="1" fillId="0" borderId="19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164" fontId="1" fillId="0" borderId="19" xfId="0" applyNumberFormat="1" applyFont="1" applyBorder="1"/>
    <xf numFmtId="0" fontId="1" fillId="0" borderId="19" xfId="0" applyFont="1" applyBorder="1"/>
    <xf numFmtId="9" fontId="1" fillId="0" borderId="19" xfId="0" applyNumberFormat="1" applyFont="1" applyBorder="1" applyAlignment="1">
      <alignment horizontal="center"/>
    </xf>
    <xf numFmtId="164" fontId="1" fillId="0" borderId="19" xfId="0" applyNumberFormat="1" applyFont="1" applyBorder="1" applyAlignment="1">
      <alignment horizontal="center"/>
    </xf>
    <xf numFmtId="0" fontId="1" fillId="2" borderId="19" xfId="0" applyFont="1" applyFill="1" applyBorder="1"/>
    <xf numFmtId="2" fontId="1" fillId="5" borderId="19" xfId="0" applyNumberFormat="1" applyFont="1" applyFill="1" applyBorder="1" applyAlignment="1">
      <alignment horizontal="center"/>
    </xf>
    <xf numFmtId="164" fontId="1" fillId="0" borderId="20" xfId="0" applyNumberFormat="1" applyFont="1" applyBorder="1"/>
    <xf numFmtId="0" fontId="10" fillId="6" borderId="21" xfId="0" applyFont="1" applyFill="1" applyBorder="1" applyAlignment="1">
      <alignment horizontal="left"/>
    </xf>
    <xf numFmtId="164" fontId="10" fillId="6" borderId="22" xfId="0" applyNumberFormat="1" applyFont="1" applyFill="1" applyBorder="1"/>
    <xf numFmtId="164" fontId="1" fillId="0" borderId="23" xfId="0" applyNumberFormat="1" applyFont="1" applyBorder="1"/>
    <xf numFmtId="0" fontId="1" fillId="0" borderId="24" xfId="0" applyFont="1" applyBorder="1"/>
    <xf numFmtId="9" fontId="1" fillId="0" borderId="26" xfId="0" applyNumberFormat="1" applyFont="1" applyBorder="1" applyAlignment="1">
      <alignment horizontal="center"/>
    </xf>
    <xf numFmtId="164" fontId="1" fillId="0" borderId="25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1" fillId="3" borderId="18" xfId="0" applyNumberFormat="1" applyFont="1" applyFill="1" applyBorder="1" applyAlignment="1">
      <alignment horizontal="left"/>
    </xf>
    <xf numFmtId="2" fontId="1" fillId="0" borderId="19" xfId="0" applyNumberFormat="1" applyFont="1" applyBorder="1"/>
    <xf numFmtId="2" fontId="1" fillId="0" borderId="0" xfId="0" applyNumberFormat="1" applyFont="1"/>
    <xf numFmtId="165" fontId="1" fillId="0" borderId="0" xfId="0" applyNumberFormat="1" applyFont="1"/>
    <xf numFmtId="165" fontId="1" fillId="0" borderId="0" xfId="0" applyNumberFormat="1" applyFont="1" applyAlignment="1">
      <alignment horizontal="center"/>
    </xf>
    <xf numFmtId="165" fontId="2" fillId="0" borderId="0" xfId="0" applyNumberFormat="1" applyFont="1"/>
    <xf numFmtId="165" fontId="1" fillId="0" borderId="0" xfId="0" applyNumberFormat="1" applyFont="1" applyBorder="1"/>
    <xf numFmtId="165" fontId="11" fillId="7" borderId="0" xfId="0" applyNumberFormat="1" applyFont="1" applyFill="1" applyBorder="1"/>
    <xf numFmtId="0" fontId="2" fillId="7" borderId="0" xfId="0" applyFont="1" applyFill="1"/>
    <xf numFmtId="0" fontId="1" fillId="7" borderId="0" xfId="0" applyFont="1" applyFill="1"/>
    <xf numFmtId="165" fontId="0" fillId="0" borderId="0" xfId="0" applyNumberFormat="1"/>
    <xf numFmtId="0" fontId="1" fillId="0" borderId="0" xfId="0" applyNumberFormat="1" applyFont="1" applyAlignment="1">
      <alignment horizontal="center"/>
    </xf>
    <xf numFmtId="164" fontId="1" fillId="8" borderId="0" xfId="0" applyNumberFormat="1" applyFont="1" applyFill="1"/>
    <xf numFmtId="0" fontId="12" fillId="0" borderId="0" xfId="0" applyFont="1"/>
    <xf numFmtId="0" fontId="0" fillId="8" borderId="0" xfId="0" applyFill="1"/>
    <xf numFmtId="0" fontId="13" fillId="0" borderId="0" xfId="1"/>
    <xf numFmtId="166" fontId="1" fillId="0" borderId="18" xfId="0" applyNumberFormat="1" applyFont="1" applyBorder="1"/>
    <xf numFmtId="165" fontId="2" fillId="0" borderId="0" xfId="0" applyNumberFormat="1" applyFont="1" applyAlignment="1">
      <alignment horizontal="right"/>
    </xf>
    <xf numFmtId="165" fontId="1" fillId="8" borderId="0" xfId="0" applyNumberFormat="1" applyFont="1" applyFill="1"/>
    <xf numFmtId="164" fontId="1" fillId="8" borderId="19" xfId="0" applyNumberFormat="1" applyFont="1" applyFill="1" applyBorder="1"/>
    <xf numFmtId="164" fontId="1" fillId="8" borderId="18" xfId="0" applyNumberFormat="1" applyFont="1" applyFill="1" applyBorder="1"/>
    <xf numFmtId="0" fontId="11" fillId="0" borderId="0" xfId="0" applyFont="1"/>
    <xf numFmtId="0" fontId="14" fillId="0" borderId="0" xfId="0" applyFont="1"/>
    <xf numFmtId="0" fontId="3" fillId="0" borderId="19" xfId="0" applyFont="1" applyBorder="1" applyAlignment="1">
      <alignment horizontal="center"/>
    </xf>
    <xf numFmtId="0" fontId="2" fillId="0" borderId="0" xfId="0" applyFont="1" applyAlignment="1">
      <alignment horizontal="right"/>
    </xf>
    <xf numFmtId="9" fontId="1" fillId="0" borderId="0" xfId="0" applyNumberFormat="1" applyFont="1"/>
    <xf numFmtId="0" fontId="1" fillId="0" borderId="0" xfId="0" applyFont="1" applyFill="1"/>
    <xf numFmtId="0" fontId="1" fillId="0" borderId="11" xfId="0" applyFont="1" applyFill="1" applyBorder="1"/>
    <xf numFmtId="0" fontId="1" fillId="0" borderId="27" xfId="0" applyFont="1" applyFill="1" applyBorder="1"/>
    <xf numFmtId="0" fontId="1" fillId="0" borderId="28" xfId="0" applyFont="1" applyFill="1" applyBorder="1"/>
    <xf numFmtId="2" fontId="1" fillId="9" borderId="18" xfId="0" applyNumberFormat="1" applyFont="1" applyFill="1" applyBorder="1" applyAlignment="1">
      <alignment horizontal="center"/>
    </xf>
    <xf numFmtId="2" fontId="1" fillId="9" borderId="19" xfId="0" applyNumberFormat="1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11" fillId="0" borderId="0" xfId="0" applyFont="1" applyFill="1"/>
    <xf numFmtId="0" fontId="11" fillId="0" borderId="11" xfId="0" applyFont="1" applyFill="1" applyBorder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7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7" fillId="3" borderId="7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8" borderId="17" xfId="0" applyFont="1" applyFill="1" applyBorder="1" applyAlignment="1">
      <alignment horizontal="center"/>
    </xf>
    <xf numFmtId="2" fontId="1" fillId="8" borderId="18" xfId="0" applyNumberFormat="1" applyFont="1" applyFill="1" applyBorder="1" applyAlignment="1">
      <alignment horizontal="center"/>
    </xf>
    <xf numFmtId="2" fontId="1" fillId="8" borderId="19" xfId="0" applyNumberFormat="1" applyFont="1" applyFill="1" applyBorder="1" applyAlignment="1">
      <alignment horizontal="center"/>
    </xf>
    <xf numFmtId="2" fontId="2" fillId="0" borderId="0" xfId="0" applyNumberFormat="1" applyFont="1"/>
    <xf numFmtId="164" fontId="2" fillId="0" borderId="0" xfId="0" applyNumberFormat="1" applyFont="1"/>
  </cellXfs>
  <cellStyles count="2">
    <cellStyle name="Hipervínculo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13</xdr:row>
      <xdr:rowOff>38100</xdr:rowOff>
    </xdr:from>
    <xdr:to>
      <xdr:col>5</xdr:col>
      <xdr:colOff>600075</xdr:colOff>
      <xdr:row>13</xdr:row>
      <xdr:rowOff>142875</xdr:rowOff>
    </xdr:to>
    <xdr:sp macro="" textlink="">
      <xdr:nvSpPr>
        <xdr:cNvPr id="2" name="Elipse 1"/>
        <xdr:cNvSpPr/>
      </xdr:nvSpPr>
      <xdr:spPr>
        <a:xfrm>
          <a:off x="3562350" y="2266950"/>
          <a:ext cx="114300" cy="1047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13</xdr:row>
      <xdr:rowOff>57150</xdr:rowOff>
    </xdr:from>
    <xdr:to>
      <xdr:col>6</xdr:col>
      <xdr:colOff>114300</xdr:colOff>
      <xdr:row>13</xdr:row>
      <xdr:rowOff>161925</xdr:rowOff>
    </xdr:to>
    <xdr:sp macro="" textlink="">
      <xdr:nvSpPr>
        <xdr:cNvPr id="3" name="Elipse 2"/>
        <xdr:cNvSpPr/>
      </xdr:nvSpPr>
      <xdr:spPr>
        <a:xfrm>
          <a:off x="4762500" y="2286000"/>
          <a:ext cx="114300" cy="1047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923925</xdr:colOff>
      <xdr:row>13</xdr:row>
      <xdr:rowOff>76200</xdr:rowOff>
    </xdr:from>
    <xdr:to>
      <xdr:col>8</xdr:col>
      <xdr:colOff>1038225</xdr:colOff>
      <xdr:row>13</xdr:row>
      <xdr:rowOff>180975</xdr:rowOff>
    </xdr:to>
    <xdr:sp macro="" textlink="">
      <xdr:nvSpPr>
        <xdr:cNvPr id="4" name="Elipse 3"/>
        <xdr:cNvSpPr/>
      </xdr:nvSpPr>
      <xdr:spPr>
        <a:xfrm>
          <a:off x="5829300" y="2305050"/>
          <a:ext cx="114300" cy="1047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9JtRqUM-__s" TargetMode="External"/><Relationship Id="rId2" Type="http://schemas.openxmlformats.org/officeDocument/2006/relationships/hyperlink" Target="https://www.youtube.com/watch?v=CwVAuZpfDtw" TargetMode="External"/><Relationship Id="rId1" Type="http://schemas.openxmlformats.org/officeDocument/2006/relationships/hyperlink" Target="https://www.youtube.com/watch?v=nC9zDTAFhUc" TargetMode="External"/><Relationship Id="rId6" Type="http://schemas.openxmlformats.org/officeDocument/2006/relationships/comments" Target="../comments5.xml"/><Relationship Id="rId5" Type="http://schemas.openxmlformats.org/officeDocument/2006/relationships/vmlDrawing" Target="../drawings/vmlDrawing5.v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87"/>
  <sheetViews>
    <sheetView tabSelected="1" topLeftCell="A10" workbookViewId="0">
      <selection activeCell="H20" sqref="H20"/>
    </sheetView>
  </sheetViews>
  <sheetFormatPr baseColWidth="10" defaultColWidth="11.42578125" defaultRowHeight="16.5" x14ac:dyDescent="0.3"/>
  <cols>
    <col min="1" max="1" width="3.140625" style="1" bestFit="1" customWidth="1"/>
    <col min="2" max="2" width="16.28515625" style="1" bestFit="1" customWidth="1"/>
    <col min="3" max="4" width="11.42578125" style="1"/>
    <col min="5" max="5" width="3.85546875" style="1" customWidth="1"/>
    <col min="6" max="6" width="25.28515625" style="1" customWidth="1"/>
    <col min="7" max="7" width="2.140625" style="1" customWidth="1"/>
    <col min="8" max="8" width="14.85546875" style="1" customWidth="1"/>
    <col min="9" max="9" width="16.42578125" style="1" bestFit="1" customWidth="1"/>
    <col min="10" max="10" width="2.5703125" style="1" customWidth="1"/>
    <col min="11" max="11" width="16" style="1" customWidth="1"/>
    <col min="12" max="13" width="11.42578125" style="1"/>
    <col min="14" max="14" width="12.42578125" style="1" bestFit="1" customWidth="1"/>
    <col min="15" max="15" width="12" style="1" bestFit="1" customWidth="1"/>
    <col min="16" max="16" width="15.42578125" style="1" bestFit="1" customWidth="1"/>
    <col min="17" max="17" width="15" style="1" bestFit="1" customWidth="1"/>
    <col min="18" max="18" width="11.42578125" style="1"/>
    <col min="19" max="19" width="13.85546875" style="1" customWidth="1"/>
    <col min="20" max="20" width="11.42578125" style="1"/>
    <col min="21" max="21" width="13.5703125" style="1" bestFit="1" customWidth="1"/>
    <col min="22" max="16384" width="11.42578125" style="1"/>
  </cols>
  <sheetData>
    <row r="1" spans="2:18" x14ac:dyDescent="0.3">
      <c r="B1" s="2" t="s">
        <v>148</v>
      </c>
    </row>
    <row r="2" spans="2:18" x14ac:dyDescent="0.3">
      <c r="B2" s="3"/>
      <c r="C2" s="2" t="s">
        <v>11</v>
      </c>
      <c r="E2" s="12" t="s">
        <v>12</v>
      </c>
      <c r="F2" s="12"/>
      <c r="G2" s="12"/>
      <c r="H2" s="12"/>
      <c r="K2" s="117" t="s">
        <v>132</v>
      </c>
      <c r="L2" s="117"/>
      <c r="M2" s="115" t="s">
        <v>5</v>
      </c>
      <c r="N2" s="115"/>
    </row>
    <row r="3" spans="2:18" ht="6" customHeight="1" x14ac:dyDescent="0.3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2:18" x14ac:dyDescent="0.3">
      <c r="B4" s="2" t="s">
        <v>0</v>
      </c>
      <c r="C4" s="110" t="s">
        <v>155</v>
      </c>
      <c r="D4" s="110"/>
      <c r="E4" s="110"/>
      <c r="I4" s="2" t="s">
        <v>1</v>
      </c>
      <c r="J4" s="2"/>
      <c r="K4" s="110"/>
      <c r="L4" s="110"/>
      <c r="M4" s="110"/>
      <c r="P4" s="120" t="s">
        <v>74</v>
      </c>
    </row>
    <row r="5" spans="2:18" x14ac:dyDescent="0.3">
      <c r="B5" s="2" t="s">
        <v>4</v>
      </c>
      <c r="C5" s="111" t="s">
        <v>133</v>
      </c>
      <c r="D5" s="111"/>
      <c r="E5" s="111"/>
      <c r="F5" s="1" t="s">
        <v>141</v>
      </c>
      <c r="I5" s="2" t="s">
        <v>129</v>
      </c>
      <c r="J5" s="2"/>
      <c r="K5" s="111"/>
      <c r="L5" s="111"/>
      <c r="M5" s="111"/>
      <c r="P5" s="120"/>
    </row>
    <row r="6" spans="2:18" ht="6.75" customHeight="1" x14ac:dyDescent="0.3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2:18" ht="17.25" thickBot="1" x14ac:dyDescent="0.35">
      <c r="B7" s="114" t="s">
        <v>2</v>
      </c>
      <c r="C7" s="114"/>
      <c r="D7" s="112" t="s">
        <v>3</v>
      </c>
      <c r="E7" s="113"/>
      <c r="F7" s="6" t="s">
        <v>3</v>
      </c>
      <c r="G7" s="6"/>
      <c r="H7" s="6"/>
      <c r="I7" s="6" t="s">
        <v>149</v>
      </c>
      <c r="J7" s="112"/>
      <c r="K7" s="112"/>
      <c r="M7" s="2" t="s">
        <v>76</v>
      </c>
      <c r="N7" s="31"/>
      <c r="O7" s="32"/>
      <c r="R7" s="1" t="s">
        <v>128</v>
      </c>
    </row>
    <row r="8" spans="2:18" ht="17.25" thickBot="1" x14ac:dyDescent="0.35">
      <c r="B8" s="30" t="s">
        <v>6</v>
      </c>
      <c r="C8" s="8" t="s">
        <v>7</v>
      </c>
      <c r="D8" s="7" t="s">
        <v>130</v>
      </c>
      <c r="E8" s="9" t="s">
        <v>8</v>
      </c>
      <c r="F8" s="7"/>
      <c r="G8" s="28"/>
      <c r="H8" s="28"/>
      <c r="J8" s="29"/>
      <c r="K8" s="30" t="s">
        <v>77</v>
      </c>
      <c r="L8" s="29" t="s">
        <v>75</v>
      </c>
      <c r="M8" s="29"/>
      <c r="N8" s="29"/>
      <c r="O8" s="29"/>
      <c r="P8" s="29"/>
    </row>
    <row r="9" spans="2:18" x14ac:dyDescent="0.3">
      <c r="B9" s="96" t="s">
        <v>142</v>
      </c>
      <c r="C9" s="8" t="s">
        <v>145</v>
      </c>
      <c r="D9" s="28"/>
      <c r="E9" s="9"/>
      <c r="F9" s="28"/>
      <c r="G9" s="28"/>
      <c r="H9" s="28"/>
      <c r="J9" s="29"/>
      <c r="K9" s="107"/>
      <c r="L9" s="29"/>
      <c r="M9" s="29"/>
      <c r="N9" s="29"/>
      <c r="O9" s="29"/>
      <c r="P9" s="29"/>
    </row>
    <row r="10" spans="2:18" ht="6.75" customHeight="1" thickBot="1" x14ac:dyDescent="0.3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2:18" ht="17.25" thickBot="1" x14ac:dyDescent="0.35">
      <c r="B11" s="107" t="s">
        <v>150</v>
      </c>
      <c r="C11" s="7" t="s">
        <v>151</v>
      </c>
      <c r="D11" s="28"/>
      <c r="E11" s="9"/>
      <c r="F11" s="112" t="s">
        <v>3</v>
      </c>
      <c r="G11" s="113"/>
      <c r="H11" s="109"/>
      <c r="I11" s="6" t="s">
        <v>3</v>
      </c>
      <c r="J11" s="6"/>
      <c r="K11" s="6" t="s">
        <v>149</v>
      </c>
      <c r="L11" s="29"/>
      <c r="M11" s="29"/>
      <c r="N11" s="29"/>
      <c r="O11" s="29"/>
      <c r="P11" s="29"/>
    </row>
    <row r="12" spans="2:18" x14ac:dyDescent="0.3">
      <c r="D12" s="28"/>
      <c r="E12" s="9"/>
      <c r="F12" s="28"/>
      <c r="G12" s="28"/>
      <c r="H12" s="28"/>
      <c r="J12" s="29"/>
      <c r="K12" s="96"/>
      <c r="L12" s="29"/>
      <c r="M12" s="29"/>
      <c r="N12" s="29"/>
      <c r="O12" s="29"/>
      <c r="P12" s="29"/>
    </row>
    <row r="13" spans="2:18" ht="5.25" customHeight="1" x14ac:dyDescent="0.3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2:18" x14ac:dyDescent="0.3">
      <c r="B14" s="2" t="s">
        <v>9</v>
      </c>
      <c r="C14" s="6" t="s">
        <v>10</v>
      </c>
      <c r="D14" s="10"/>
      <c r="E14" s="11" t="s">
        <v>152</v>
      </c>
      <c r="F14" s="12"/>
      <c r="G14" s="12"/>
      <c r="H14" s="12"/>
      <c r="I14" s="12"/>
      <c r="J14" s="12"/>
      <c r="K14" s="12"/>
      <c r="L14" s="12"/>
      <c r="M14" s="12"/>
      <c r="N14" s="2" t="s">
        <v>153</v>
      </c>
      <c r="O14" s="5"/>
      <c r="P14" s="5"/>
    </row>
    <row r="15" spans="2:18" ht="5.25" customHeight="1" thickBot="1" x14ac:dyDescent="0.3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2:18" ht="10.5" customHeight="1" thickBot="1" x14ac:dyDescent="0.3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23"/>
      <c r="N16" s="118" t="s">
        <v>88</v>
      </c>
      <c r="O16" s="118"/>
      <c r="P16" s="119"/>
    </row>
    <row r="17" spans="1:41" ht="17.25" thickBot="1" x14ac:dyDescent="0.35">
      <c r="B17" s="2"/>
      <c r="C17" s="110"/>
      <c r="D17" s="110"/>
      <c r="E17" s="110"/>
      <c r="I17" s="2"/>
      <c r="J17" s="2"/>
      <c r="K17" s="110"/>
      <c r="L17" s="110"/>
      <c r="M17" s="24">
        <v>0.12</v>
      </c>
      <c r="N17" s="26">
        <v>4</v>
      </c>
      <c r="O17" s="25">
        <v>0</v>
      </c>
      <c r="P17" s="27">
        <v>5</v>
      </c>
      <c r="Q17" s="1">
        <f>+N17*12%</f>
        <v>0.48</v>
      </c>
      <c r="AI17" s="97"/>
    </row>
    <row r="18" spans="1:41" ht="6" customHeight="1" thickBot="1" x14ac:dyDescent="0.3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41" ht="17.25" customHeight="1" thickBot="1" x14ac:dyDescent="0.35">
      <c r="A19" s="98"/>
      <c r="B19" s="2"/>
      <c r="C19" s="98"/>
      <c r="D19" s="99"/>
      <c r="E19" s="100"/>
      <c r="F19" s="100"/>
      <c r="G19" s="100"/>
      <c r="H19" s="100"/>
      <c r="I19" s="101"/>
      <c r="J19" s="98"/>
      <c r="K19" s="105" t="s">
        <v>143</v>
      </c>
      <c r="L19" s="106" t="s">
        <v>144</v>
      </c>
      <c r="M19" s="100"/>
      <c r="N19" s="100"/>
      <c r="O19" s="100"/>
      <c r="P19" s="101"/>
    </row>
    <row r="20" spans="1:41" ht="6" customHeight="1" thickBot="1" x14ac:dyDescent="0.3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41" ht="17.25" thickBot="1" x14ac:dyDescent="0.35">
      <c r="B21" s="44" t="s">
        <v>83</v>
      </c>
      <c r="C21" s="44" t="s">
        <v>15</v>
      </c>
      <c r="D21" s="44" t="s">
        <v>17</v>
      </c>
      <c r="E21" s="45" t="s">
        <v>20</v>
      </c>
      <c r="F21" s="121" t="s">
        <v>21</v>
      </c>
      <c r="G21" s="104"/>
      <c r="H21" s="104"/>
      <c r="I21" s="44" t="s">
        <v>22</v>
      </c>
      <c r="J21" s="44" t="s">
        <v>84</v>
      </c>
      <c r="K21" s="44" t="s">
        <v>87</v>
      </c>
      <c r="L21" s="44" t="s">
        <v>23</v>
      </c>
      <c r="M21" s="44" t="s">
        <v>24</v>
      </c>
      <c r="N21" s="44" t="s">
        <v>25</v>
      </c>
      <c r="O21" s="44" t="s">
        <v>26</v>
      </c>
      <c r="P21" s="44" t="s">
        <v>28</v>
      </c>
      <c r="R21" s="2" t="s">
        <v>27</v>
      </c>
      <c r="S21" s="7"/>
    </row>
    <row r="22" spans="1:41" ht="18" thickTop="1" thickBot="1" x14ac:dyDescent="0.35">
      <c r="A22" s="9" t="s">
        <v>35</v>
      </c>
      <c r="B22" s="54" t="s">
        <v>60</v>
      </c>
      <c r="C22" s="49" t="s">
        <v>31</v>
      </c>
      <c r="D22" s="49" t="s">
        <v>18</v>
      </c>
      <c r="E22" s="54" t="s">
        <v>33</v>
      </c>
      <c r="F22" s="122">
        <v>60</v>
      </c>
      <c r="G22" s="102" t="s">
        <v>147</v>
      </c>
      <c r="H22" s="102">
        <v>20</v>
      </c>
      <c r="I22" s="50">
        <v>12</v>
      </c>
      <c r="J22" s="72" t="s">
        <v>85</v>
      </c>
      <c r="K22" s="50">
        <f>+X32</f>
        <v>8.3076923076923076E-2</v>
      </c>
      <c r="L22" s="51">
        <v>0</v>
      </c>
      <c r="M22" s="52">
        <v>0</v>
      </c>
      <c r="N22" s="51">
        <v>0.12</v>
      </c>
      <c r="O22" s="92">
        <f>(F22*(I22+K22))</f>
        <v>724.98461538461538</v>
      </c>
      <c r="P22" s="53"/>
      <c r="Q22" s="75"/>
      <c r="R22" s="2" t="s">
        <v>29</v>
      </c>
      <c r="S22" s="7"/>
    </row>
    <row r="23" spans="1:41" ht="17.25" thickBot="1" x14ac:dyDescent="0.35">
      <c r="A23" s="9" t="s">
        <v>35</v>
      </c>
      <c r="B23" s="54" t="s">
        <v>60</v>
      </c>
      <c r="C23" s="54" t="s">
        <v>31</v>
      </c>
      <c r="D23" s="54" t="s">
        <v>18</v>
      </c>
      <c r="E23" s="54" t="s">
        <v>33</v>
      </c>
      <c r="F23" s="123">
        <v>80</v>
      </c>
      <c r="G23" s="55"/>
      <c r="H23" s="55">
        <v>10</v>
      </c>
      <c r="I23" s="56">
        <v>3</v>
      </c>
      <c r="J23" s="56"/>
      <c r="K23" s="57"/>
      <c r="L23" s="58">
        <v>0</v>
      </c>
      <c r="M23" s="59">
        <v>0</v>
      </c>
      <c r="N23" s="58">
        <v>0.12</v>
      </c>
      <c r="O23" s="56">
        <f>+F23*I23</f>
        <v>240</v>
      </c>
      <c r="P23" s="56"/>
      <c r="Q23" s="77">
        <f>+F22</f>
        <v>60</v>
      </c>
      <c r="R23" s="77">
        <f>+I22+K22-M22</f>
        <v>12.083076923076923</v>
      </c>
      <c r="S23" s="79">
        <f>+Q23*R23</f>
        <v>724.98461538461538</v>
      </c>
      <c r="AC23" s="1" t="s">
        <v>134</v>
      </c>
      <c r="AL23" s="1" t="s">
        <v>139</v>
      </c>
      <c r="AN23" s="1">
        <v>15000</v>
      </c>
    </row>
    <row r="24" spans="1:41" ht="17.25" thickTop="1" x14ac:dyDescent="0.3">
      <c r="A24" s="9" t="s">
        <v>35</v>
      </c>
      <c r="B24" s="54" t="s">
        <v>60</v>
      </c>
      <c r="C24" s="54" t="s">
        <v>31</v>
      </c>
      <c r="D24" s="54" t="s">
        <v>18</v>
      </c>
      <c r="E24" s="54" t="s">
        <v>33</v>
      </c>
      <c r="F24" s="123">
        <v>70</v>
      </c>
      <c r="G24" s="103"/>
      <c r="H24" s="103">
        <v>30</v>
      </c>
      <c r="I24" s="56">
        <v>4</v>
      </c>
      <c r="J24" s="72" t="s">
        <v>85</v>
      </c>
      <c r="K24" s="50">
        <f>+X33</f>
        <v>2.7692307692307693E-2</v>
      </c>
      <c r="L24" s="58">
        <v>0</v>
      </c>
      <c r="M24" s="59">
        <v>0</v>
      </c>
      <c r="N24" s="58">
        <v>0</v>
      </c>
      <c r="O24" s="91">
        <f>(F24*(I24+K24))</f>
        <v>281.93846153846158</v>
      </c>
      <c r="P24" s="73"/>
      <c r="R24" s="2"/>
      <c r="S24" s="28"/>
      <c r="X24" s="69" t="s">
        <v>86</v>
      </c>
      <c r="AB24" s="93">
        <v>5</v>
      </c>
      <c r="AC24" s="93" t="s">
        <v>135</v>
      </c>
      <c r="AD24" s="93"/>
      <c r="AE24" s="94">
        <v>100</v>
      </c>
      <c r="AF24" s="93">
        <f>+AE24*AB24</f>
        <v>500</v>
      </c>
      <c r="AK24" s="54" t="s">
        <v>60</v>
      </c>
      <c r="AO24" s="1">
        <f>+AN23*18%</f>
        <v>2700</v>
      </c>
    </row>
    <row r="25" spans="1:41" ht="17.25" thickBot="1" x14ac:dyDescent="0.35">
      <c r="A25" s="9" t="s">
        <v>35</v>
      </c>
      <c r="B25" s="54" t="s">
        <v>61</v>
      </c>
      <c r="C25" s="54" t="s">
        <v>31</v>
      </c>
      <c r="D25" s="54" t="s">
        <v>18</v>
      </c>
      <c r="E25" s="54" t="s">
        <v>33</v>
      </c>
      <c r="F25" s="123">
        <v>60</v>
      </c>
      <c r="G25" s="55"/>
      <c r="H25" s="55"/>
      <c r="I25" s="56">
        <v>5</v>
      </c>
      <c r="J25" s="56"/>
      <c r="K25" s="57"/>
      <c r="L25" s="58">
        <v>0</v>
      </c>
      <c r="M25" s="59">
        <v>0</v>
      </c>
      <c r="N25" s="58">
        <v>0.12</v>
      </c>
      <c r="O25" s="56">
        <f>+F25*I25</f>
        <v>300</v>
      </c>
      <c r="P25" s="57"/>
      <c r="Q25" s="75">
        <f>+F22*I22</f>
        <v>720</v>
      </c>
      <c r="R25" s="2">
        <v>10</v>
      </c>
      <c r="S25" s="78">
        <f>+Q25+R25</f>
        <v>730</v>
      </c>
      <c r="T25" s="74">
        <f>+F22</f>
        <v>60</v>
      </c>
      <c r="U25" s="15">
        <f>+K22</f>
        <v>8.3076923076923076E-2</v>
      </c>
      <c r="V25" s="75">
        <f>+T25*U25</f>
        <v>4.9846153846153847</v>
      </c>
      <c r="W25" s="1">
        <v>150</v>
      </c>
      <c r="X25" s="76">
        <f>+W25+U25</f>
        <v>150.08307692307693</v>
      </c>
      <c r="Y25" s="1">
        <f>+X25*T25</f>
        <v>9004.9846153846156</v>
      </c>
      <c r="AC25" s="2" t="s">
        <v>136</v>
      </c>
      <c r="AD25" s="2"/>
      <c r="AE25" s="2"/>
      <c r="AF25" s="2">
        <v>30</v>
      </c>
      <c r="AH25" s="1">
        <v>48000</v>
      </c>
      <c r="AI25" s="1">
        <f>+AH25*18%</f>
        <v>8640</v>
      </c>
      <c r="AK25" s="54" t="s">
        <v>60</v>
      </c>
      <c r="AO25" s="1">
        <f>+AO24*30%</f>
        <v>810</v>
      </c>
    </row>
    <row r="26" spans="1:41" ht="17.25" thickTop="1" x14ac:dyDescent="0.3">
      <c r="A26" s="9" t="s">
        <v>35</v>
      </c>
      <c r="B26" s="54" t="s">
        <v>62</v>
      </c>
      <c r="C26" s="54" t="s">
        <v>31</v>
      </c>
      <c r="D26" s="54" t="s">
        <v>18</v>
      </c>
      <c r="E26" s="54" t="s">
        <v>33</v>
      </c>
      <c r="F26" s="123">
        <v>50</v>
      </c>
      <c r="G26" s="103"/>
      <c r="H26" s="103"/>
      <c r="I26" s="56">
        <v>6</v>
      </c>
      <c r="J26" s="72" t="s">
        <v>85</v>
      </c>
      <c r="K26" s="50">
        <f>+X34</f>
        <v>4.1538461538461545E-2</v>
      </c>
      <c r="L26" s="58">
        <v>0</v>
      </c>
      <c r="M26" s="59">
        <v>0</v>
      </c>
      <c r="N26" s="58">
        <v>0</v>
      </c>
      <c r="O26" s="91">
        <f>(F26*(I26+K26))</f>
        <v>302.07692307692309</v>
      </c>
      <c r="P26" s="57"/>
      <c r="R26" s="2"/>
      <c r="S26" s="28"/>
      <c r="T26" s="74">
        <f>+F24</f>
        <v>70</v>
      </c>
      <c r="U26" s="15">
        <f>+U25</f>
        <v>8.3076923076923076E-2</v>
      </c>
      <c r="V26" s="75">
        <f>+T26*U26</f>
        <v>5.8153846153846152</v>
      </c>
      <c r="W26" s="1">
        <v>70</v>
      </c>
      <c r="X26" s="76">
        <f>+W26+U26</f>
        <v>70.083076923076916</v>
      </c>
      <c r="Y26" s="1">
        <f>+X26*T26</f>
        <v>4905.8153846153846</v>
      </c>
      <c r="AF26" s="1">
        <f>+AF24+AF25</f>
        <v>530</v>
      </c>
      <c r="AH26" s="1">
        <f>+AH25*18%</f>
        <v>8640</v>
      </c>
      <c r="AI26" s="1" t="s">
        <v>140</v>
      </c>
      <c r="AK26" s="54" t="s">
        <v>60</v>
      </c>
    </row>
    <row r="27" spans="1:41" x14ac:dyDescent="0.3">
      <c r="A27" s="9" t="s">
        <v>36</v>
      </c>
      <c r="B27" s="54" t="s">
        <v>138</v>
      </c>
      <c r="C27" s="54" t="s">
        <v>16</v>
      </c>
      <c r="D27" s="54" t="s">
        <v>18</v>
      </c>
      <c r="E27" s="54" t="s">
        <v>19</v>
      </c>
      <c r="F27" s="123">
        <v>50</v>
      </c>
      <c r="G27" s="55"/>
      <c r="H27" s="55"/>
      <c r="I27" s="56">
        <v>7</v>
      </c>
      <c r="J27" s="56"/>
      <c r="K27" s="57"/>
      <c r="L27" s="58">
        <v>0</v>
      </c>
      <c r="M27" s="59">
        <v>0</v>
      </c>
      <c r="N27" s="58">
        <v>0.12</v>
      </c>
      <c r="O27" s="56">
        <f t="shared" ref="O27:O30" si="0">+F27*I27</f>
        <v>350</v>
      </c>
      <c r="P27" s="57"/>
      <c r="Q27" s="2">
        <v>60</v>
      </c>
      <c r="R27" s="1">
        <f>+S25/Q27</f>
        <v>12.166666666666666</v>
      </c>
      <c r="T27" s="15">
        <v>50</v>
      </c>
      <c r="U27" s="15">
        <f>+U26</f>
        <v>8.3076923076923076E-2</v>
      </c>
      <c r="V27" s="75">
        <f>+T27*U27</f>
        <v>4.1538461538461542</v>
      </c>
      <c r="W27" s="1">
        <v>3.5</v>
      </c>
      <c r="X27" s="76">
        <f>+W27+U27</f>
        <v>3.583076923076923</v>
      </c>
      <c r="Y27" s="1">
        <f>+X27*T27</f>
        <v>179.15384615384616</v>
      </c>
      <c r="AF27" s="1">
        <f>+AF26*12%</f>
        <v>63.599999999999994</v>
      </c>
      <c r="AK27" s="54" t="s">
        <v>61</v>
      </c>
      <c r="AN27" s="1">
        <v>42000</v>
      </c>
    </row>
    <row r="28" spans="1:41" x14ac:dyDescent="0.3">
      <c r="A28" s="9" t="s">
        <v>37</v>
      </c>
      <c r="B28" s="54" t="s">
        <v>34</v>
      </c>
      <c r="C28" s="54" t="s">
        <v>31</v>
      </c>
      <c r="D28" s="54" t="s">
        <v>18</v>
      </c>
      <c r="E28" s="54" t="s">
        <v>109</v>
      </c>
      <c r="F28" s="123">
        <v>2</v>
      </c>
      <c r="G28" s="55"/>
      <c r="H28" s="55"/>
      <c r="I28" s="56">
        <v>8</v>
      </c>
      <c r="J28" s="56"/>
      <c r="K28" s="57"/>
      <c r="L28" s="58">
        <v>0</v>
      </c>
      <c r="M28" s="59">
        <v>0</v>
      </c>
      <c r="N28" s="58">
        <v>0.12</v>
      </c>
      <c r="O28" s="56">
        <f t="shared" si="0"/>
        <v>16</v>
      </c>
      <c r="P28" s="57"/>
      <c r="Q28" s="75">
        <f>+O22+O24+O26</f>
        <v>1309</v>
      </c>
      <c r="V28" s="75">
        <f>SUM(V25:V27)</f>
        <v>14.953846153846154</v>
      </c>
      <c r="AF28" s="2">
        <f>+AF26+AF27</f>
        <v>593.6</v>
      </c>
      <c r="AK28" s="54" t="s">
        <v>62</v>
      </c>
      <c r="AN28" s="1">
        <f>+AN27*30%</f>
        <v>12600</v>
      </c>
      <c r="AO28" s="1">
        <f>+AN27*25%</f>
        <v>10500</v>
      </c>
    </row>
    <row r="29" spans="1:41" x14ac:dyDescent="0.3">
      <c r="A29" s="9" t="s">
        <v>38</v>
      </c>
      <c r="B29" s="95" t="s">
        <v>108</v>
      </c>
      <c r="C29" s="60" t="s">
        <v>127</v>
      </c>
      <c r="D29" s="60"/>
      <c r="E29" s="60"/>
      <c r="F29" s="123">
        <v>1</v>
      </c>
      <c r="G29" s="61"/>
      <c r="H29" s="61"/>
      <c r="I29" s="56">
        <v>1</v>
      </c>
      <c r="J29" s="56"/>
      <c r="K29" s="57"/>
      <c r="L29" s="58"/>
      <c r="M29" s="59"/>
      <c r="N29" s="58">
        <v>0.12</v>
      </c>
      <c r="O29" s="56">
        <f t="shared" si="0"/>
        <v>1</v>
      </c>
      <c r="P29" s="57"/>
      <c r="AC29" s="1" t="s">
        <v>137</v>
      </c>
      <c r="AK29" s="54" t="s">
        <v>138</v>
      </c>
    </row>
    <row r="30" spans="1:41" x14ac:dyDescent="0.3">
      <c r="A30" s="9" t="s">
        <v>38</v>
      </c>
      <c r="B30" s="54" t="s">
        <v>108</v>
      </c>
      <c r="C30" s="60" t="s">
        <v>127</v>
      </c>
      <c r="D30" s="60"/>
      <c r="E30" s="60"/>
      <c r="F30" s="123">
        <v>1</v>
      </c>
      <c r="G30" s="61"/>
      <c r="H30" s="61"/>
      <c r="I30" s="56">
        <v>1</v>
      </c>
      <c r="J30" s="56"/>
      <c r="K30" s="57"/>
      <c r="L30" s="58"/>
      <c r="M30" s="59"/>
      <c r="N30" s="58">
        <v>0</v>
      </c>
      <c r="O30" s="56">
        <f t="shared" si="0"/>
        <v>1</v>
      </c>
      <c r="P30" s="28"/>
      <c r="R30" s="3" t="s">
        <v>119</v>
      </c>
      <c r="AK30" s="54" t="s">
        <v>34</v>
      </c>
    </row>
    <row r="31" spans="1:41" ht="17.25" thickBot="1" x14ac:dyDescent="0.35"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7" t="s">
        <v>80</v>
      </c>
      <c r="M31" s="48" t="s">
        <v>81</v>
      </c>
      <c r="N31" s="1" t="s">
        <v>68</v>
      </c>
      <c r="O31" s="62">
        <f>SUM(O22:O30)</f>
        <v>2217</v>
      </c>
      <c r="Q31" s="74"/>
      <c r="R31" s="44" t="s">
        <v>21</v>
      </c>
      <c r="S31" s="44" t="s">
        <v>22</v>
      </c>
      <c r="T31" s="44" t="s">
        <v>120</v>
      </c>
      <c r="U31" s="44" t="s">
        <v>121</v>
      </c>
      <c r="V31" s="13" t="s">
        <v>123</v>
      </c>
      <c r="W31" s="13" t="s">
        <v>18</v>
      </c>
      <c r="X31" s="69" t="s">
        <v>126</v>
      </c>
    </row>
    <row r="32" spans="1:41" ht="18" thickTop="1" thickBot="1" x14ac:dyDescent="0.35">
      <c r="B32" s="36" t="s">
        <v>113</v>
      </c>
      <c r="C32" s="41"/>
      <c r="D32" s="41"/>
      <c r="E32" s="41"/>
      <c r="F32" s="41"/>
      <c r="G32" s="41"/>
      <c r="H32" s="41"/>
      <c r="I32" s="41"/>
      <c r="J32" s="41"/>
      <c r="K32" s="42" t="s">
        <v>79</v>
      </c>
      <c r="L32" s="67">
        <v>0.05</v>
      </c>
      <c r="M32" s="68">
        <v>120</v>
      </c>
      <c r="N32" s="1" t="s">
        <v>70</v>
      </c>
      <c r="O32" s="66">
        <v>0</v>
      </c>
      <c r="Q32" s="15"/>
      <c r="R32" s="102">
        <v>60</v>
      </c>
      <c r="S32" s="50">
        <f>+I22</f>
        <v>12</v>
      </c>
      <c r="T32" s="72">
        <f>+R32*S32</f>
        <v>720</v>
      </c>
      <c r="U32" s="88">
        <f>(N17+P17)/T35</f>
        <v>6.9230769230769233E-3</v>
      </c>
      <c r="V32" s="75">
        <f>+U32*T32</f>
        <v>4.9846153846153847</v>
      </c>
      <c r="W32" s="90">
        <f>+T32+V32</f>
        <v>724.98461538461538</v>
      </c>
      <c r="X32" s="76">
        <f>+V32/R32</f>
        <v>8.3076923076923076E-2</v>
      </c>
      <c r="Y32" s="75">
        <f>+X32*R32</f>
        <v>4.9846153846153847</v>
      </c>
      <c r="Z32" s="75">
        <f>+T32+Y32</f>
        <v>724.98461538461538</v>
      </c>
    </row>
    <row r="33" spans="2:26" ht="18" thickTop="1" thickBot="1" x14ac:dyDescent="0.35">
      <c r="B33" s="1" t="s">
        <v>82</v>
      </c>
      <c r="C33" s="37"/>
      <c r="D33" s="34"/>
      <c r="E33" s="34"/>
      <c r="F33" s="34"/>
      <c r="G33" s="34"/>
      <c r="H33" s="34"/>
      <c r="I33" s="34"/>
      <c r="J33" s="34"/>
      <c r="K33" s="34"/>
      <c r="L33" s="28"/>
      <c r="M33" s="35"/>
      <c r="N33" s="1" t="s">
        <v>69</v>
      </c>
      <c r="O33" s="65">
        <f>(F22*I22)+(F23*I23)+(F25*I25)+(F27*I27)+(F28*I28)+(F29*I29)+N17</f>
        <v>1631</v>
      </c>
      <c r="P33" s="15">
        <f>+O33+O34</f>
        <v>2217</v>
      </c>
      <c r="R33" s="103">
        <v>70</v>
      </c>
      <c r="S33" s="56">
        <f>+I24</f>
        <v>4</v>
      </c>
      <c r="T33" s="72">
        <f>+R33*S33</f>
        <v>280</v>
      </c>
      <c r="U33" s="88">
        <f>+U32</f>
        <v>6.9230769230769233E-3</v>
      </c>
      <c r="V33" s="75">
        <f>+U33*T33</f>
        <v>1.9384615384615385</v>
      </c>
      <c r="W33" s="90">
        <f>+T33+V33</f>
        <v>281.93846153846152</v>
      </c>
      <c r="X33" s="76">
        <f>+V33/R33</f>
        <v>2.7692307692307693E-2</v>
      </c>
      <c r="Y33" s="75">
        <f>+X33*R33</f>
        <v>1.9384615384615385</v>
      </c>
      <c r="Z33" s="75">
        <f>+T33+Y33</f>
        <v>281.93846153846152</v>
      </c>
    </row>
    <row r="34" spans="2:26" ht="17.25" thickTop="1" x14ac:dyDescent="0.3">
      <c r="B34" s="41"/>
      <c r="C34" s="38"/>
      <c r="D34" s="28"/>
      <c r="E34" s="28"/>
      <c r="F34" s="33"/>
      <c r="G34" s="33"/>
      <c r="H34" s="33"/>
      <c r="I34" s="28"/>
      <c r="J34" s="28"/>
      <c r="K34" s="28"/>
      <c r="L34" s="28"/>
      <c r="M34" s="35"/>
      <c r="N34" s="1" t="s">
        <v>71</v>
      </c>
      <c r="O34" s="65">
        <f>(F24*I24)+(F26*I26)+(F30*I30)+P17</f>
        <v>586</v>
      </c>
      <c r="P34" s="15"/>
      <c r="Q34" s="75"/>
      <c r="R34" s="103">
        <v>50</v>
      </c>
      <c r="S34" s="56">
        <f>+I26</f>
        <v>6</v>
      </c>
      <c r="T34" s="72">
        <f>+R34*S34</f>
        <v>300</v>
      </c>
      <c r="U34" s="88">
        <f>+U33</f>
        <v>6.9230769230769233E-3</v>
      </c>
      <c r="V34" s="75">
        <f>+U34*T34</f>
        <v>2.0769230769230771</v>
      </c>
      <c r="W34" s="90">
        <f>+T34+V34</f>
        <v>302.07692307692309</v>
      </c>
      <c r="X34" s="76">
        <f>+V34/R34</f>
        <v>4.1538461538461545E-2</v>
      </c>
      <c r="Y34" s="75">
        <f>+X34*R34</f>
        <v>2.0769230769230771</v>
      </c>
      <c r="Z34" s="75">
        <f>+T34+Y34</f>
        <v>302.07692307692309</v>
      </c>
    </row>
    <row r="35" spans="2:26" ht="17.25" thickBot="1" x14ac:dyDescent="0.35">
      <c r="C35" s="38"/>
      <c r="D35" s="28"/>
      <c r="E35" s="28"/>
      <c r="F35" s="33"/>
      <c r="G35" s="33"/>
      <c r="H35" s="33"/>
      <c r="I35" s="28"/>
      <c r="J35" s="28"/>
      <c r="K35" s="28"/>
      <c r="L35" s="28"/>
      <c r="M35" s="35"/>
      <c r="N35" s="1" t="s">
        <v>72</v>
      </c>
      <c r="O35" s="33">
        <f>+O33*12/100</f>
        <v>195.72</v>
      </c>
      <c r="P35" s="15"/>
      <c r="Q35" s="75"/>
      <c r="R35" s="55"/>
      <c r="S35" s="56"/>
      <c r="T35" s="56">
        <f>SUM(T32:T34)</f>
        <v>1300</v>
      </c>
      <c r="U35" s="57"/>
      <c r="V35" s="75">
        <f>SUM(V32:V34)</f>
        <v>9</v>
      </c>
    </row>
    <row r="36" spans="2:26" ht="18" thickTop="1" thickBot="1" x14ac:dyDescent="0.35">
      <c r="C36" s="38"/>
      <c r="D36" s="28"/>
      <c r="E36" s="28"/>
      <c r="F36" s="33"/>
      <c r="G36" s="33"/>
      <c r="H36" s="33"/>
      <c r="I36" s="28"/>
      <c r="J36" s="28"/>
      <c r="K36" s="33"/>
      <c r="L36" s="28"/>
      <c r="M36" s="35"/>
      <c r="N36" s="63" t="s">
        <v>154</v>
      </c>
      <c r="O36" s="64">
        <f>+O33+O34+O35</f>
        <v>2412.7199999999998</v>
      </c>
      <c r="Q36" s="75"/>
    </row>
    <row r="37" spans="2:26" ht="18" thickTop="1" thickBot="1" x14ac:dyDescent="0.35">
      <c r="C37" s="39"/>
      <c r="D37" s="40"/>
      <c r="E37" s="40"/>
      <c r="F37" s="40"/>
      <c r="G37" s="40"/>
      <c r="H37" s="40"/>
      <c r="I37" s="40"/>
      <c r="J37" s="40"/>
      <c r="K37" s="40"/>
      <c r="L37" s="40"/>
      <c r="M37" s="43"/>
      <c r="Q37" s="75"/>
      <c r="R37" s="1" t="s">
        <v>122</v>
      </c>
    </row>
    <row r="38" spans="2:26" x14ac:dyDescent="0.3">
      <c r="Q38" s="89" t="s">
        <v>123</v>
      </c>
      <c r="R38" s="1" t="s">
        <v>124</v>
      </c>
    </row>
    <row r="39" spans="2:26" x14ac:dyDescent="0.3">
      <c r="Q39" s="89"/>
    </row>
    <row r="40" spans="2:26" x14ac:dyDescent="0.3">
      <c r="C40" s="1" t="s">
        <v>156</v>
      </c>
      <c r="Q40" s="89"/>
    </row>
    <row r="41" spans="2:26" x14ac:dyDescent="0.3">
      <c r="F41" s="2" t="s">
        <v>157</v>
      </c>
      <c r="Q41" s="89"/>
    </row>
    <row r="42" spans="2:26" x14ac:dyDescent="0.3">
      <c r="Q42" s="89"/>
    </row>
    <row r="43" spans="2:26" x14ac:dyDescent="0.3">
      <c r="Q43" s="89"/>
    </row>
    <row r="44" spans="2:26" x14ac:dyDescent="0.3">
      <c r="F44" s="1" t="s">
        <v>158</v>
      </c>
      <c r="Q44" s="89"/>
    </row>
    <row r="45" spans="2:26" x14ac:dyDescent="0.3">
      <c r="Q45" s="89"/>
    </row>
    <row r="46" spans="2:26" x14ac:dyDescent="0.3">
      <c r="Q46" s="89"/>
    </row>
    <row r="47" spans="2:26" x14ac:dyDescent="0.3">
      <c r="Q47" s="89"/>
    </row>
    <row r="48" spans="2:26" x14ac:dyDescent="0.3">
      <c r="Q48" s="89"/>
    </row>
    <row r="49" spans="2:22" x14ac:dyDescent="0.3">
      <c r="Q49" s="89"/>
    </row>
    <row r="50" spans="2:22" x14ac:dyDescent="0.3">
      <c r="B50" s="1" t="s">
        <v>131</v>
      </c>
      <c r="Q50" s="71" t="s">
        <v>18</v>
      </c>
      <c r="R50" s="1" t="s">
        <v>125</v>
      </c>
    </row>
    <row r="51" spans="2:22" x14ac:dyDescent="0.3">
      <c r="B51" s="1" t="s">
        <v>59</v>
      </c>
      <c r="Q51" s="75"/>
      <c r="R51" s="74"/>
    </row>
    <row r="52" spans="2:22" x14ac:dyDescent="0.3">
      <c r="B52" s="1" t="s">
        <v>63</v>
      </c>
      <c r="P52" s="1" t="s">
        <v>68</v>
      </c>
      <c r="Q52" s="15">
        <v>86325</v>
      </c>
      <c r="R52" s="74">
        <f>+Q52-O31</f>
        <v>84108</v>
      </c>
      <c r="S52" s="15"/>
      <c r="T52" s="74"/>
    </row>
    <row r="53" spans="2:22" x14ac:dyDescent="0.3">
      <c r="B53" s="1" t="s">
        <v>146</v>
      </c>
      <c r="P53" s="1" t="s">
        <v>70</v>
      </c>
      <c r="Q53" s="15">
        <v>0</v>
      </c>
      <c r="R53" s="74"/>
      <c r="S53" s="15"/>
      <c r="T53" s="74"/>
      <c r="V53" s="15"/>
    </row>
    <row r="54" spans="2:22" x14ac:dyDescent="0.3">
      <c r="B54" s="1" t="s">
        <v>64</v>
      </c>
      <c r="P54" s="1" t="s">
        <v>69</v>
      </c>
      <c r="Q54" s="1">
        <v>81190</v>
      </c>
      <c r="R54" s="75">
        <f>+Q54-O33</f>
        <v>79559</v>
      </c>
      <c r="S54" s="15">
        <f>+Q54+Q55</f>
        <v>86375</v>
      </c>
      <c r="T54" s="74"/>
    </row>
    <row r="55" spans="2:22" x14ac:dyDescent="0.3">
      <c r="B55" s="1" t="s">
        <v>65</v>
      </c>
      <c r="P55" s="1" t="s">
        <v>71</v>
      </c>
      <c r="Q55" s="1">
        <v>5185</v>
      </c>
    </row>
    <row r="56" spans="2:22" x14ac:dyDescent="0.3">
      <c r="B56" s="1" t="s">
        <v>66</v>
      </c>
      <c r="P56" s="1" t="s">
        <v>72</v>
      </c>
      <c r="Q56" s="1">
        <v>9742.7999999999993</v>
      </c>
    </row>
    <row r="57" spans="2:22" x14ac:dyDescent="0.3">
      <c r="B57" s="1" t="s">
        <v>67</v>
      </c>
      <c r="P57" s="1" t="s">
        <v>73</v>
      </c>
      <c r="Q57" s="1">
        <v>96117.8</v>
      </c>
    </row>
    <row r="58" spans="2:22" x14ac:dyDescent="0.3">
      <c r="B58" s="1" t="s">
        <v>78</v>
      </c>
    </row>
    <row r="59" spans="2:22" x14ac:dyDescent="0.3">
      <c r="B59" s="2" t="s">
        <v>110</v>
      </c>
    </row>
    <row r="60" spans="2:22" x14ac:dyDescent="0.3">
      <c r="B60" s="2" t="s">
        <v>111</v>
      </c>
    </row>
    <row r="61" spans="2:22" x14ac:dyDescent="0.3">
      <c r="B61" s="2" t="s">
        <v>112</v>
      </c>
    </row>
    <row r="62" spans="2:22" s="81" customFormat="1" x14ac:dyDescent="0.3">
      <c r="B62" s="80" t="s">
        <v>89</v>
      </c>
    </row>
    <row r="63" spans="2:22" x14ac:dyDescent="0.3">
      <c r="C63" s="1" t="s">
        <v>90</v>
      </c>
    </row>
    <row r="64" spans="2:22" x14ac:dyDescent="0.3">
      <c r="D64" s="1" t="s">
        <v>92</v>
      </c>
      <c r="I64" s="1" t="s">
        <v>91</v>
      </c>
    </row>
    <row r="66" spans="2:25" x14ac:dyDescent="0.3">
      <c r="B66" s="1" t="s">
        <v>95</v>
      </c>
      <c r="L66" s="116" t="s">
        <v>105</v>
      </c>
      <c r="M66" s="116"/>
      <c r="N66" s="116"/>
      <c r="O66" s="116"/>
      <c r="P66" s="116"/>
    </row>
    <row r="67" spans="2:25" x14ac:dyDescent="0.3">
      <c r="C67" s="1" t="s">
        <v>93</v>
      </c>
      <c r="F67" s="15">
        <f>+O27</f>
        <v>350</v>
      </c>
      <c r="G67" s="15"/>
      <c r="H67" s="15"/>
      <c r="L67" s="115" t="s">
        <v>99</v>
      </c>
      <c r="M67" s="115"/>
      <c r="N67" s="115"/>
      <c r="P67" s="115" t="s">
        <v>103</v>
      </c>
      <c r="Q67" s="115"/>
      <c r="R67" s="115"/>
      <c r="T67" s="115" t="s">
        <v>104</v>
      </c>
      <c r="U67" s="115"/>
      <c r="V67" s="115"/>
      <c r="X67" s="1" t="s">
        <v>106</v>
      </c>
    </row>
    <row r="68" spans="2:25" x14ac:dyDescent="0.3">
      <c r="D68" s="1" t="s">
        <v>94</v>
      </c>
      <c r="I68" s="15">
        <f>+F67</f>
        <v>350</v>
      </c>
      <c r="L68" s="69" t="s">
        <v>100</v>
      </c>
      <c r="M68" s="69" t="s">
        <v>101</v>
      </c>
      <c r="N68" s="69" t="s">
        <v>102</v>
      </c>
      <c r="P68" s="69" t="s">
        <v>100</v>
      </c>
      <c r="Q68" s="69" t="s">
        <v>101</v>
      </c>
      <c r="R68" s="69" t="s">
        <v>102</v>
      </c>
      <c r="T68" s="69" t="s">
        <v>100</v>
      </c>
      <c r="U68" s="69" t="s">
        <v>101</v>
      </c>
      <c r="V68" s="69" t="s">
        <v>102</v>
      </c>
      <c r="X68" s="75">
        <f>+N69</f>
        <v>350</v>
      </c>
      <c r="Y68" s="75">
        <f>+R71</f>
        <v>300.75</v>
      </c>
    </row>
    <row r="69" spans="2:25" x14ac:dyDescent="0.3">
      <c r="L69" s="74">
        <f>+F27</f>
        <v>50</v>
      </c>
      <c r="M69" s="15">
        <f>+I27</f>
        <v>7</v>
      </c>
      <c r="N69" s="75">
        <f>+L69*M69</f>
        <v>350</v>
      </c>
      <c r="T69" s="74">
        <f>+L69</f>
        <v>50</v>
      </c>
      <c r="U69" s="15">
        <f>+V69/T69</f>
        <v>7</v>
      </c>
      <c r="V69" s="75">
        <f>+N69</f>
        <v>350</v>
      </c>
      <c r="X69" s="75">
        <f>+N70</f>
        <v>51</v>
      </c>
      <c r="Y69" s="75">
        <f>+R72</f>
        <v>100.25</v>
      </c>
    </row>
    <row r="70" spans="2:25" x14ac:dyDescent="0.3">
      <c r="B70" s="1" t="s">
        <v>96</v>
      </c>
      <c r="L70" s="74">
        <v>30</v>
      </c>
      <c r="M70" s="15">
        <v>1.7</v>
      </c>
      <c r="N70" s="75">
        <f>+L70*M70</f>
        <v>51</v>
      </c>
      <c r="T70" s="74">
        <f>+T69+L70</f>
        <v>80</v>
      </c>
      <c r="U70" s="15">
        <f>+V70/T70</f>
        <v>5.0125000000000002</v>
      </c>
      <c r="V70" s="75">
        <f>+V69+N70</f>
        <v>401</v>
      </c>
    </row>
    <row r="71" spans="2:25" x14ac:dyDescent="0.3">
      <c r="C71" s="1" t="s">
        <v>97</v>
      </c>
      <c r="F71" s="15">
        <f>+V70</f>
        <v>401</v>
      </c>
      <c r="G71" s="15"/>
      <c r="H71" s="15"/>
      <c r="P71" s="1">
        <v>60</v>
      </c>
      <c r="Q71" s="15">
        <f>+U70</f>
        <v>5.0125000000000002</v>
      </c>
      <c r="R71" s="75">
        <f>+P71*Q71</f>
        <v>300.75</v>
      </c>
      <c r="T71" s="74">
        <f>+T70-P71</f>
        <v>20</v>
      </c>
      <c r="U71" s="15">
        <f>+V71/T71</f>
        <v>5.0125000000000002</v>
      </c>
      <c r="V71" s="75">
        <f>+V70-R71</f>
        <v>100.25</v>
      </c>
      <c r="X71" s="75">
        <f>SUM(X68:X69)</f>
        <v>401</v>
      </c>
      <c r="Y71" s="75">
        <f>SUM(Y68:Y69)</f>
        <v>401</v>
      </c>
    </row>
    <row r="72" spans="2:25" x14ac:dyDescent="0.3">
      <c r="D72" s="1" t="str">
        <f>+C67</f>
        <v xml:space="preserve">Inventario Consumo </v>
      </c>
      <c r="I72" s="15">
        <f>+V70</f>
        <v>401</v>
      </c>
      <c r="P72" s="1">
        <v>20</v>
      </c>
      <c r="Q72" s="15">
        <f>+Q71</f>
        <v>5.0125000000000002</v>
      </c>
      <c r="R72" s="75">
        <f>+P72*Q72</f>
        <v>100.25</v>
      </c>
      <c r="T72" s="74">
        <f>+T71-P72</f>
        <v>0</v>
      </c>
      <c r="U72" s="15">
        <v>0</v>
      </c>
      <c r="V72" s="75">
        <f>+V71-R72</f>
        <v>0</v>
      </c>
    </row>
    <row r="73" spans="2:25" x14ac:dyDescent="0.3">
      <c r="U73" s="15"/>
    </row>
    <row r="76" spans="2:25" s="81" customFormat="1" x14ac:dyDescent="0.3">
      <c r="B76" s="80" t="s">
        <v>98</v>
      </c>
    </row>
    <row r="78" spans="2:25" x14ac:dyDescent="0.3">
      <c r="B78" s="1" t="s">
        <v>95</v>
      </c>
      <c r="C78" s="3" t="s">
        <v>107</v>
      </c>
      <c r="D78" s="2"/>
      <c r="E78" s="2"/>
      <c r="F78" s="2">
        <v>80</v>
      </c>
      <c r="G78" s="2"/>
      <c r="H78" s="2"/>
      <c r="I78" s="2"/>
    </row>
    <row r="79" spans="2:25" x14ac:dyDescent="0.3">
      <c r="C79" s="2"/>
      <c r="D79" s="2" t="s">
        <v>94</v>
      </c>
      <c r="E79" s="2"/>
      <c r="F79" s="2"/>
      <c r="G79" s="2"/>
      <c r="H79" s="2"/>
      <c r="I79" s="2">
        <f>+F78</f>
        <v>80</v>
      </c>
      <c r="L79" s="1">
        <v>50</v>
      </c>
    </row>
    <row r="81" spans="16:28" x14ac:dyDescent="0.3">
      <c r="T81" s="115" t="s">
        <v>159</v>
      </c>
      <c r="U81" s="115"/>
      <c r="V81" s="115"/>
      <c r="W81" s="115" t="s">
        <v>160</v>
      </c>
      <c r="X81" s="115"/>
      <c r="Y81" s="115"/>
      <c r="Z81" s="115" t="s">
        <v>161</v>
      </c>
      <c r="AA81" s="115"/>
      <c r="AB81" s="115"/>
    </row>
    <row r="82" spans="16:28" x14ac:dyDescent="0.3">
      <c r="P82" s="1" t="s">
        <v>162</v>
      </c>
      <c r="Q82" s="1" t="s">
        <v>163</v>
      </c>
      <c r="T82" s="108" t="s">
        <v>100</v>
      </c>
      <c r="U82" s="108" t="s">
        <v>101</v>
      </c>
      <c r="V82" s="108" t="s">
        <v>102</v>
      </c>
      <c r="W82" s="108" t="s">
        <v>100</v>
      </c>
      <c r="X82" s="108" t="s">
        <v>101</v>
      </c>
      <c r="Y82" s="108" t="s">
        <v>102</v>
      </c>
      <c r="Z82" s="108" t="s">
        <v>100</v>
      </c>
      <c r="AA82" s="108" t="s">
        <v>101</v>
      </c>
      <c r="AB82" s="108" t="s">
        <v>102</v>
      </c>
    </row>
    <row r="83" spans="16:28" x14ac:dyDescent="0.3">
      <c r="T83" s="74"/>
      <c r="U83" s="15"/>
      <c r="V83" s="75"/>
      <c r="W83" s="74">
        <f>+O83</f>
        <v>0</v>
      </c>
      <c r="X83" s="15" t="e">
        <f>+Y83/W83</f>
        <v>#DIV/0!</v>
      </c>
      <c r="Y83" s="75">
        <f>+Q83</f>
        <v>0</v>
      </c>
      <c r="Z83" s="74">
        <f>+R83</f>
        <v>0</v>
      </c>
      <c r="AA83" s="15" t="e">
        <f>+AB83/Z83</f>
        <v>#DIV/0!</v>
      </c>
      <c r="AB83" s="75">
        <f>+T83</f>
        <v>0</v>
      </c>
    </row>
    <row r="84" spans="16:28" x14ac:dyDescent="0.3">
      <c r="T84" s="74"/>
      <c r="U84" s="15"/>
      <c r="V84" s="75"/>
      <c r="W84" s="74">
        <f>+W83+O84</f>
        <v>0</v>
      </c>
      <c r="X84" s="15" t="e">
        <f>+Y84/W84</f>
        <v>#DIV/0!</v>
      </c>
      <c r="Y84" s="75">
        <f>+Y83+Q84</f>
        <v>0</v>
      </c>
      <c r="Z84" s="74">
        <f>+Z83+R84</f>
        <v>0</v>
      </c>
      <c r="AA84" s="15" t="e">
        <f>+AB84/Z84</f>
        <v>#DIV/0!</v>
      </c>
      <c r="AB84" s="75">
        <f>+AB83+T84</f>
        <v>0</v>
      </c>
    </row>
    <row r="85" spans="16:28" x14ac:dyDescent="0.3">
      <c r="Q85" s="1" t="s">
        <v>164</v>
      </c>
      <c r="T85" s="74"/>
      <c r="U85" s="15"/>
      <c r="V85" s="75"/>
      <c r="W85" s="124">
        <v>3</v>
      </c>
      <c r="X85" s="125">
        <f>+Y85/W85</f>
        <v>0</v>
      </c>
      <c r="Y85" s="77">
        <f>+Y84-U85</f>
        <v>0</v>
      </c>
      <c r="Z85" s="124">
        <f>+Z84-V85</f>
        <v>0</v>
      </c>
      <c r="AA85" s="125" t="e">
        <f>+AB85/Z85</f>
        <v>#DIV/0!</v>
      </c>
      <c r="AB85" s="77">
        <f>+AB84-X85</f>
        <v>0</v>
      </c>
    </row>
    <row r="86" spans="16:28" x14ac:dyDescent="0.3">
      <c r="T86" s="74"/>
      <c r="U86" s="15"/>
      <c r="V86" s="75"/>
      <c r="W86" s="74">
        <f>+W85-S86</f>
        <v>3</v>
      </c>
      <c r="X86" s="15">
        <v>0</v>
      </c>
      <c r="Y86" s="75">
        <f>+Y85-U86</f>
        <v>0</v>
      </c>
      <c r="Z86" s="74">
        <f>+Z85-V86</f>
        <v>0</v>
      </c>
      <c r="AA86" s="15">
        <v>0</v>
      </c>
      <c r="AB86" s="75">
        <f>+AB85-X86</f>
        <v>0</v>
      </c>
    </row>
    <row r="87" spans="16:28" x14ac:dyDescent="0.3">
      <c r="U87" s="15"/>
    </row>
  </sheetData>
  <mergeCells count="21">
    <mergeCell ref="T81:V81"/>
    <mergeCell ref="W81:Y81"/>
    <mergeCell ref="Z81:AB81"/>
    <mergeCell ref="L67:N67"/>
    <mergeCell ref="P67:R67"/>
    <mergeCell ref="T67:V67"/>
    <mergeCell ref="L66:P66"/>
    <mergeCell ref="M2:N2"/>
    <mergeCell ref="K2:L2"/>
    <mergeCell ref="N16:P16"/>
    <mergeCell ref="P4:P5"/>
    <mergeCell ref="C17:E17"/>
    <mergeCell ref="C5:E5"/>
    <mergeCell ref="K5:M5"/>
    <mergeCell ref="C4:E4"/>
    <mergeCell ref="K4:M4"/>
    <mergeCell ref="K17:L17"/>
    <mergeCell ref="D7:E7"/>
    <mergeCell ref="J7:K7"/>
    <mergeCell ref="B7:C7"/>
    <mergeCell ref="F11:G11"/>
  </mergeCells>
  <conditionalFormatting sqref="O31:O36">
    <cfRule type="top10" dxfId="0" priority="1" percent="1" rank="10"/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45"/>
  <sheetViews>
    <sheetView topLeftCell="C11" workbookViewId="0">
      <selection activeCell="C11" sqref="A1:XFD1048576"/>
    </sheetView>
  </sheetViews>
  <sheetFormatPr baseColWidth="10" defaultRowHeight="15" x14ac:dyDescent="0.25"/>
  <cols>
    <col min="3" max="3" width="10.85546875" bestFit="1" customWidth="1"/>
    <col min="4" max="4" width="7.42578125" bestFit="1" customWidth="1"/>
    <col min="5" max="5" width="13" bestFit="1" customWidth="1"/>
    <col min="6" max="6" width="3.7109375" bestFit="1" customWidth="1"/>
    <col min="7" max="7" width="8.85546875" bestFit="1" customWidth="1"/>
    <col min="8" max="8" width="13.5703125" bestFit="1" customWidth="1"/>
    <col min="9" max="9" width="13.5703125" customWidth="1"/>
    <col min="10" max="10" width="8" bestFit="1" customWidth="1"/>
    <col min="11" max="12" width="8.140625" bestFit="1" customWidth="1"/>
    <col min="13" max="13" width="11" bestFit="1" customWidth="1"/>
    <col min="15" max="15" width="12.7109375" bestFit="1" customWidth="1"/>
    <col min="16" max="16" width="16" customWidth="1"/>
  </cols>
  <sheetData>
    <row r="1" spans="3:13" ht="16.5" x14ac:dyDescent="0.3">
      <c r="E1" t="s">
        <v>39</v>
      </c>
      <c r="G1" s="15">
        <v>20</v>
      </c>
      <c r="H1" s="18">
        <v>0.12</v>
      </c>
      <c r="I1" s="18"/>
    </row>
    <row r="2" spans="3:13" ht="16.5" x14ac:dyDescent="0.3">
      <c r="E2" t="s">
        <v>39</v>
      </c>
      <c r="G2" s="15">
        <v>30</v>
      </c>
      <c r="H2">
        <v>0</v>
      </c>
    </row>
    <row r="4" spans="3:13" ht="16.5" x14ac:dyDescent="0.3">
      <c r="C4" s="13" t="s">
        <v>13</v>
      </c>
      <c r="D4" s="13" t="s">
        <v>15</v>
      </c>
      <c r="E4" s="13" t="s">
        <v>17</v>
      </c>
      <c r="F4" s="2" t="s">
        <v>20</v>
      </c>
      <c r="G4" s="13" t="s">
        <v>21</v>
      </c>
      <c r="H4" s="13" t="s">
        <v>22</v>
      </c>
      <c r="I4" s="13"/>
      <c r="J4" s="13" t="s">
        <v>23</v>
      </c>
      <c r="K4" s="13" t="s">
        <v>24</v>
      </c>
      <c r="L4" s="13" t="s">
        <v>25</v>
      </c>
      <c r="M4" s="13" t="s">
        <v>26</v>
      </c>
    </row>
    <row r="5" spans="3:13" ht="16.5" x14ac:dyDescent="0.3">
      <c r="C5" s="4" t="s">
        <v>14</v>
      </c>
      <c r="D5" s="4" t="s">
        <v>16</v>
      </c>
      <c r="E5" s="4" t="s">
        <v>18</v>
      </c>
      <c r="F5" s="4" t="s">
        <v>33</v>
      </c>
      <c r="G5" s="14">
        <v>60</v>
      </c>
      <c r="H5" s="15">
        <v>150</v>
      </c>
      <c r="I5" s="15"/>
      <c r="J5" s="16">
        <v>0</v>
      </c>
      <c r="K5" s="17">
        <v>0</v>
      </c>
      <c r="L5" s="16">
        <v>0.12</v>
      </c>
      <c r="M5" s="15">
        <f>+G5*H5</f>
        <v>9000</v>
      </c>
    </row>
    <row r="6" spans="3:13" ht="16.5" x14ac:dyDescent="0.3">
      <c r="C6" s="4" t="s">
        <v>30</v>
      </c>
      <c r="D6" s="4" t="s">
        <v>31</v>
      </c>
      <c r="E6" s="4" t="s">
        <v>18</v>
      </c>
      <c r="F6" s="4" t="s">
        <v>19</v>
      </c>
      <c r="G6" s="14">
        <v>50</v>
      </c>
      <c r="H6" s="15">
        <f>+M6/G6</f>
        <v>1.6</v>
      </c>
      <c r="I6" s="15"/>
      <c r="J6" s="16">
        <v>0</v>
      </c>
      <c r="K6" s="17">
        <v>0</v>
      </c>
      <c r="L6" s="16">
        <v>0.12</v>
      </c>
      <c r="M6" s="15">
        <v>80</v>
      </c>
    </row>
    <row r="7" spans="3:13" ht="16.5" x14ac:dyDescent="0.3">
      <c r="C7" s="4" t="s">
        <v>34</v>
      </c>
      <c r="D7" s="4" t="s">
        <v>31</v>
      </c>
      <c r="E7" s="4" t="s">
        <v>18</v>
      </c>
      <c r="F7" s="4" t="s">
        <v>32</v>
      </c>
      <c r="G7" s="14">
        <v>2</v>
      </c>
      <c r="H7" s="15">
        <v>400</v>
      </c>
      <c r="I7" s="15"/>
      <c r="J7" s="16">
        <v>0</v>
      </c>
      <c r="K7" s="17">
        <v>0</v>
      </c>
      <c r="L7" s="16">
        <v>0.12</v>
      </c>
      <c r="M7" s="15">
        <f>+G7*H7</f>
        <v>800</v>
      </c>
    </row>
    <row r="8" spans="3:13" ht="16.5" x14ac:dyDescent="0.3">
      <c r="C8" s="4" t="s">
        <v>40</v>
      </c>
      <c r="H8" s="15">
        <v>20</v>
      </c>
      <c r="I8" s="15"/>
      <c r="J8" s="16">
        <v>0</v>
      </c>
      <c r="K8" s="17">
        <v>0</v>
      </c>
      <c r="L8" s="16">
        <v>0.12</v>
      </c>
      <c r="M8" s="15">
        <f>+H8</f>
        <v>20</v>
      </c>
    </row>
    <row r="10" spans="3:13" ht="16.5" x14ac:dyDescent="0.3">
      <c r="K10" s="4" t="s">
        <v>41</v>
      </c>
      <c r="M10" s="15">
        <f>SUM(M5:M8)</f>
        <v>9900</v>
      </c>
    </row>
    <row r="11" spans="3:13" ht="16.5" x14ac:dyDescent="0.3">
      <c r="K11" s="4" t="s">
        <v>42</v>
      </c>
      <c r="M11" s="15">
        <v>0</v>
      </c>
    </row>
    <row r="12" spans="3:13" ht="16.5" x14ac:dyDescent="0.3">
      <c r="K12" s="4" t="s">
        <v>43</v>
      </c>
      <c r="M12" s="15">
        <f>+M10*0.12</f>
        <v>1188</v>
      </c>
    </row>
    <row r="13" spans="3:13" ht="16.5" x14ac:dyDescent="0.3">
      <c r="K13" s="4"/>
      <c r="M13" s="15"/>
    </row>
    <row r="14" spans="3:13" ht="16.5" x14ac:dyDescent="0.3">
      <c r="K14" s="4" t="s">
        <v>44</v>
      </c>
      <c r="M14" s="15">
        <f>+M10+M11+M12+M13</f>
        <v>11088</v>
      </c>
    </row>
    <row r="17" spans="2:18" x14ac:dyDescent="0.25">
      <c r="C17" t="s">
        <v>46</v>
      </c>
      <c r="G17">
        <v>20</v>
      </c>
    </row>
    <row r="18" spans="2:18" x14ac:dyDescent="0.25">
      <c r="B18" t="s">
        <v>45</v>
      </c>
    </row>
    <row r="19" spans="2:18" ht="16.5" x14ac:dyDescent="0.3">
      <c r="C19" s="13" t="s">
        <v>13</v>
      </c>
      <c r="D19" s="13" t="s">
        <v>15</v>
      </c>
      <c r="E19" s="13" t="s">
        <v>17</v>
      </c>
      <c r="F19" s="2" t="s">
        <v>20</v>
      </c>
      <c r="G19" s="13" t="s">
        <v>21</v>
      </c>
      <c r="H19" s="13" t="s">
        <v>22</v>
      </c>
      <c r="I19" s="13" t="s">
        <v>51</v>
      </c>
      <c r="J19" s="13" t="s">
        <v>23</v>
      </c>
      <c r="K19" s="13" t="s">
        <v>24</v>
      </c>
      <c r="L19" s="13" t="s">
        <v>25</v>
      </c>
      <c r="M19" s="13" t="s">
        <v>26</v>
      </c>
    </row>
    <row r="20" spans="2:18" ht="16.5" x14ac:dyDescent="0.3">
      <c r="C20" s="4" t="s">
        <v>14</v>
      </c>
      <c r="D20" s="4" t="s">
        <v>16</v>
      </c>
      <c r="E20" s="4" t="s">
        <v>18</v>
      </c>
      <c r="F20" s="4" t="s">
        <v>33</v>
      </c>
      <c r="G20" s="14">
        <v>60</v>
      </c>
      <c r="H20" s="15">
        <v>150</v>
      </c>
      <c r="I20" s="15">
        <f>+R25</f>
        <v>0.33333333333333331</v>
      </c>
      <c r="J20" s="16">
        <v>0</v>
      </c>
      <c r="K20" s="17">
        <v>0</v>
      </c>
      <c r="L20" s="16">
        <v>0.12</v>
      </c>
      <c r="M20" s="15">
        <f>(H20+I20)*G20</f>
        <v>9020</v>
      </c>
      <c r="O20" t="s">
        <v>48</v>
      </c>
      <c r="P20" t="s">
        <v>49</v>
      </c>
    </row>
    <row r="21" spans="2:18" ht="16.5" x14ac:dyDescent="0.3">
      <c r="C21" s="4" t="s">
        <v>30</v>
      </c>
      <c r="D21" s="4" t="s">
        <v>31</v>
      </c>
      <c r="E21" s="4" t="s">
        <v>18</v>
      </c>
      <c r="F21" s="4" t="s">
        <v>19</v>
      </c>
      <c r="G21" s="14">
        <v>50</v>
      </c>
      <c r="H21" s="15">
        <f>+M21/G21</f>
        <v>1.6</v>
      </c>
      <c r="I21" s="15">
        <v>0</v>
      </c>
      <c r="J21" s="16">
        <v>0</v>
      </c>
      <c r="K21" s="17">
        <v>0</v>
      </c>
      <c r="L21" s="16">
        <v>0.12</v>
      </c>
      <c r="M21" s="15">
        <v>80</v>
      </c>
      <c r="O21" s="13" t="s">
        <v>47</v>
      </c>
      <c r="P21" s="20">
        <f>+G20</f>
        <v>60</v>
      </c>
    </row>
    <row r="22" spans="2:18" ht="16.5" x14ac:dyDescent="0.3">
      <c r="C22" s="4" t="s">
        <v>34</v>
      </c>
      <c r="D22" s="4" t="s">
        <v>31</v>
      </c>
      <c r="E22" s="4" t="s">
        <v>18</v>
      </c>
      <c r="F22" s="4" t="s">
        <v>32</v>
      </c>
      <c r="G22" s="14">
        <v>2</v>
      </c>
      <c r="H22" s="15">
        <v>400</v>
      </c>
      <c r="I22" s="15">
        <v>0</v>
      </c>
      <c r="J22" s="16">
        <v>0</v>
      </c>
      <c r="K22" s="17">
        <v>0</v>
      </c>
      <c r="L22" s="16">
        <v>0.12</v>
      </c>
      <c r="M22" s="15">
        <f>+G22*H22</f>
        <v>800</v>
      </c>
    </row>
    <row r="23" spans="2:18" ht="16.5" x14ac:dyDescent="0.3">
      <c r="C23" s="4"/>
      <c r="H23" s="15"/>
      <c r="I23" s="15"/>
      <c r="J23" s="16"/>
      <c r="K23" s="17"/>
      <c r="L23" s="16"/>
      <c r="M23" s="15"/>
      <c r="O23" t="s">
        <v>50</v>
      </c>
      <c r="P23" s="20">
        <f>+G20</f>
        <v>60</v>
      </c>
      <c r="Q23">
        <v>20</v>
      </c>
    </row>
    <row r="24" spans="2:18" x14ac:dyDescent="0.25">
      <c r="P24">
        <v>1</v>
      </c>
      <c r="R24">
        <f>+P24*Q23</f>
        <v>20</v>
      </c>
    </row>
    <row r="25" spans="2:18" ht="16.5" x14ac:dyDescent="0.3">
      <c r="K25" s="4" t="s">
        <v>41</v>
      </c>
      <c r="M25" s="15">
        <f>SUM(M20:M23)</f>
        <v>9900</v>
      </c>
      <c r="R25">
        <f>+R24/P23</f>
        <v>0.33333333333333331</v>
      </c>
    </row>
    <row r="26" spans="2:18" ht="16.5" x14ac:dyDescent="0.3">
      <c r="K26" s="4" t="s">
        <v>42</v>
      </c>
      <c r="M26" s="15">
        <v>0</v>
      </c>
    </row>
    <row r="27" spans="2:18" ht="16.5" x14ac:dyDescent="0.3">
      <c r="K27" s="4" t="s">
        <v>43</v>
      </c>
      <c r="M27" s="15">
        <f>+M25*0.12</f>
        <v>1188</v>
      </c>
    </row>
    <row r="28" spans="2:18" ht="16.5" x14ac:dyDescent="0.3">
      <c r="K28" s="4"/>
      <c r="M28" s="15"/>
    </row>
    <row r="29" spans="2:18" ht="16.5" x14ac:dyDescent="0.3">
      <c r="K29" s="4" t="s">
        <v>44</v>
      </c>
      <c r="M29" s="15">
        <f>+M25+M26+M27+M28</f>
        <v>11088</v>
      </c>
    </row>
    <row r="33" spans="3:19" x14ac:dyDescent="0.25">
      <c r="D33" t="s">
        <v>46</v>
      </c>
      <c r="H33">
        <v>20</v>
      </c>
    </row>
    <row r="34" spans="3:19" x14ac:dyDescent="0.25">
      <c r="C34" t="s">
        <v>45</v>
      </c>
    </row>
    <row r="35" spans="3:19" ht="16.5" x14ac:dyDescent="0.3">
      <c r="D35" s="13" t="s">
        <v>13</v>
      </c>
      <c r="E35" s="13" t="s">
        <v>15</v>
      </c>
      <c r="F35" s="13" t="s">
        <v>17</v>
      </c>
      <c r="G35" s="2" t="s">
        <v>20</v>
      </c>
      <c r="H35" s="13" t="s">
        <v>21</v>
      </c>
      <c r="I35" s="13" t="s">
        <v>22</v>
      </c>
      <c r="J35" s="13" t="s">
        <v>51</v>
      </c>
      <c r="K35" s="13" t="s">
        <v>23</v>
      </c>
      <c r="L35" s="13" t="s">
        <v>24</v>
      </c>
      <c r="M35" s="13" t="s">
        <v>25</v>
      </c>
      <c r="N35" s="13" t="s">
        <v>26</v>
      </c>
    </row>
    <row r="36" spans="3:19" ht="16.5" x14ac:dyDescent="0.3">
      <c r="D36" s="4" t="s">
        <v>14</v>
      </c>
      <c r="E36" s="4" t="s">
        <v>54</v>
      </c>
      <c r="F36" s="4" t="s">
        <v>18</v>
      </c>
      <c r="G36" s="4" t="s">
        <v>33</v>
      </c>
      <c r="H36" s="14">
        <v>60</v>
      </c>
      <c r="I36" s="15">
        <v>150</v>
      </c>
      <c r="J36" s="15">
        <f>+S41</f>
        <v>0.17857142857142858</v>
      </c>
      <c r="K36" s="16">
        <v>0</v>
      </c>
      <c r="L36" s="17">
        <v>0</v>
      </c>
      <c r="M36" s="16">
        <v>0.12</v>
      </c>
      <c r="N36" s="15">
        <f>(I36+J36)*H36</f>
        <v>9010.7142857142844</v>
      </c>
      <c r="P36" t="s">
        <v>48</v>
      </c>
      <c r="Q36" t="s">
        <v>49</v>
      </c>
    </row>
    <row r="37" spans="3:19" ht="16.5" x14ac:dyDescent="0.3">
      <c r="D37" s="4" t="s">
        <v>52</v>
      </c>
      <c r="E37" s="4" t="s">
        <v>54</v>
      </c>
      <c r="F37" s="4" t="s">
        <v>18</v>
      </c>
      <c r="G37" s="4" t="s">
        <v>33</v>
      </c>
      <c r="H37" s="14">
        <v>50</v>
      </c>
      <c r="I37" s="15">
        <v>1.6</v>
      </c>
      <c r="J37" s="15">
        <f>+S41</f>
        <v>0.17857142857142858</v>
      </c>
      <c r="K37" s="16">
        <v>0</v>
      </c>
      <c r="L37" s="17">
        <v>0</v>
      </c>
      <c r="M37" s="16">
        <v>0.12</v>
      </c>
      <c r="N37" s="15">
        <f>(I37+J37)*H37</f>
        <v>88.928571428571431</v>
      </c>
      <c r="P37" s="13" t="s">
        <v>47</v>
      </c>
      <c r="Q37" s="20">
        <f>SUM(H36:H38)</f>
        <v>112</v>
      </c>
    </row>
    <row r="38" spans="3:19" ht="16.5" x14ac:dyDescent="0.3">
      <c r="D38" s="4" t="s">
        <v>53</v>
      </c>
      <c r="E38" s="4" t="s">
        <v>54</v>
      </c>
      <c r="F38" s="4" t="s">
        <v>18</v>
      </c>
      <c r="G38" s="4" t="s">
        <v>33</v>
      </c>
      <c r="H38" s="14">
        <v>2</v>
      </c>
      <c r="I38" s="15">
        <v>400</v>
      </c>
      <c r="J38" s="15">
        <f>+S41</f>
        <v>0.17857142857142858</v>
      </c>
      <c r="K38" s="16">
        <v>0</v>
      </c>
      <c r="L38" s="17">
        <v>0</v>
      </c>
      <c r="M38" s="16">
        <v>0.12</v>
      </c>
      <c r="N38" s="15">
        <f>(I38+J38)*H38</f>
        <v>800.35714285714289</v>
      </c>
    </row>
    <row r="39" spans="3:19" ht="16.5" x14ac:dyDescent="0.3">
      <c r="D39" s="4"/>
      <c r="I39" s="15"/>
      <c r="J39" s="15"/>
      <c r="K39" s="16"/>
      <c r="L39" s="17"/>
      <c r="M39" s="16"/>
      <c r="N39" s="15"/>
      <c r="P39" t="s">
        <v>50</v>
      </c>
      <c r="Q39" s="20">
        <f>+Q37</f>
        <v>112</v>
      </c>
      <c r="R39">
        <v>20</v>
      </c>
    </row>
    <row r="40" spans="3:19" x14ac:dyDescent="0.25">
      <c r="Q40" s="19">
        <v>1</v>
      </c>
      <c r="S40">
        <f>+Q40*R39</f>
        <v>20</v>
      </c>
    </row>
    <row r="41" spans="3:19" ht="16.5" x14ac:dyDescent="0.3">
      <c r="L41" s="4" t="s">
        <v>41</v>
      </c>
      <c r="N41" s="15">
        <f>SUM(N36:N39)</f>
        <v>9899.9999999999982</v>
      </c>
      <c r="S41">
        <f>+S40/Q39</f>
        <v>0.17857142857142858</v>
      </c>
    </row>
    <row r="42" spans="3:19" ht="16.5" x14ac:dyDescent="0.3">
      <c r="J42" s="19"/>
      <c r="L42" s="4" t="s">
        <v>42</v>
      </c>
      <c r="N42" s="15">
        <v>0</v>
      </c>
    </row>
    <row r="43" spans="3:19" ht="16.5" x14ac:dyDescent="0.3">
      <c r="J43" s="19"/>
      <c r="L43" s="4" t="s">
        <v>43</v>
      </c>
      <c r="N43" s="15">
        <f>+N41*0.12</f>
        <v>1187.9999999999998</v>
      </c>
    </row>
    <row r="44" spans="3:19" ht="16.5" x14ac:dyDescent="0.3">
      <c r="J44" s="19"/>
      <c r="L44" s="4"/>
      <c r="N44" s="15"/>
    </row>
    <row r="45" spans="3:19" ht="16.5" x14ac:dyDescent="0.3">
      <c r="L45" s="4" t="s">
        <v>44</v>
      </c>
      <c r="N45" s="15">
        <f>+N41+N42+N43+N44</f>
        <v>11087.999999999998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9"/>
  <sheetViews>
    <sheetView topLeftCell="E10" workbookViewId="0">
      <selection activeCell="I32" sqref="I32"/>
    </sheetView>
  </sheetViews>
  <sheetFormatPr baseColWidth="10" defaultRowHeight="15" x14ac:dyDescent="0.25"/>
  <cols>
    <col min="3" max="3" width="10.85546875" bestFit="1" customWidth="1"/>
    <col min="4" max="4" width="7.42578125" bestFit="1" customWidth="1"/>
    <col min="5" max="5" width="13" bestFit="1" customWidth="1"/>
    <col min="6" max="6" width="3.7109375" bestFit="1" customWidth="1"/>
    <col min="7" max="7" width="8.85546875" bestFit="1" customWidth="1"/>
    <col min="8" max="8" width="13.5703125" bestFit="1" customWidth="1"/>
    <col min="9" max="9" width="13.5703125" customWidth="1"/>
    <col min="10" max="10" width="12.42578125" customWidth="1"/>
    <col min="11" max="12" width="8.140625" bestFit="1" customWidth="1"/>
    <col min="13" max="13" width="11" bestFit="1" customWidth="1"/>
    <col min="15" max="15" width="12.7109375" bestFit="1" customWidth="1"/>
    <col min="16" max="16" width="16" customWidth="1"/>
  </cols>
  <sheetData>
    <row r="1" spans="3:13" ht="16.5" x14ac:dyDescent="0.3">
      <c r="E1" t="s">
        <v>39</v>
      </c>
      <c r="G1" s="15"/>
      <c r="H1" s="18">
        <v>0</v>
      </c>
      <c r="I1" s="18"/>
    </row>
    <row r="2" spans="3:13" ht="16.5" x14ac:dyDescent="0.3">
      <c r="E2" t="s">
        <v>39</v>
      </c>
      <c r="G2" s="15">
        <v>30</v>
      </c>
      <c r="H2">
        <v>0</v>
      </c>
    </row>
    <row r="4" spans="3:13" ht="16.5" x14ac:dyDescent="0.3">
      <c r="C4" s="13" t="s">
        <v>13</v>
      </c>
      <c r="D4" s="13" t="s">
        <v>15</v>
      </c>
      <c r="E4" s="13" t="s">
        <v>17</v>
      </c>
      <c r="F4" s="2" t="s">
        <v>20</v>
      </c>
      <c r="G4" s="13" t="s">
        <v>21</v>
      </c>
      <c r="H4" s="13" t="s">
        <v>22</v>
      </c>
      <c r="I4" s="13"/>
      <c r="J4" s="13" t="s">
        <v>23</v>
      </c>
      <c r="K4" s="13" t="s">
        <v>24</v>
      </c>
      <c r="L4" s="13" t="s">
        <v>25</v>
      </c>
      <c r="M4" s="13" t="s">
        <v>26</v>
      </c>
    </row>
    <row r="5" spans="3:13" ht="16.5" x14ac:dyDescent="0.3">
      <c r="C5" s="4" t="s">
        <v>14</v>
      </c>
      <c r="D5" s="4" t="s">
        <v>16</v>
      </c>
      <c r="E5" s="4" t="s">
        <v>18</v>
      </c>
      <c r="F5" s="4" t="s">
        <v>33</v>
      </c>
      <c r="G5" s="14">
        <v>60</v>
      </c>
      <c r="H5" s="15">
        <v>150</v>
      </c>
      <c r="I5" s="15"/>
      <c r="J5" s="16">
        <v>0</v>
      </c>
      <c r="K5" s="17">
        <v>0</v>
      </c>
      <c r="L5" s="16">
        <v>0.12</v>
      </c>
      <c r="M5" s="15">
        <f>+G5*H5</f>
        <v>9000</v>
      </c>
    </row>
    <row r="6" spans="3:13" ht="16.5" x14ac:dyDescent="0.3">
      <c r="C6" s="4" t="s">
        <v>30</v>
      </c>
      <c r="D6" s="4" t="s">
        <v>31</v>
      </c>
      <c r="E6" s="4" t="s">
        <v>18</v>
      </c>
      <c r="F6" s="4" t="s">
        <v>19</v>
      </c>
      <c r="G6" s="14">
        <v>50</v>
      </c>
      <c r="H6" s="15">
        <f>+M6/G6</f>
        <v>1.6</v>
      </c>
      <c r="I6" s="15"/>
      <c r="J6" s="16">
        <v>0</v>
      </c>
      <c r="K6" s="17">
        <v>0</v>
      </c>
      <c r="L6" s="16">
        <v>0.12</v>
      </c>
      <c r="M6" s="15">
        <v>80</v>
      </c>
    </row>
    <row r="7" spans="3:13" ht="16.5" x14ac:dyDescent="0.3">
      <c r="C7" s="4" t="s">
        <v>34</v>
      </c>
      <c r="D7" s="4" t="s">
        <v>31</v>
      </c>
      <c r="E7" s="4" t="s">
        <v>18</v>
      </c>
      <c r="F7" s="4" t="s">
        <v>32</v>
      </c>
      <c r="G7" s="14">
        <v>2</v>
      </c>
      <c r="H7" s="15">
        <v>400</v>
      </c>
      <c r="I7" s="15"/>
      <c r="J7" s="16">
        <v>0</v>
      </c>
      <c r="K7" s="17">
        <v>0</v>
      </c>
      <c r="L7" s="16">
        <v>0.12</v>
      </c>
      <c r="M7" s="15">
        <f>+G7*H7</f>
        <v>800</v>
      </c>
    </row>
    <row r="8" spans="3:13" ht="16.5" x14ac:dyDescent="0.3">
      <c r="C8" s="4" t="s">
        <v>40</v>
      </c>
      <c r="H8" s="15">
        <v>30</v>
      </c>
      <c r="I8" s="15"/>
      <c r="J8" s="16">
        <v>0</v>
      </c>
      <c r="K8" s="17">
        <v>0</v>
      </c>
      <c r="L8" s="16">
        <v>0</v>
      </c>
      <c r="M8" s="15">
        <f>+H8</f>
        <v>30</v>
      </c>
    </row>
    <row r="10" spans="3:13" ht="16.5" x14ac:dyDescent="0.3">
      <c r="K10" s="4" t="s">
        <v>41</v>
      </c>
      <c r="M10" s="15">
        <f>SUM(M5:M7)</f>
        <v>9880</v>
      </c>
    </row>
    <row r="11" spans="3:13" ht="16.5" x14ac:dyDescent="0.3">
      <c r="K11" s="4" t="s">
        <v>42</v>
      </c>
      <c r="M11" s="15">
        <f>+M8</f>
        <v>30</v>
      </c>
    </row>
    <row r="12" spans="3:13" ht="16.5" x14ac:dyDescent="0.3">
      <c r="K12" s="4" t="s">
        <v>43</v>
      </c>
      <c r="M12" s="15">
        <f>+M10*0.12</f>
        <v>1185.5999999999999</v>
      </c>
    </row>
    <row r="13" spans="3:13" ht="16.5" x14ac:dyDescent="0.3">
      <c r="K13" s="4"/>
      <c r="M13" s="15"/>
    </row>
    <row r="14" spans="3:13" ht="16.5" x14ac:dyDescent="0.3">
      <c r="K14" s="4" t="s">
        <v>44</v>
      </c>
      <c r="M14" s="15">
        <f>+M10+M11+M12+M13</f>
        <v>11095.6</v>
      </c>
    </row>
    <row r="17" spans="2:19" x14ac:dyDescent="0.25">
      <c r="C17" t="s">
        <v>55</v>
      </c>
      <c r="G17">
        <v>30</v>
      </c>
    </row>
    <row r="18" spans="2:19" x14ac:dyDescent="0.25">
      <c r="B18" t="s">
        <v>45</v>
      </c>
    </row>
    <row r="19" spans="2:19" s="21" customFormat="1" ht="33" x14ac:dyDescent="0.25">
      <c r="C19" s="22" t="s">
        <v>13</v>
      </c>
      <c r="D19" s="22" t="s">
        <v>15</v>
      </c>
      <c r="E19" s="22" t="s">
        <v>17</v>
      </c>
      <c r="F19" s="22" t="s">
        <v>20</v>
      </c>
      <c r="G19" s="22" t="s">
        <v>21</v>
      </c>
      <c r="H19" s="22" t="s">
        <v>22</v>
      </c>
      <c r="I19" s="22" t="s">
        <v>56</v>
      </c>
      <c r="J19" s="22" t="s">
        <v>57</v>
      </c>
      <c r="K19" s="22" t="s">
        <v>23</v>
      </c>
      <c r="L19" s="22" t="s">
        <v>24</v>
      </c>
      <c r="M19" s="22" t="s">
        <v>25</v>
      </c>
      <c r="N19" s="22" t="s">
        <v>26</v>
      </c>
    </row>
    <row r="20" spans="2:19" ht="16.5" x14ac:dyDescent="0.3">
      <c r="C20" s="4" t="s">
        <v>14</v>
      </c>
      <c r="D20" s="4" t="s">
        <v>16</v>
      </c>
      <c r="E20" s="4" t="s">
        <v>18</v>
      </c>
      <c r="F20" s="4" t="s">
        <v>33</v>
      </c>
      <c r="G20" s="14">
        <v>60</v>
      </c>
      <c r="H20" s="15">
        <v>150</v>
      </c>
      <c r="I20" s="15">
        <v>0</v>
      </c>
      <c r="J20" s="15">
        <f>+S25</f>
        <v>0.26785714285714285</v>
      </c>
      <c r="K20" s="16">
        <v>0</v>
      </c>
      <c r="L20" s="17">
        <v>0</v>
      </c>
      <c r="M20" s="16">
        <v>0.12</v>
      </c>
      <c r="N20" s="15">
        <f>(H20+I20+J20)*G20</f>
        <v>9016.0714285714275</v>
      </c>
      <c r="P20" t="s">
        <v>48</v>
      </c>
      <c r="Q20" t="s">
        <v>49</v>
      </c>
    </row>
    <row r="21" spans="2:19" ht="16.5" x14ac:dyDescent="0.3">
      <c r="C21" s="4" t="s">
        <v>30</v>
      </c>
      <c r="D21" s="4" t="s">
        <v>31</v>
      </c>
      <c r="E21" s="4" t="s">
        <v>18</v>
      </c>
      <c r="F21" s="4" t="s">
        <v>19</v>
      </c>
      <c r="G21" s="14">
        <v>50</v>
      </c>
      <c r="H21" s="15">
        <v>1.6</v>
      </c>
      <c r="I21" s="15">
        <v>0</v>
      </c>
      <c r="J21" s="15">
        <f>+S25</f>
        <v>0.26785714285714285</v>
      </c>
      <c r="K21" s="16">
        <v>0</v>
      </c>
      <c r="L21" s="17">
        <v>0</v>
      </c>
      <c r="M21" s="16">
        <v>0.12</v>
      </c>
      <c r="N21" s="15">
        <f>(H21+I21+J21)*G21</f>
        <v>93.392857142857139</v>
      </c>
      <c r="P21" s="13" t="s">
        <v>47</v>
      </c>
      <c r="Q21" s="20">
        <v>112</v>
      </c>
    </row>
    <row r="22" spans="2:19" ht="16.5" x14ac:dyDescent="0.3">
      <c r="C22" s="4" t="s">
        <v>34</v>
      </c>
      <c r="D22" s="4" t="s">
        <v>31</v>
      </c>
      <c r="E22" s="4" t="s">
        <v>18</v>
      </c>
      <c r="F22" s="4" t="s">
        <v>32</v>
      </c>
      <c r="G22" s="14">
        <v>2</v>
      </c>
      <c r="H22" s="15">
        <v>400</v>
      </c>
      <c r="I22" s="15">
        <v>0</v>
      </c>
      <c r="J22" s="15">
        <f>+S25</f>
        <v>0.26785714285714285</v>
      </c>
      <c r="K22" s="16">
        <v>0</v>
      </c>
      <c r="L22" s="17">
        <v>0</v>
      </c>
      <c r="M22" s="16">
        <v>0.12</v>
      </c>
      <c r="N22" s="15">
        <f>(H22+I22+J22)*G22</f>
        <v>800.53571428571433</v>
      </c>
    </row>
    <row r="23" spans="2:19" ht="16.5" x14ac:dyDescent="0.3">
      <c r="C23" s="4"/>
      <c r="H23" s="15"/>
      <c r="I23" s="15"/>
      <c r="K23" s="16"/>
      <c r="L23" s="17"/>
      <c r="M23" s="16"/>
      <c r="N23" s="15"/>
      <c r="P23" t="s">
        <v>50</v>
      </c>
      <c r="Q23" s="20">
        <v>112</v>
      </c>
      <c r="R23">
        <v>30</v>
      </c>
    </row>
    <row r="24" spans="2:19" x14ac:dyDescent="0.25">
      <c r="Q24">
        <v>1</v>
      </c>
      <c r="S24">
        <f>+Q24*R23</f>
        <v>30</v>
      </c>
    </row>
    <row r="25" spans="2:19" ht="16.5" x14ac:dyDescent="0.3">
      <c r="L25" s="4" t="s">
        <v>41</v>
      </c>
      <c r="N25" s="15">
        <f>+(G20*H20)+(G21*H21)+(G22*H22)</f>
        <v>9880</v>
      </c>
      <c r="S25">
        <f>+S24/Q23</f>
        <v>0.26785714285714285</v>
      </c>
    </row>
    <row r="26" spans="2:19" ht="16.5" x14ac:dyDescent="0.3">
      <c r="L26" s="4" t="s">
        <v>42</v>
      </c>
      <c r="N26" s="15">
        <f>(G20*J20)+(G21*J21)+(G22*J22)</f>
        <v>29.999999999999996</v>
      </c>
    </row>
    <row r="27" spans="2:19" ht="16.5" x14ac:dyDescent="0.3">
      <c r="L27" s="4" t="s">
        <v>43</v>
      </c>
      <c r="N27" s="15">
        <f>+N25*0.12</f>
        <v>1185.5999999999999</v>
      </c>
    </row>
    <row r="28" spans="2:19" ht="16.5" x14ac:dyDescent="0.3">
      <c r="L28" s="4"/>
      <c r="N28" s="15"/>
    </row>
    <row r="29" spans="2:19" ht="16.5" x14ac:dyDescent="0.3">
      <c r="L29" s="4" t="s">
        <v>44</v>
      </c>
      <c r="N29" s="15">
        <f>+N25+N26+N27+N28</f>
        <v>11095.6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9"/>
  <sheetViews>
    <sheetView topLeftCell="D11" workbookViewId="0">
      <selection activeCell="D11" sqref="A1:XFD1048576"/>
    </sheetView>
  </sheetViews>
  <sheetFormatPr baseColWidth="10" defaultRowHeight="15" x14ac:dyDescent="0.25"/>
  <cols>
    <col min="3" max="3" width="10.85546875" bestFit="1" customWidth="1"/>
    <col min="4" max="4" width="7.42578125" bestFit="1" customWidth="1"/>
    <col min="5" max="5" width="13" bestFit="1" customWidth="1"/>
    <col min="6" max="6" width="3.7109375" bestFit="1" customWidth="1"/>
    <col min="7" max="7" width="8.85546875" bestFit="1" customWidth="1"/>
    <col min="8" max="8" width="13.5703125" bestFit="1" customWidth="1"/>
    <col min="9" max="9" width="13.5703125" customWidth="1"/>
    <col min="10" max="10" width="12.42578125" customWidth="1"/>
    <col min="11" max="12" width="8.140625" bestFit="1" customWidth="1"/>
    <col min="13" max="13" width="11" bestFit="1" customWidth="1"/>
    <col min="15" max="15" width="12.7109375" bestFit="1" customWidth="1"/>
    <col min="16" max="16" width="16" customWidth="1"/>
  </cols>
  <sheetData>
    <row r="1" spans="3:13" ht="16.5" x14ac:dyDescent="0.3">
      <c r="E1" t="s">
        <v>39</v>
      </c>
      <c r="G1" s="15"/>
      <c r="H1" s="18">
        <v>0</v>
      </c>
      <c r="I1" s="18"/>
    </row>
    <row r="2" spans="3:13" ht="16.5" x14ac:dyDescent="0.3">
      <c r="E2" t="s">
        <v>39</v>
      </c>
      <c r="G2" s="15">
        <v>30</v>
      </c>
      <c r="H2">
        <v>0</v>
      </c>
    </row>
    <row r="4" spans="3:13" ht="16.5" x14ac:dyDescent="0.3">
      <c r="C4" s="13" t="s">
        <v>13</v>
      </c>
      <c r="D4" s="13" t="s">
        <v>15</v>
      </c>
      <c r="E4" s="13" t="s">
        <v>17</v>
      </c>
      <c r="F4" s="2" t="s">
        <v>20</v>
      </c>
      <c r="G4" s="13" t="s">
        <v>21</v>
      </c>
      <c r="H4" s="13" t="s">
        <v>22</v>
      </c>
      <c r="I4" s="13"/>
      <c r="J4" s="13" t="s">
        <v>23</v>
      </c>
      <c r="K4" s="13" t="s">
        <v>24</v>
      </c>
      <c r="L4" s="13" t="s">
        <v>25</v>
      </c>
      <c r="M4" s="13" t="s">
        <v>26</v>
      </c>
    </row>
    <row r="5" spans="3:13" ht="16.5" x14ac:dyDescent="0.3">
      <c r="C5" s="4" t="s">
        <v>14</v>
      </c>
      <c r="D5" s="4" t="s">
        <v>16</v>
      </c>
      <c r="E5" s="4" t="s">
        <v>18</v>
      </c>
      <c r="F5" s="4" t="s">
        <v>33</v>
      </c>
      <c r="G5" s="14">
        <v>60</v>
      </c>
      <c r="H5" s="15">
        <v>150</v>
      </c>
      <c r="I5" s="15"/>
      <c r="J5" s="16">
        <v>0</v>
      </c>
      <c r="K5" s="17">
        <v>0</v>
      </c>
      <c r="L5" s="16">
        <v>0.12</v>
      </c>
      <c r="M5" s="15">
        <f>+G5*H5</f>
        <v>9000</v>
      </c>
    </row>
    <row r="6" spans="3:13" ht="16.5" x14ac:dyDescent="0.3">
      <c r="C6" s="4" t="s">
        <v>30</v>
      </c>
      <c r="D6" s="4" t="s">
        <v>31</v>
      </c>
      <c r="E6" s="4" t="s">
        <v>18</v>
      </c>
      <c r="F6" s="4" t="s">
        <v>19</v>
      </c>
      <c r="G6" s="14">
        <v>50</v>
      </c>
      <c r="H6" s="15">
        <f>+M6/G6</f>
        <v>1.6</v>
      </c>
      <c r="I6" s="15"/>
      <c r="J6" s="16">
        <v>0</v>
      </c>
      <c r="K6" s="17">
        <v>0</v>
      </c>
      <c r="L6" s="16">
        <v>0</v>
      </c>
      <c r="M6" s="15">
        <v>80</v>
      </c>
    </row>
    <row r="7" spans="3:13" ht="16.5" x14ac:dyDescent="0.3">
      <c r="C7" s="4" t="s">
        <v>34</v>
      </c>
      <c r="D7" s="4" t="s">
        <v>31</v>
      </c>
      <c r="E7" s="4" t="s">
        <v>18</v>
      </c>
      <c r="F7" s="4" t="s">
        <v>32</v>
      </c>
      <c r="G7" s="14">
        <v>2</v>
      </c>
      <c r="H7" s="15">
        <v>400</v>
      </c>
      <c r="I7" s="15"/>
      <c r="J7" s="16">
        <v>0</v>
      </c>
      <c r="K7" s="17">
        <v>0</v>
      </c>
      <c r="L7" s="16">
        <v>0.12</v>
      </c>
      <c r="M7" s="15">
        <f>+G7*H7</f>
        <v>800</v>
      </c>
    </row>
    <row r="8" spans="3:13" ht="16.5" x14ac:dyDescent="0.3">
      <c r="C8" s="4" t="s">
        <v>40</v>
      </c>
      <c r="H8" s="15">
        <v>30</v>
      </c>
      <c r="I8" s="15"/>
      <c r="J8" s="16">
        <v>0</v>
      </c>
      <c r="K8" s="17">
        <v>0</v>
      </c>
      <c r="L8" s="16">
        <v>0</v>
      </c>
      <c r="M8" s="15">
        <f>+H8</f>
        <v>30</v>
      </c>
    </row>
    <row r="10" spans="3:13" ht="16.5" x14ac:dyDescent="0.3">
      <c r="K10" s="4" t="s">
        <v>41</v>
      </c>
      <c r="M10" s="15">
        <f>+M5+M7</f>
        <v>9800</v>
      </c>
    </row>
    <row r="11" spans="3:13" ht="16.5" x14ac:dyDescent="0.3">
      <c r="K11" s="4" t="s">
        <v>42</v>
      </c>
      <c r="M11" s="15">
        <f>+M6+M8</f>
        <v>110</v>
      </c>
    </row>
    <row r="12" spans="3:13" ht="16.5" x14ac:dyDescent="0.3">
      <c r="K12" s="4" t="s">
        <v>43</v>
      </c>
      <c r="M12" s="15">
        <f>+M10*0.12</f>
        <v>1176</v>
      </c>
    </row>
    <row r="13" spans="3:13" ht="16.5" x14ac:dyDescent="0.3">
      <c r="K13" s="4"/>
      <c r="M13" s="15"/>
    </row>
    <row r="14" spans="3:13" ht="16.5" x14ac:dyDescent="0.3">
      <c r="K14" s="4" t="s">
        <v>44</v>
      </c>
      <c r="M14" s="15">
        <f>+M10+M11+M12+M13</f>
        <v>11086</v>
      </c>
    </row>
    <row r="17" spans="2:19" x14ac:dyDescent="0.25">
      <c r="C17" t="s">
        <v>55</v>
      </c>
      <c r="G17">
        <v>30</v>
      </c>
    </row>
    <row r="18" spans="2:19" x14ac:dyDescent="0.25">
      <c r="B18" t="s">
        <v>45</v>
      </c>
    </row>
    <row r="19" spans="2:19" s="21" customFormat="1" ht="33" x14ac:dyDescent="0.25">
      <c r="C19" s="22" t="s">
        <v>13</v>
      </c>
      <c r="D19" s="22" t="s">
        <v>15</v>
      </c>
      <c r="E19" s="22" t="s">
        <v>17</v>
      </c>
      <c r="F19" s="22" t="s">
        <v>20</v>
      </c>
      <c r="G19" s="22" t="s">
        <v>21</v>
      </c>
      <c r="H19" s="22" t="s">
        <v>22</v>
      </c>
      <c r="I19" s="22" t="s">
        <v>56</v>
      </c>
      <c r="J19" s="22" t="s">
        <v>57</v>
      </c>
      <c r="K19" s="22" t="s">
        <v>23</v>
      </c>
      <c r="L19" s="22" t="s">
        <v>24</v>
      </c>
      <c r="M19" s="22" t="s">
        <v>25</v>
      </c>
      <c r="N19" s="22" t="s">
        <v>26</v>
      </c>
    </row>
    <row r="20" spans="2:19" ht="16.5" x14ac:dyDescent="0.3">
      <c r="C20" s="4" t="s">
        <v>14</v>
      </c>
      <c r="D20" s="4" t="s">
        <v>16</v>
      </c>
      <c r="E20" s="4" t="s">
        <v>18</v>
      </c>
      <c r="F20" s="4" t="s">
        <v>33</v>
      </c>
      <c r="G20" s="14">
        <v>60</v>
      </c>
      <c r="H20" s="15">
        <v>150</v>
      </c>
      <c r="I20" s="15">
        <v>0</v>
      </c>
      <c r="J20" s="15">
        <f>+S25</f>
        <v>0.26785714285714285</v>
      </c>
      <c r="K20" s="16">
        <v>0</v>
      </c>
      <c r="L20" s="17">
        <v>0</v>
      </c>
      <c r="M20" s="16">
        <v>0.12</v>
      </c>
      <c r="N20" s="15">
        <f>(H20+I20+J20)*G20</f>
        <v>9016.0714285714275</v>
      </c>
      <c r="P20" t="s">
        <v>48</v>
      </c>
      <c r="Q20" t="s">
        <v>49</v>
      </c>
    </row>
    <row r="21" spans="2:19" ht="16.5" x14ac:dyDescent="0.3">
      <c r="C21" s="4" t="s">
        <v>30</v>
      </c>
      <c r="D21" s="4" t="s">
        <v>31</v>
      </c>
      <c r="E21" s="4" t="s">
        <v>18</v>
      </c>
      <c r="F21" s="4" t="s">
        <v>19</v>
      </c>
      <c r="G21" s="14">
        <v>50</v>
      </c>
      <c r="H21" s="15">
        <v>1.6</v>
      </c>
      <c r="I21" s="15">
        <v>0</v>
      </c>
      <c r="J21" s="15">
        <f>+S25</f>
        <v>0.26785714285714285</v>
      </c>
      <c r="K21" s="16">
        <v>0</v>
      </c>
      <c r="L21" s="17">
        <v>0</v>
      </c>
      <c r="M21" s="16">
        <v>0</v>
      </c>
      <c r="N21" s="15">
        <f>(H21+I21+J21)*G21</f>
        <v>93.392857142857139</v>
      </c>
      <c r="P21" s="13" t="s">
        <v>47</v>
      </c>
      <c r="Q21" s="20">
        <v>112</v>
      </c>
    </row>
    <row r="22" spans="2:19" ht="16.5" x14ac:dyDescent="0.3">
      <c r="C22" s="4" t="s">
        <v>34</v>
      </c>
      <c r="D22" s="4" t="s">
        <v>31</v>
      </c>
      <c r="E22" s="4" t="s">
        <v>18</v>
      </c>
      <c r="F22" s="4" t="s">
        <v>32</v>
      </c>
      <c r="G22" s="14">
        <v>2</v>
      </c>
      <c r="H22" s="15">
        <v>400</v>
      </c>
      <c r="I22" s="15">
        <v>0</v>
      </c>
      <c r="J22" s="15">
        <f>+S25</f>
        <v>0.26785714285714285</v>
      </c>
      <c r="K22" s="16">
        <v>0</v>
      </c>
      <c r="L22" s="17">
        <v>0</v>
      </c>
      <c r="M22" s="16">
        <v>0.12</v>
      </c>
      <c r="N22" s="15">
        <f>(H22+I22+J22)*G22</f>
        <v>800.53571428571433</v>
      </c>
    </row>
    <row r="23" spans="2:19" ht="16.5" x14ac:dyDescent="0.3">
      <c r="C23" s="4"/>
      <c r="H23" s="15"/>
      <c r="I23" s="15"/>
      <c r="K23" s="16"/>
      <c r="L23" s="17"/>
      <c r="M23" s="16"/>
      <c r="N23" s="15"/>
      <c r="P23" t="s">
        <v>50</v>
      </c>
      <c r="Q23" s="20">
        <v>112</v>
      </c>
      <c r="R23">
        <v>30</v>
      </c>
    </row>
    <row r="24" spans="2:19" x14ac:dyDescent="0.25">
      <c r="Q24">
        <v>1</v>
      </c>
      <c r="S24">
        <f>+Q24*R23</f>
        <v>30</v>
      </c>
    </row>
    <row r="25" spans="2:19" ht="16.5" x14ac:dyDescent="0.3">
      <c r="L25" s="4" t="s">
        <v>41</v>
      </c>
      <c r="N25" s="15">
        <f>+(G20*H20)+(G22*H22)</f>
        <v>9800</v>
      </c>
      <c r="S25">
        <f>+S24/Q23</f>
        <v>0.26785714285714285</v>
      </c>
    </row>
    <row r="26" spans="2:19" ht="16.5" x14ac:dyDescent="0.3">
      <c r="L26" s="4" t="s">
        <v>42</v>
      </c>
      <c r="N26" s="15">
        <f>(G20*J20)+(G21*J21)+(G22*J22)+(G21*H21)</f>
        <v>110</v>
      </c>
    </row>
    <row r="27" spans="2:19" ht="16.5" x14ac:dyDescent="0.3">
      <c r="L27" s="4" t="s">
        <v>43</v>
      </c>
      <c r="N27" s="15">
        <f>+N25*0.12</f>
        <v>1176</v>
      </c>
    </row>
    <row r="28" spans="2:19" ht="16.5" x14ac:dyDescent="0.3">
      <c r="L28" s="4"/>
      <c r="N28" s="15"/>
    </row>
    <row r="29" spans="2:19" ht="16.5" x14ac:dyDescent="0.3">
      <c r="L29" s="4" t="s">
        <v>44</v>
      </c>
      <c r="N29" s="15">
        <f>+N25+N26+N27+N28</f>
        <v>11086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I59"/>
  <sheetViews>
    <sheetView topLeftCell="B10" workbookViewId="0">
      <selection activeCell="I20" sqref="I20"/>
    </sheetView>
  </sheetViews>
  <sheetFormatPr baseColWidth="10" defaultRowHeight="15" x14ac:dyDescent="0.25"/>
  <cols>
    <col min="3" max="3" width="10.85546875" bestFit="1" customWidth="1"/>
    <col min="4" max="4" width="7.42578125" bestFit="1" customWidth="1"/>
    <col min="5" max="5" width="13" bestFit="1" customWidth="1"/>
    <col min="6" max="6" width="3.7109375" bestFit="1" customWidth="1"/>
    <col min="7" max="7" width="8.85546875" bestFit="1" customWidth="1"/>
    <col min="8" max="8" width="13.5703125" bestFit="1" customWidth="1"/>
    <col min="9" max="9" width="13.5703125" customWidth="1"/>
    <col min="10" max="10" width="12.42578125" customWidth="1"/>
    <col min="11" max="11" width="10.28515625" bestFit="1" customWidth="1"/>
    <col min="12" max="12" width="10.85546875" customWidth="1"/>
    <col min="13" max="13" width="11" bestFit="1" customWidth="1"/>
    <col min="15" max="15" width="12.7109375" bestFit="1" customWidth="1"/>
    <col min="16" max="16" width="16" customWidth="1"/>
  </cols>
  <sheetData>
    <row r="1" spans="3:13" ht="16.5" x14ac:dyDescent="0.3">
      <c r="E1" t="s">
        <v>39</v>
      </c>
      <c r="G1" s="15">
        <v>20</v>
      </c>
      <c r="H1" s="18">
        <v>0.02</v>
      </c>
      <c r="I1" s="18"/>
    </row>
    <row r="2" spans="3:13" ht="16.5" x14ac:dyDescent="0.3">
      <c r="E2" t="s">
        <v>39</v>
      </c>
      <c r="G2" s="15">
        <v>30</v>
      </c>
      <c r="H2">
        <v>0</v>
      </c>
    </row>
    <row r="4" spans="3:13" ht="16.5" x14ac:dyDescent="0.3">
      <c r="C4" s="13" t="s">
        <v>13</v>
      </c>
      <c r="D4" s="13" t="s">
        <v>15</v>
      </c>
      <c r="E4" s="13" t="s">
        <v>17</v>
      </c>
      <c r="F4" s="2" t="s">
        <v>20</v>
      </c>
      <c r="G4" s="13" t="s">
        <v>21</v>
      </c>
      <c r="H4" s="13" t="s">
        <v>22</v>
      </c>
      <c r="I4" s="13"/>
      <c r="J4" s="13" t="s">
        <v>23</v>
      </c>
      <c r="K4" s="13" t="s">
        <v>24</v>
      </c>
      <c r="L4" s="13" t="s">
        <v>25</v>
      </c>
      <c r="M4" s="13" t="s">
        <v>26</v>
      </c>
    </row>
    <row r="5" spans="3:13" ht="16.5" x14ac:dyDescent="0.3">
      <c r="C5" s="4" t="s">
        <v>14</v>
      </c>
      <c r="D5" s="4" t="s">
        <v>16</v>
      </c>
      <c r="E5" s="4" t="s">
        <v>18</v>
      </c>
      <c r="F5" s="4" t="s">
        <v>33</v>
      </c>
      <c r="G5" s="14">
        <v>60</v>
      </c>
      <c r="H5" s="15">
        <v>150</v>
      </c>
      <c r="I5" s="15"/>
      <c r="J5" s="16">
        <v>0</v>
      </c>
      <c r="K5" s="17">
        <v>0</v>
      </c>
      <c r="L5" s="16">
        <v>0.12</v>
      </c>
      <c r="M5" s="15">
        <f>+G5*H5</f>
        <v>9000</v>
      </c>
    </row>
    <row r="6" spans="3:13" ht="16.5" x14ac:dyDescent="0.3">
      <c r="C6" s="4" t="s">
        <v>30</v>
      </c>
      <c r="D6" s="4" t="s">
        <v>31</v>
      </c>
      <c r="E6" s="4" t="s">
        <v>18</v>
      </c>
      <c r="F6" s="4" t="s">
        <v>19</v>
      </c>
      <c r="G6" s="14">
        <v>50</v>
      </c>
      <c r="H6" s="15">
        <f>+M6/G6</f>
        <v>1.6</v>
      </c>
      <c r="I6" s="15"/>
      <c r="J6" s="16">
        <v>0</v>
      </c>
      <c r="K6" s="17">
        <v>0</v>
      </c>
      <c r="L6" s="16">
        <v>0</v>
      </c>
      <c r="M6" s="15">
        <v>80</v>
      </c>
    </row>
    <row r="7" spans="3:13" ht="16.5" x14ac:dyDescent="0.3">
      <c r="C7" s="4" t="s">
        <v>34</v>
      </c>
      <c r="D7" s="4" t="s">
        <v>31</v>
      </c>
      <c r="E7" s="4" t="s">
        <v>18</v>
      </c>
      <c r="F7" s="4" t="s">
        <v>32</v>
      </c>
      <c r="G7" s="14">
        <v>2</v>
      </c>
      <c r="H7" s="15">
        <v>400</v>
      </c>
      <c r="I7" s="15"/>
      <c r="J7" s="16">
        <v>0</v>
      </c>
      <c r="K7" s="17">
        <v>0</v>
      </c>
      <c r="L7" s="16">
        <v>0.12</v>
      </c>
      <c r="M7" s="15">
        <f>+G7*H7</f>
        <v>800</v>
      </c>
    </row>
    <row r="8" spans="3:13" ht="16.5" x14ac:dyDescent="0.3">
      <c r="C8" s="4" t="s">
        <v>40</v>
      </c>
      <c r="H8" s="15">
        <v>30</v>
      </c>
      <c r="I8" s="15"/>
      <c r="J8" s="16">
        <v>0</v>
      </c>
      <c r="K8" s="17">
        <v>0</v>
      </c>
      <c r="L8" s="16">
        <v>0</v>
      </c>
      <c r="M8" s="15">
        <f>+H8</f>
        <v>30</v>
      </c>
    </row>
    <row r="9" spans="3:13" ht="16.5" x14ac:dyDescent="0.3">
      <c r="H9" s="15">
        <v>20</v>
      </c>
      <c r="L9" s="16">
        <v>0.12</v>
      </c>
      <c r="M9" s="15">
        <f>+H9</f>
        <v>20</v>
      </c>
    </row>
    <row r="10" spans="3:13" ht="16.5" x14ac:dyDescent="0.3">
      <c r="K10" s="4" t="s">
        <v>41</v>
      </c>
      <c r="M10" s="15">
        <f>+M5+M7+M9</f>
        <v>9820</v>
      </c>
    </row>
    <row r="11" spans="3:13" ht="16.5" x14ac:dyDescent="0.3">
      <c r="K11" s="4" t="s">
        <v>42</v>
      </c>
      <c r="M11" s="15">
        <f>+M6+M8</f>
        <v>110</v>
      </c>
    </row>
    <row r="12" spans="3:13" ht="16.5" x14ac:dyDescent="0.3">
      <c r="K12" s="4" t="s">
        <v>43</v>
      </c>
      <c r="M12" s="15">
        <f>+M10*0.12</f>
        <v>1178.3999999999999</v>
      </c>
    </row>
    <row r="13" spans="3:13" ht="16.5" x14ac:dyDescent="0.3">
      <c r="K13" s="4"/>
      <c r="M13" s="15"/>
    </row>
    <row r="14" spans="3:13" ht="16.5" x14ac:dyDescent="0.3">
      <c r="K14" s="4" t="s">
        <v>44</v>
      </c>
      <c r="M14" s="15">
        <f>+M10+M11+M12+M13</f>
        <v>11108.4</v>
      </c>
    </row>
    <row r="16" spans="3:13" ht="16.5" x14ac:dyDescent="0.3">
      <c r="G16" s="84">
        <v>20</v>
      </c>
      <c r="H16" s="18">
        <v>0.12</v>
      </c>
    </row>
    <row r="17" spans="2:19" ht="16.5" x14ac:dyDescent="0.3">
      <c r="C17" t="s">
        <v>55</v>
      </c>
      <c r="G17" s="84">
        <v>30</v>
      </c>
      <c r="H17">
        <v>0</v>
      </c>
    </row>
    <row r="18" spans="2:19" x14ac:dyDescent="0.25">
      <c r="B18" t="s">
        <v>45</v>
      </c>
    </row>
    <row r="19" spans="2:19" s="21" customFormat="1" ht="28.5" customHeight="1" x14ac:dyDescent="0.25">
      <c r="C19" s="22" t="s">
        <v>13</v>
      </c>
      <c r="D19" s="22" t="s">
        <v>15</v>
      </c>
      <c r="E19" s="22" t="s">
        <v>17</v>
      </c>
      <c r="F19" s="22" t="s">
        <v>20</v>
      </c>
      <c r="G19" s="22" t="s">
        <v>21</v>
      </c>
      <c r="H19" s="22" t="s">
        <v>22</v>
      </c>
      <c r="I19" s="22" t="s">
        <v>56</v>
      </c>
      <c r="J19" s="22" t="s">
        <v>57</v>
      </c>
      <c r="K19" s="22" t="s">
        <v>23</v>
      </c>
      <c r="L19" s="22" t="s">
        <v>24</v>
      </c>
      <c r="M19" s="22" t="s">
        <v>25</v>
      </c>
      <c r="N19" s="22" t="s">
        <v>26</v>
      </c>
    </row>
    <row r="20" spans="2:19" ht="16.5" x14ac:dyDescent="0.3">
      <c r="C20" s="4" t="s">
        <v>14</v>
      </c>
      <c r="D20" s="4" t="s">
        <v>16</v>
      </c>
      <c r="E20" s="4" t="s">
        <v>18</v>
      </c>
      <c r="F20" s="4" t="s">
        <v>33</v>
      </c>
      <c r="G20" s="14">
        <v>60</v>
      </c>
      <c r="H20" s="15">
        <v>150</v>
      </c>
      <c r="I20" s="15">
        <f>+L46</f>
        <v>0.8235604163921465</v>
      </c>
      <c r="J20" s="15">
        <f>+S27</f>
        <v>0.44642857142857145</v>
      </c>
      <c r="K20" s="16">
        <v>0</v>
      </c>
      <c r="L20" s="17">
        <v>0</v>
      </c>
      <c r="M20" s="16">
        <v>0.12</v>
      </c>
      <c r="N20" s="15">
        <f>(H20+I20+J20)*G20</f>
        <v>9076.1993392692439</v>
      </c>
      <c r="P20" t="s">
        <v>48</v>
      </c>
      <c r="Q20" t="s">
        <v>49</v>
      </c>
    </row>
    <row r="21" spans="2:19" ht="16.5" x14ac:dyDescent="0.3">
      <c r="C21" s="4" t="s">
        <v>30</v>
      </c>
      <c r="D21" s="4" t="s">
        <v>31</v>
      </c>
      <c r="E21" s="4" t="s">
        <v>18</v>
      </c>
      <c r="F21" s="4" t="s">
        <v>19</v>
      </c>
      <c r="G21" s="14">
        <v>50</v>
      </c>
      <c r="H21" s="15">
        <v>1.6</v>
      </c>
      <c r="I21" s="15">
        <f>+L51</f>
        <v>1.0541573329819476E-2</v>
      </c>
      <c r="J21" s="15">
        <f>+S27</f>
        <v>0.44642857142857145</v>
      </c>
      <c r="K21" s="16">
        <v>0</v>
      </c>
      <c r="L21" s="17">
        <v>0</v>
      </c>
      <c r="M21" s="16">
        <v>0</v>
      </c>
      <c r="N21" s="15">
        <f>(H21+I21+J21)*G21</f>
        <v>102.84850723791956</v>
      </c>
      <c r="P21" s="13" t="s">
        <v>58</v>
      </c>
      <c r="Q21" s="20">
        <v>112</v>
      </c>
    </row>
    <row r="22" spans="2:19" ht="16.5" x14ac:dyDescent="0.3">
      <c r="C22" s="70"/>
      <c r="D22" s="70"/>
      <c r="E22" s="70"/>
      <c r="F22" s="70"/>
      <c r="G22" s="14">
        <v>1</v>
      </c>
      <c r="H22" s="15">
        <v>0.18</v>
      </c>
      <c r="I22" s="15">
        <f>+L56</f>
        <v>5.9296349980234551E-2</v>
      </c>
      <c r="J22" s="15"/>
      <c r="K22" s="16"/>
      <c r="L22" s="17"/>
      <c r="M22" s="16"/>
      <c r="N22" s="15">
        <f>(H22+I22+J22)*G22</f>
        <v>0.23929634998023455</v>
      </c>
      <c r="P22" s="13"/>
      <c r="Q22" s="20"/>
    </row>
    <row r="23" spans="2:19" ht="16.5" x14ac:dyDescent="0.3">
      <c r="C23" s="4" t="s">
        <v>34</v>
      </c>
      <c r="D23" s="4" t="s">
        <v>31</v>
      </c>
      <c r="E23" s="4" t="s">
        <v>18</v>
      </c>
      <c r="F23" s="4" t="s">
        <v>32</v>
      </c>
      <c r="G23" s="14">
        <v>2</v>
      </c>
      <c r="H23" s="15">
        <v>400</v>
      </c>
      <c r="I23" s="15">
        <v>0</v>
      </c>
      <c r="J23" s="15">
        <f>+S27</f>
        <v>0.44642857142857145</v>
      </c>
      <c r="K23" s="16">
        <v>0</v>
      </c>
      <c r="L23" s="17">
        <v>0</v>
      </c>
      <c r="M23" s="16">
        <v>0.12</v>
      </c>
      <c r="N23" s="15">
        <f>(H23+I23+J23)*G23</f>
        <v>800.89285714285711</v>
      </c>
      <c r="P23" s="13"/>
      <c r="Q23" s="20"/>
    </row>
    <row r="24" spans="2:19" ht="16.5" x14ac:dyDescent="0.3">
      <c r="C24" s="4"/>
      <c r="H24" s="15"/>
      <c r="I24" s="15"/>
      <c r="K24" s="16"/>
      <c r="L24" s="17"/>
      <c r="M24" s="16"/>
      <c r="N24" s="15"/>
    </row>
    <row r="25" spans="2:19" x14ac:dyDescent="0.25">
      <c r="H25" s="19"/>
      <c r="I25" s="19"/>
      <c r="P25" t="s">
        <v>50</v>
      </c>
      <c r="Q25" s="20">
        <v>112</v>
      </c>
      <c r="R25" s="19">
        <f>+G16+G17</f>
        <v>50</v>
      </c>
    </row>
    <row r="26" spans="2:19" ht="16.5" x14ac:dyDescent="0.3">
      <c r="L26" s="4" t="s">
        <v>41</v>
      </c>
      <c r="N26" s="15">
        <f>(G20*H20)+(G23*H23)+G16</f>
        <v>9820</v>
      </c>
      <c r="Q26">
        <v>1</v>
      </c>
      <c r="S26">
        <f>+Q26*R25</f>
        <v>50</v>
      </c>
    </row>
    <row r="27" spans="2:19" ht="16.5" x14ac:dyDescent="0.3">
      <c r="J27" s="19"/>
      <c r="L27" s="4" t="s">
        <v>42</v>
      </c>
      <c r="N27" s="15">
        <f>+(G21*H21)+G17</f>
        <v>110</v>
      </c>
      <c r="S27">
        <f>+S26/Q25</f>
        <v>0.44642857142857145</v>
      </c>
    </row>
    <row r="28" spans="2:19" ht="16.5" x14ac:dyDescent="0.3">
      <c r="G28" s="19"/>
      <c r="H28" s="15">
        <v>50</v>
      </c>
      <c r="I28" s="15">
        <v>50</v>
      </c>
      <c r="J28" s="15">
        <v>50</v>
      </c>
      <c r="L28" s="4" t="s">
        <v>43</v>
      </c>
      <c r="N28" s="15">
        <f>+N26*0.12</f>
        <v>1178.3999999999999</v>
      </c>
    </row>
    <row r="29" spans="2:19" ht="16.5" x14ac:dyDescent="0.3">
      <c r="H29" s="83">
        <v>111</v>
      </c>
      <c r="I29" s="83">
        <v>111</v>
      </c>
      <c r="J29" s="83">
        <v>111</v>
      </c>
      <c r="L29" s="4"/>
      <c r="N29" s="15"/>
    </row>
    <row r="30" spans="2:19" ht="16.5" x14ac:dyDescent="0.3">
      <c r="G30" s="19"/>
      <c r="H30" s="15">
        <f>+H28/H29</f>
        <v>0.45045045045045046</v>
      </c>
      <c r="I30" s="15">
        <f>+I28/I29</f>
        <v>0.45045045045045046</v>
      </c>
      <c r="J30" s="15">
        <f>+J28/J29</f>
        <v>0.45045045045045046</v>
      </c>
      <c r="L30" s="4" t="s">
        <v>44</v>
      </c>
      <c r="N30" s="15">
        <f>+N26+N27+N28+N29</f>
        <v>11108.4</v>
      </c>
    </row>
    <row r="31" spans="2:19" x14ac:dyDescent="0.25">
      <c r="G31" s="82"/>
      <c r="H31">
        <f>+H30*G20</f>
        <v>27.027027027027028</v>
      </c>
      <c r="I31">
        <f>+I30*G21</f>
        <v>22.522522522522522</v>
      </c>
      <c r="J31">
        <f>+J30*G22</f>
        <v>0.45045045045045046</v>
      </c>
      <c r="K31">
        <f>SUM(H31:J31)</f>
        <v>50.000000000000007</v>
      </c>
    </row>
    <row r="33" spans="7:35" x14ac:dyDescent="0.25">
      <c r="G33" s="20">
        <f>+G20+G21+G22</f>
        <v>111</v>
      </c>
      <c r="H33" s="19">
        <f>+G16+G17</f>
        <v>50</v>
      </c>
      <c r="I33" s="19"/>
    </row>
    <row r="34" spans="7:35" ht="16.5" x14ac:dyDescent="0.3">
      <c r="H34" s="19">
        <f>+H33/G33</f>
        <v>0.45045045045045046</v>
      </c>
      <c r="I34" s="19">
        <f>+H34*G20</f>
        <v>27.027027027027028</v>
      </c>
      <c r="J34" s="82">
        <f>+G20*H20</f>
        <v>9000</v>
      </c>
      <c r="K34" s="82">
        <f>+J34+I34</f>
        <v>9027.0270270270266</v>
      </c>
      <c r="L34" s="15">
        <f>+K34/G20</f>
        <v>150.45045045045043</v>
      </c>
      <c r="M34" s="82">
        <f>+H20+H34</f>
        <v>150.45045045045046</v>
      </c>
      <c r="N34">
        <v>60</v>
      </c>
      <c r="O34">
        <v>111</v>
      </c>
      <c r="P34">
        <v>100</v>
      </c>
      <c r="Q34">
        <v>1</v>
      </c>
    </row>
    <row r="35" spans="7:35" ht="16.5" x14ac:dyDescent="0.3">
      <c r="H35" s="19">
        <f>+H34</f>
        <v>0.45045045045045046</v>
      </c>
      <c r="I35" s="19">
        <f>+H35*G21</f>
        <v>22.522522522522522</v>
      </c>
      <c r="J35" s="82">
        <f>+G21*H21</f>
        <v>80</v>
      </c>
      <c r="K35" s="82">
        <f>+J35+I35</f>
        <v>102.52252252252252</v>
      </c>
      <c r="L35" s="15">
        <f>+K35/G21</f>
        <v>2.0504504504504504</v>
      </c>
      <c r="M35" s="82">
        <f>+H21+H35</f>
        <v>2.0504504504504504</v>
      </c>
      <c r="N35">
        <v>50</v>
      </c>
      <c r="O35">
        <v>1</v>
      </c>
      <c r="P35">
        <f>+O35*P34</f>
        <v>100</v>
      </c>
      <c r="Q35">
        <v>1</v>
      </c>
      <c r="R35">
        <v>54.054054054054056</v>
      </c>
      <c r="S35" s="15">
        <v>50</v>
      </c>
      <c r="T35" s="15">
        <f>+S35*R35/100</f>
        <v>27.027027027027028</v>
      </c>
      <c r="U35" s="15">
        <f>+T35/N34</f>
        <v>0.45045045045045046</v>
      </c>
      <c r="V35">
        <f>+U35*N34</f>
        <v>27.027027027027028</v>
      </c>
      <c r="X35">
        <f>+H29</f>
        <v>111</v>
      </c>
    </row>
    <row r="36" spans="7:35" ht="16.5" x14ac:dyDescent="0.3">
      <c r="H36" s="19">
        <f>+H35</f>
        <v>0.45045045045045046</v>
      </c>
      <c r="I36" s="19">
        <f>+H36*G22</f>
        <v>0.45045045045045046</v>
      </c>
      <c r="J36" s="82">
        <f>+G22*H22</f>
        <v>0.18</v>
      </c>
      <c r="K36" s="82">
        <f>+J36+I36</f>
        <v>0.63045045045045045</v>
      </c>
      <c r="L36" s="15">
        <f>+K36/G22</f>
        <v>0.63045045045045045</v>
      </c>
      <c r="M36" s="82">
        <f>+H22+H36</f>
        <v>0.63045045045045045</v>
      </c>
      <c r="N36">
        <v>1</v>
      </c>
      <c r="O36">
        <v>111</v>
      </c>
      <c r="P36">
        <f>+P35/O34</f>
        <v>0.90090090090090091</v>
      </c>
      <c r="Q36">
        <v>1</v>
      </c>
      <c r="R36">
        <v>45.045045045045043</v>
      </c>
      <c r="S36" s="15">
        <v>50</v>
      </c>
      <c r="T36" s="15">
        <f>+S36*R36/100</f>
        <v>22.522522522522522</v>
      </c>
      <c r="U36" s="15">
        <f>+T36/N35</f>
        <v>0.45045045045045046</v>
      </c>
      <c r="V36">
        <f>+U36*N35</f>
        <v>22.522522522522522</v>
      </c>
      <c r="AB36" s="87" t="s">
        <v>114</v>
      </c>
    </row>
    <row r="37" spans="7:35" ht="16.5" x14ac:dyDescent="0.3">
      <c r="H37" s="19"/>
      <c r="I37" s="19">
        <f>SUM(I34:I36)</f>
        <v>50.000000000000007</v>
      </c>
      <c r="R37">
        <v>0.90090090090090091</v>
      </c>
      <c r="S37" s="15">
        <v>50</v>
      </c>
      <c r="T37" s="15">
        <f>+S37*R37/100</f>
        <v>0.45045045045045046</v>
      </c>
      <c r="U37" s="15">
        <f>+T37</f>
        <v>0.45045045045045046</v>
      </c>
      <c r="V37">
        <f>+U37*N36</f>
        <v>0.45045045045045046</v>
      </c>
      <c r="AB37" t="s">
        <v>115</v>
      </c>
    </row>
    <row r="38" spans="7:35" x14ac:dyDescent="0.25">
      <c r="O38">
        <f>+N34/N35</f>
        <v>1.2</v>
      </c>
      <c r="R38">
        <f>SUM(R35:R37)</f>
        <v>100.00000000000001</v>
      </c>
      <c r="V38">
        <f>SUM(V35:V37)</f>
        <v>50.000000000000007</v>
      </c>
      <c r="Y38">
        <f>+Y37/X35</f>
        <v>0</v>
      </c>
      <c r="AB38" s="87" t="s">
        <v>116</v>
      </c>
      <c r="AG38" t="s">
        <v>117</v>
      </c>
    </row>
    <row r="39" spans="7:35" x14ac:dyDescent="0.25">
      <c r="G39" s="20"/>
      <c r="H39" s="82"/>
      <c r="T39" s="19">
        <f>SUM(T35:T37)</f>
        <v>50.000000000000007</v>
      </c>
      <c r="U39" s="19">
        <f>SUM(U35:U37)</f>
        <v>1.3513513513513513</v>
      </c>
      <c r="AB39" s="87" t="s">
        <v>118</v>
      </c>
      <c r="AG39" t="s">
        <v>117</v>
      </c>
    </row>
    <row r="40" spans="7:35" x14ac:dyDescent="0.25">
      <c r="G40" s="20">
        <v>50</v>
      </c>
      <c r="H40" s="82">
        <v>60</v>
      </c>
      <c r="I40" s="82">
        <f>+G40/H40</f>
        <v>0.83333333333333337</v>
      </c>
      <c r="K40">
        <v>50</v>
      </c>
      <c r="L40">
        <v>111</v>
      </c>
      <c r="U40">
        <f>+U39*R35</f>
        <v>73.046018991964942</v>
      </c>
    </row>
    <row r="41" spans="7:35" x14ac:dyDescent="0.25">
      <c r="G41" s="20"/>
      <c r="H41" s="82">
        <v>50</v>
      </c>
      <c r="I41" s="82">
        <f>+G40/H41</f>
        <v>1</v>
      </c>
    </row>
    <row r="42" spans="7:35" x14ac:dyDescent="0.25">
      <c r="H42">
        <v>1</v>
      </c>
      <c r="I42">
        <f>+G40/H42</f>
        <v>50</v>
      </c>
    </row>
    <row r="43" spans="7:35" x14ac:dyDescent="0.25">
      <c r="H43" s="85"/>
    </row>
    <row r="44" spans="7:35" x14ac:dyDescent="0.25">
      <c r="H44" s="19">
        <f>SUM(H20:H22)</f>
        <v>151.78</v>
      </c>
      <c r="I44">
        <v>50</v>
      </c>
      <c r="L44" s="19"/>
    </row>
    <row r="45" spans="7:35" x14ac:dyDescent="0.25">
      <c r="H45">
        <v>150</v>
      </c>
      <c r="J45">
        <f>+H45*I44</f>
        <v>7500</v>
      </c>
      <c r="L45" s="19"/>
      <c r="X45">
        <v>111</v>
      </c>
    </row>
    <row r="46" spans="7:35" x14ac:dyDescent="0.25">
      <c r="J46" s="82">
        <f>+J45/H44</f>
        <v>49.413624983528791</v>
      </c>
      <c r="K46" s="86">
        <v>60</v>
      </c>
      <c r="L46" s="19">
        <f>+J46/K46</f>
        <v>0.8235604163921465</v>
      </c>
      <c r="M46" s="19">
        <f>+L46*K46</f>
        <v>49.413624983528791</v>
      </c>
      <c r="N46">
        <f>+H45*K46</f>
        <v>9000</v>
      </c>
      <c r="O46" s="82">
        <f>+N46+M46</f>
        <v>9049.4136249835283</v>
      </c>
      <c r="P46">
        <f>+O46/K46</f>
        <v>150.82356041639213</v>
      </c>
      <c r="R46">
        <v>111</v>
      </c>
      <c r="S46">
        <v>100</v>
      </c>
      <c r="T46">
        <v>1</v>
      </c>
      <c r="Z46" s="19">
        <v>111</v>
      </c>
      <c r="AA46" s="19">
        <v>50</v>
      </c>
      <c r="AC46">
        <f>+Z46</f>
        <v>111</v>
      </c>
      <c r="AD46">
        <f>+AA46</f>
        <v>50</v>
      </c>
      <c r="AF46">
        <f>+AC46</f>
        <v>111</v>
      </c>
      <c r="AG46">
        <f>+AD46</f>
        <v>50</v>
      </c>
    </row>
    <row r="47" spans="7:35" ht="16.5" x14ac:dyDescent="0.3">
      <c r="L47" s="19"/>
      <c r="M47" s="19"/>
      <c r="R47">
        <v>50</v>
      </c>
      <c r="S47">
        <f>+R47*S46</f>
        <v>5000</v>
      </c>
      <c r="T47">
        <v>1</v>
      </c>
      <c r="U47">
        <v>45.045045045045043</v>
      </c>
      <c r="V47" s="15">
        <v>60</v>
      </c>
      <c r="W47" s="15">
        <f>+V47*U47/100</f>
        <v>27.027027027027025</v>
      </c>
      <c r="X47" s="15">
        <f>+W47/V47</f>
        <v>0.4504504504504504</v>
      </c>
      <c r="Y47">
        <f>+X47*Q46</f>
        <v>0</v>
      </c>
      <c r="Z47">
        <v>60</v>
      </c>
      <c r="AA47">
        <f>+Z47+AA46</f>
        <v>110</v>
      </c>
      <c r="AC47">
        <v>50</v>
      </c>
      <c r="AD47">
        <f>+AC47+AD46</f>
        <v>100</v>
      </c>
      <c r="AF47">
        <v>1</v>
      </c>
      <c r="AG47">
        <f>+AF47+AG46</f>
        <v>51</v>
      </c>
      <c r="AH47">
        <f>+Z47+AC47+AF47</f>
        <v>111</v>
      </c>
    </row>
    <row r="48" spans="7:35" ht="16.5" x14ac:dyDescent="0.3">
      <c r="L48" s="19"/>
      <c r="M48" s="19"/>
      <c r="S48">
        <f>+S47/R46</f>
        <v>45.045045045045043</v>
      </c>
      <c r="T48">
        <v>1</v>
      </c>
      <c r="U48">
        <v>45.045045045045043</v>
      </c>
      <c r="V48" s="15">
        <v>50</v>
      </c>
      <c r="W48" s="15">
        <f>+V48*U48/100</f>
        <v>22.522522522522522</v>
      </c>
      <c r="X48" s="15">
        <f>+W48/V48</f>
        <v>0.45045045045045046</v>
      </c>
      <c r="Y48">
        <f>+X48*Q47</f>
        <v>0</v>
      </c>
      <c r="AA48">
        <f>+AA47/Z46</f>
        <v>0.99099099099099097</v>
      </c>
      <c r="AD48">
        <f>+AD47/AC46</f>
        <v>0.90090090090090091</v>
      </c>
      <c r="AG48">
        <f>+AG47/AF46</f>
        <v>0.45945945945945948</v>
      </c>
      <c r="AH48">
        <f>+AA48+AD48+AG48</f>
        <v>2.3513513513513513</v>
      </c>
      <c r="AI48" s="82">
        <f>+AH48-X51</f>
        <v>1</v>
      </c>
    </row>
    <row r="49" spans="8:35" ht="16.5" x14ac:dyDescent="0.3">
      <c r="H49" s="19">
        <f>+H44</f>
        <v>151.78</v>
      </c>
      <c r="I49">
        <v>50</v>
      </c>
      <c r="L49" s="19"/>
      <c r="M49" s="19"/>
      <c r="U49">
        <v>45.045045045045043</v>
      </c>
      <c r="V49" s="15">
        <v>1</v>
      </c>
      <c r="W49" s="15">
        <f>+V49*U49/100</f>
        <v>0.45045045045045046</v>
      </c>
      <c r="X49" s="15">
        <f>+W49</f>
        <v>0.45045045045045046</v>
      </c>
      <c r="Y49">
        <f>+X49*Q48</f>
        <v>0</v>
      </c>
      <c r="AA49">
        <f>+Z47*AA48</f>
        <v>59.45945945945946</v>
      </c>
      <c r="AD49">
        <f>+AC47*AD48</f>
        <v>45.045045045045043</v>
      </c>
      <c r="AG49">
        <f>+AF47*AG48</f>
        <v>0.45945945945945948</v>
      </c>
      <c r="AH49">
        <f>SUM(AA49:AG49)</f>
        <v>104.96396396396395</v>
      </c>
      <c r="AI49" s="82">
        <f>+AH49-W51</f>
        <v>54.963963963963948</v>
      </c>
    </row>
    <row r="50" spans="8:35" x14ac:dyDescent="0.25">
      <c r="H50" s="19">
        <f>+H21</f>
        <v>1.6</v>
      </c>
      <c r="J50">
        <f>+H50*I49</f>
        <v>80</v>
      </c>
      <c r="L50" s="19"/>
      <c r="M50" s="19"/>
      <c r="R50" t="e">
        <f>+Q46/Q47</f>
        <v>#DIV/0!</v>
      </c>
      <c r="U50">
        <f>SUM(U47:U49)</f>
        <v>135.13513513513513</v>
      </c>
      <c r="Y50">
        <f>SUM(Y47:Y49)</f>
        <v>0</v>
      </c>
    </row>
    <row r="51" spans="8:35" x14ac:dyDescent="0.25">
      <c r="J51" s="82">
        <f>+J50/H49</f>
        <v>0.52707866649097379</v>
      </c>
      <c r="K51" s="86">
        <v>50</v>
      </c>
      <c r="L51" s="19">
        <f>+J51/K51</f>
        <v>1.0541573329819476E-2</v>
      </c>
      <c r="M51" s="19">
        <f>+L51*K51</f>
        <v>0.52707866649097379</v>
      </c>
      <c r="N51">
        <f>+H50*K51</f>
        <v>80</v>
      </c>
      <c r="O51" s="82">
        <f>+N51+M51</f>
        <v>80.527078666490979</v>
      </c>
      <c r="P51">
        <f>+O51/K51</f>
        <v>1.6105415733298196</v>
      </c>
      <c r="W51" s="19">
        <f>SUM(W47:W49)</f>
        <v>50</v>
      </c>
      <c r="X51" s="19">
        <f>SUM(X47:X49)</f>
        <v>1.3513513513513513</v>
      </c>
    </row>
    <row r="52" spans="8:35" x14ac:dyDescent="0.25">
      <c r="L52" s="19"/>
      <c r="M52" s="19"/>
      <c r="X52">
        <f>+X51*U47</f>
        <v>60.871682493304114</v>
      </c>
    </row>
    <row r="53" spans="8:35" x14ac:dyDescent="0.25">
      <c r="L53" s="19"/>
      <c r="M53" s="19"/>
    </row>
    <row r="54" spans="8:35" x14ac:dyDescent="0.25">
      <c r="H54" s="19">
        <f>+H49</f>
        <v>151.78</v>
      </c>
      <c r="I54">
        <v>50</v>
      </c>
      <c r="L54" s="19"/>
      <c r="M54" s="19"/>
    </row>
    <row r="55" spans="8:35" x14ac:dyDescent="0.25">
      <c r="H55" s="19">
        <v>0.18</v>
      </c>
      <c r="J55">
        <f>+H55*I54</f>
        <v>9</v>
      </c>
      <c r="L55" s="19"/>
      <c r="M55" s="19"/>
      <c r="U55">
        <v>50</v>
      </c>
      <c r="V55">
        <v>100</v>
      </c>
    </row>
    <row r="56" spans="8:35" x14ac:dyDescent="0.25">
      <c r="J56" s="82">
        <f>+J55/H54</f>
        <v>5.9296349980234551E-2</v>
      </c>
      <c r="K56" s="86">
        <v>1</v>
      </c>
      <c r="L56" s="19">
        <f>+J56/K56</f>
        <v>5.9296349980234551E-2</v>
      </c>
      <c r="M56" s="19">
        <f>+L56*K56</f>
        <v>5.9296349980234551E-2</v>
      </c>
      <c r="N56">
        <f>+H55*K56</f>
        <v>0.18</v>
      </c>
      <c r="O56" s="82">
        <f>+N56+M56</f>
        <v>0.23929634998023455</v>
      </c>
      <c r="P56">
        <f>+O56/K56</f>
        <v>0.23929634998023455</v>
      </c>
      <c r="U56">
        <v>110</v>
      </c>
    </row>
    <row r="57" spans="8:35" x14ac:dyDescent="0.25">
      <c r="L57" s="19"/>
      <c r="W57">
        <f>+U56*V55</f>
        <v>11000</v>
      </c>
    </row>
    <row r="58" spans="8:35" x14ac:dyDescent="0.25">
      <c r="L58" s="19">
        <f>SUM(L46:L56)</f>
        <v>0.89339833970220051</v>
      </c>
      <c r="M58">
        <f>SUM(M46:M56)</f>
        <v>50</v>
      </c>
      <c r="W58">
        <f>+W57/U55</f>
        <v>220</v>
      </c>
    </row>
    <row r="59" spans="8:35" x14ac:dyDescent="0.25">
      <c r="L59" s="19"/>
    </row>
  </sheetData>
  <hyperlinks>
    <hyperlink ref="AB36" r:id="rId1"/>
    <hyperlink ref="AB38" r:id="rId2"/>
    <hyperlink ref="AB39" r:id="rId3"/>
  </hyperlinks>
  <pageMargins left="0.7" right="0.7" top="0.75" bottom="0.75" header="0.3" footer="0.3"/>
  <pageSetup orientation="portrait" horizontalDpi="360" verticalDpi="360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1-3</vt:lpstr>
      <vt:lpstr>1 PRORRATEP</vt:lpstr>
      <vt:lpstr>2 prorrateo </vt:lpstr>
      <vt:lpstr>3 prorrateo</vt:lpstr>
      <vt:lpstr>4 prorrateo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dcterms:created xsi:type="dcterms:W3CDTF">2020-04-01T01:44:59Z</dcterms:created>
  <dcterms:modified xsi:type="dcterms:W3CDTF">2023-02-12T00:44:20Z</dcterms:modified>
</cp:coreProperties>
</file>