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elrojas/Desktop/"/>
    </mc:Choice>
  </mc:AlternateContent>
  <xr:revisionPtr revIDLastSave="0" documentId="13_ncr:1_{44BFE7B8-F8D1-024A-B0FE-1C4E576DE2F7}" xr6:coauthVersionLast="47" xr6:coauthVersionMax="47" xr10:uidLastSave="{00000000-0000-0000-0000-000000000000}"/>
  <bookViews>
    <workbookView xWindow="0" yWindow="500" windowWidth="28800" windowHeight="16260" xr2:uid="{15386165-D020-9D40-9D18-461A60DD11CC}"/>
  </bookViews>
  <sheets>
    <sheet name="Axies" sheetId="1" r:id="rId1"/>
    <sheet name="PedroNel" sheetId="2" r:id="rId2"/>
    <sheet name="Hoja2" sheetId="3" r:id="rId3"/>
    <sheet name="Hoja1" sheetId="4" r:id="rId4"/>
    <sheet name="Mons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4" i="1" l="1"/>
  <c r="C84" i="1"/>
  <c r="G83" i="1"/>
  <c r="D83" i="1"/>
  <c r="C83" i="1"/>
  <c r="D82" i="1"/>
  <c r="C82" i="1"/>
  <c r="D81" i="1"/>
  <c r="C81" i="1"/>
  <c r="C74" i="1"/>
  <c r="C75" i="1"/>
  <c r="C76" i="1"/>
  <c r="C77" i="1"/>
  <c r="C78" i="1"/>
  <c r="C79" i="1"/>
  <c r="E9" i="5"/>
  <c r="E6" i="5"/>
  <c r="E5" i="5"/>
  <c r="D30" i="4"/>
  <c r="D13" i="4"/>
  <c r="F12" i="4"/>
  <c r="H69" i="1"/>
  <c r="D73" i="1"/>
  <c r="C73" i="1"/>
  <c r="C72" i="1"/>
  <c r="D42" i="4"/>
  <c r="C71" i="1"/>
  <c r="C70" i="1"/>
  <c r="C69" i="1"/>
  <c r="C68" i="1"/>
  <c r="C67" i="1"/>
  <c r="C66" i="1"/>
  <c r="C65" i="1"/>
  <c r="C64" i="1"/>
  <c r="C63" i="1"/>
  <c r="C62" i="1"/>
  <c r="C61" i="1"/>
  <c r="C60" i="1"/>
  <c r="D60" i="1" s="1"/>
  <c r="H60" i="1"/>
  <c r="C59" i="1"/>
  <c r="H59" i="1"/>
  <c r="C57" i="1"/>
  <c r="D7" i="4"/>
  <c r="I14" i="4"/>
  <c r="I11" i="4"/>
  <c r="K11" i="4" s="1"/>
  <c r="C55" i="1"/>
  <c r="I21" i="4"/>
  <c r="D41" i="4"/>
  <c r="C54" i="1"/>
  <c r="C53" i="1"/>
  <c r="H53" i="1"/>
  <c r="H52" i="1"/>
  <c r="H50" i="1"/>
  <c r="C49" i="1"/>
  <c r="H48" i="1"/>
  <c r="H47" i="1"/>
  <c r="I47" i="1" s="1"/>
  <c r="C46" i="1"/>
  <c r="C45" i="1"/>
  <c r="D45" i="1" s="1"/>
  <c r="F45" i="1" s="1"/>
  <c r="C43" i="1"/>
  <c r="G43" i="1"/>
  <c r="C41" i="1"/>
  <c r="H40" i="1"/>
  <c r="C40" i="1"/>
  <c r="C39" i="1"/>
  <c r="E10" i="1"/>
  <c r="C38" i="1"/>
  <c r="C37" i="1"/>
  <c r="C36" i="1"/>
  <c r="C35" i="1"/>
  <c r="G42" i="1"/>
  <c r="C34" i="1"/>
  <c r="C32" i="1"/>
  <c r="D31" i="1"/>
  <c r="C28" i="1"/>
  <c r="C27" i="1"/>
  <c r="C26" i="1"/>
  <c r="C25" i="1"/>
  <c r="C24" i="1"/>
  <c r="C23" i="1"/>
  <c r="C22" i="1"/>
  <c r="C21" i="1"/>
  <c r="C20" i="1"/>
  <c r="E18" i="1"/>
  <c r="C18" i="1"/>
  <c r="C11" i="3"/>
  <c r="G3" i="3"/>
  <c r="C13" i="3"/>
  <c r="C10" i="3"/>
  <c r="C9" i="3"/>
  <c r="C8" i="3"/>
  <c r="C7" i="3"/>
  <c r="C6" i="3"/>
  <c r="G2" i="3"/>
  <c r="H2" i="3" s="1"/>
  <c r="C17" i="1"/>
  <c r="B10" i="1"/>
  <c r="D14" i="1"/>
  <c r="F14" i="1" s="1"/>
  <c r="G5" i="1"/>
  <c r="G4" i="1"/>
  <c r="G3" i="1"/>
  <c r="H61" i="1" l="1"/>
  <c r="D61" i="1"/>
  <c r="D62" i="1" s="1"/>
  <c r="D74" i="1"/>
  <c r="D46" i="1"/>
  <c r="H46" i="1"/>
  <c r="D32" i="1"/>
  <c r="D33" i="1" s="1"/>
  <c r="D34" i="1" s="1"/>
  <c r="D35" i="1" s="1"/>
  <c r="D36" i="1" s="1"/>
  <c r="D37" i="1" s="1"/>
  <c r="D38" i="1" s="1"/>
  <c r="D15" i="1"/>
  <c r="D16" i="1" s="1"/>
  <c r="F16" i="1" s="1"/>
  <c r="F38" i="1" l="1"/>
  <c r="H38" i="1"/>
  <c r="D39" i="1"/>
  <c r="H70" i="1"/>
  <c r="D75" i="1"/>
  <c r="D76" i="1" s="1"/>
  <c r="D77" i="1" s="1"/>
  <c r="D78" i="1" s="1"/>
  <c r="D79" i="1" s="1"/>
  <c r="D80" i="1" s="1"/>
  <c r="D63" i="1"/>
  <c r="D64" i="1" s="1"/>
  <c r="D65" i="1" s="1"/>
  <c r="D66" i="1" s="1"/>
  <c r="D67" i="1" s="1"/>
  <c r="D68" i="1" s="1"/>
  <c r="D69" i="1" s="1"/>
  <c r="D70" i="1" s="1"/>
  <c r="D71" i="1" s="1"/>
  <c r="H62" i="1"/>
  <c r="D47" i="1"/>
  <c r="F46" i="1"/>
  <c r="D17" i="1"/>
  <c r="F17" i="1"/>
  <c r="D18" i="1"/>
  <c r="D72" i="1" l="1"/>
  <c r="H63" i="1"/>
  <c r="D48" i="1"/>
  <c r="F47" i="1"/>
  <c r="F39" i="1"/>
  <c r="D40" i="1"/>
  <c r="D19" i="1"/>
  <c r="F18" i="1"/>
  <c r="F40" i="1" l="1"/>
  <c r="D41" i="1"/>
  <c r="I40" i="1"/>
  <c r="D49" i="1"/>
  <c r="H49" i="1"/>
  <c r="F48" i="1"/>
  <c r="F19" i="1"/>
  <c r="D20" i="1"/>
  <c r="D50" i="1" l="1"/>
  <c r="F49" i="1"/>
  <c r="H51" i="1"/>
  <c r="D42" i="1"/>
  <c r="F41" i="1"/>
  <c r="H43" i="1"/>
  <c r="D21" i="1"/>
  <c r="F20" i="1"/>
  <c r="D43" i="1" l="1"/>
  <c r="F42" i="1"/>
  <c r="H42" i="1" s="1"/>
  <c r="C51" i="1"/>
  <c r="D51" i="1" s="1"/>
  <c r="F50" i="1"/>
  <c r="D22" i="1"/>
  <c r="F21" i="1"/>
  <c r="C52" i="1" l="1"/>
  <c r="D52" i="1" s="1"/>
  <c r="F51" i="1"/>
  <c r="D44" i="1"/>
  <c r="F44" i="1" s="1"/>
  <c r="H44" i="1"/>
  <c r="F43" i="1"/>
  <c r="F22" i="1"/>
  <c r="D23" i="1"/>
  <c r="D53" i="1" l="1"/>
  <c r="F52" i="1"/>
  <c r="H23" i="1"/>
  <c r="D24" i="1"/>
  <c r="F23" i="1"/>
  <c r="F53" i="1" l="1"/>
  <c r="D54" i="1"/>
  <c r="H24" i="1"/>
  <c r="D25" i="1"/>
  <c r="F24" i="1"/>
  <c r="D55" i="1" l="1"/>
  <c r="H54" i="1"/>
  <c r="F54" i="1"/>
  <c r="D26" i="1"/>
  <c r="D27" i="1" s="1"/>
  <c r="H25" i="1"/>
  <c r="F25" i="1"/>
  <c r="F55" i="1" l="1"/>
  <c r="D56" i="1"/>
  <c r="H27" i="1"/>
  <c r="D28" i="1"/>
  <c r="D29" i="1" s="1"/>
  <c r="F27" i="1"/>
  <c r="H26" i="1"/>
  <c r="F26" i="1"/>
  <c r="I57" i="1" l="1"/>
  <c r="D57" i="1"/>
  <c r="F56" i="1"/>
  <c r="C30" i="1"/>
  <c r="F29" i="1"/>
  <c r="D30" i="1"/>
  <c r="H28" i="1"/>
  <c r="F28" i="1"/>
  <c r="H58" i="1" l="1"/>
  <c r="D58" i="1"/>
  <c r="F58" i="1" s="1"/>
  <c r="F57" i="1"/>
</calcChain>
</file>

<file path=xl/sharedStrings.xml><?xml version="1.0" encoding="utf-8"?>
<sst xmlns="http://schemas.openxmlformats.org/spreadsheetml/2006/main" count="101" uniqueCount="70">
  <si>
    <t>compra etherium</t>
  </si>
  <si>
    <t>etherium</t>
  </si>
  <si>
    <t>ARS</t>
  </si>
  <si>
    <t>fecha</t>
  </si>
  <si>
    <t>0.1</t>
  </si>
  <si>
    <t>0.01000001</t>
  </si>
  <si>
    <t>700 usd</t>
  </si>
  <si>
    <t>Pedro Nel</t>
  </si>
  <si>
    <t xml:space="preserve">fecha </t>
  </si>
  <si>
    <t>SLP</t>
  </si>
  <si>
    <t>0.1397</t>
  </si>
  <si>
    <t>Inverision</t>
  </si>
  <si>
    <t>Fecha</t>
  </si>
  <si>
    <t>SLP Acumulado</t>
  </si>
  <si>
    <t>Valor de SLP</t>
  </si>
  <si>
    <t>usd a la fecha</t>
  </si>
  <si>
    <t>430 usd</t>
  </si>
  <si>
    <t>USD inversion</t>
  </si>
  <si>
    <t>inversion en Criptops emergentes</t>
  </si>
  <si>
    <t>moneda</t>
  </si>
  <si>
    <t>cantidad moneda</t>
  </si>
  <si>
    <t>Cantida ARS</t>
  </si>
  <si>
    <t>USDT</t>
  </si>
  <si>
    <t>TRX</t>
  </si>
  <si>
    <t>SOL</t>
  </si>
  <si>
    <t>Doge</t>
  </si>
  <si>
    <t>ADA</t>
  </si>
  <si>
    <t>BCH</t>
  </si>
  <si>
    <t>bnb</t>
  </si>
  <si>
    <t>USD</t>
  </si>
  <si>
    <t>Valor Usd fecha</t>
  </si>
  <si>
    <t>390 usd</t>
  </si>
  <si>
    <t>Resumen de inversiones</t>
  </si>
  <si>
    <t>Juego NFT</t>
  </si>
  <si>
    <t>Cuenta</t>
  </si>
  <si>
    <t>cantidad</t>
  </si>
  <si>
    <t>Axie infinity</t>
  </si>
  <si>
    <t>principal</t>
  </si>
  <si>
    <t>Beca1</t>
  </si>
  <si>
    <t>Total inversion</t>
  </si>
  <si>
    <t xml:space="preserve">Cuenta </t>
  </si>
  <si>
    <t>Correo</t>
  </si>
  <si>
    <t>Contraseña</t>
  </si>
  <si>
    <t>Pedro2022</t>
  </si>
  <si>
    <t>leodevops08+01@gmail.com</t>
  </si>
  <si>
    <t>AL-01-Nelk</t>
  </si>
  <si>
    <t>inversiones en criptos</t>
  </si>
  <si>
    <t>Coin</t>
  </si>
  <si>
    <t>valor compra</t>
  </si>
  <si>
    <t>compra</t>
  </si>
  <si>
    <t>total coin</t>
  </si>
  <si>
    <t>compra de usdt</t>
  </si>
  <si>
    <t>cantidad SLP</t>
  </si>
  <si>
    <t>Retiros SLP</t>
  </si>
  <si>
    <t>Moni</t>
  </si>
  <si>
    <t>Retiros SLP Scholarship</t>
  </si>
  <si>
    <t>vendi</t>
  </si>
  <si>
    <t>beca2</t>
  </si>
  <si>
    <t>Shiba inu</t>
  </si>
  <si>
    <t>AL-02-M</t>
  </si>
  <si>
    <t>leodevops08+02@gmail.com</t>
  </si>
  <si>
    <t>Santiago02</t>
  </si>
  <si>
    <t>Luis</t>
  </si>
  <si>
    <t>Monsta</t>
  </si>
  <si>
    <t>Mosnta</t>
  </si>
  <si>
    <t>beca1</t>
  </si>
  <si>
    <t xml:space="preserve">Monsta </t>
  </si>
  <si>
    <t>david</t>
  </si>
  <si>
    <t>Holding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</si>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</sst>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&quot;$&quot;\ #,##0.00"/>
    <numFmt numFmtId="166" formatCode="dd\-mm\-yy;@"/>
    <numFmt numFmtId="167" formatCode="_([$USD]\ * #,##0.00_);_([$USD]\ * \(#,##0.00\);_([$USD]\ * &quot;-&quot;??_);_(@_)"/>
    <numFmt numFmtId="168" formatCode="_([$USD]\ * #,##0.000000_);_([$USD]\ * \(#,##0.000000\);_([$USD]\ * &quot;-&quot;??_);_(@_)"/>
    <numFmt numFmtId="169" formatCode="_([$USD]\ * #,##0.0_);_([$USD]\ * \(#,##0.0\);_([$USD]\ * &quot;-&quot;??_);_(@_)"/>
    <numFmt numFmtId="170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14" fontId="0" fillId="0" borderId="0" xfId="0" applyNumberFormat="1"/>
    <xf numFmtId="0" fontId="0" fillId="0" borderId="1" xfId="0" applyFill="1" applyBorder="1"/>
    <xf numFmtId="166" fontId="0" fillId="2" borderId="1" xfId="0" applyNumberFormat="1" applyFill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0" fillId="2" borderId="13" xfId="0" applyFill="1" applyBorder="1"/>
    <xf numFmtId="166" fontId="0" fillId="2" borderId="14" xfId="0" applyNumberFormat="1" applyFill="1" applyBorder="1"/>
    <xf numFmtId="0" fontId="1" fillId="2" borderId="14" xfId="1" applyFill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3" borderId="0" xfId="0" applyFont="1" applyFill="1"/>
    <xf numFmtId="167" fontId="0" fillId="0" borderId="1" xfId="2" applyNumberFormat="1" applyFont="1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/>
    <xf numFmtId="0" fontId="1" fillId="4" borderId="1" xfId="1" applyFill="1" applyBorder="1"/>
    <xf numFmtId="0" fontId="0" fillId="4" borderId="0" xfId="0" applyFill="1"/>
    <xf numFmtId="0" fontId="0" fillId="4" borderId="13" xfId="0" applyFill="1" applyBorder="1"/>
    <xf numFmtId="14" fontId="0" fillId="4" borderId="14" xfId="0" applyNumberFormat="1" applyFill="1" applyBorder="1"/>
    <xf numFmtId="0" fontId="1" fillId="4" borderId="14" xfId="1" applyFill="1" applyBorder="1"/>
    <xf numFmtId="0" fontId="0" fillId="4" borderId="14" xfId="0" applyFill="1" applyBorder="1"/>
    <xf numFmtId="14" fontId="0" fillId="5" borderId="1" xfId="0" applyNumberFormat="1" applyFill="1" applyBorder="1"/>
    <xf numFmtId="0" fontId="0" fillId="5" borderId="1" xfId="0" applyFill="1" applyBorder="1"/>
    <xf numFmtId="0" fontId="1" fillId="5" borderId="1" xfId="1" applyFill="1" applyBorder="1"/>
    <xf numFmtId="14" fontId="0" fillId="5" borderId="0" xfId="0" applyNumberFormat="1" applyFill="1"/>
    <xf numFmtId="0" fontId="0" fillId="5" borderId="0" xfId="0" applyFill="1"/>
    <xf numFmtId="0" fontId="0" fillId="0" borderId="13" xfId="0" applyFill="1" applyBorder="1"/>
    <xf numFmtId="167" fontId="0" fillId="0" borderId="13" xfId="2" applyNumberFormat="1" applyFont="1" applyFill="1" applyBorder="1"/>
    <xf numFmtId="167" fontId="0" fillId="0" borderId="0" xfId="0" applyNumberFormat="1"/>
    <xf numFmtId="167" fontId="0" fillId="6" borderId="0" xfId="0" applyNumberFormat="1" applyFill="1"/>
    <xf numFmtId="0" fontId="0" fillId="6" borderId="0" xfId="0" applyFill="1"/>
    <xf numFmtId="0" fontId="0" fillId="5" borderId="13" xfId="0" applyFill="1" applyBorder="1"/>
    <xf numFmtId="14" fontId="0" fillId="2" borderId="1" xfId="0" applyNumberFormat="1" applyFill="1" applyBorder="1"/>
    <xf numFmtId="167" fontId="0" fillId="0" borderId="1" xfId="2" applyNumberFormat="1" applyFont="1" applyFill="1" applyBorder="1"/>
    <xf numFmtId="14" fontId="0" fillId="0" borderId="1" xfId="0" applyNumberFormat="1" applyFill="1" applyBorder="1"/>
    <xf numFmtId="168" fontId="0" fillId="0" borderId="1" xfId="2" applyNumberFormat="1" applyFont="1" applyFill="1" applyBorder="1"/>
    <xf numFmtId="2" fontId="0" fillId="0" borderId="1" xfId="0" applyNumberFormat="1" applyFill="1" applyBorder="1"/>
    <xf numFmtId="169" fontId="0" fillId="0" borderId="1" xfId="2" applyNumberFormat="1" applyFont="1" applyFill="1" applyBorder="1"/>
    <xf numFmtId="170" fontId="0" fillId="0" borderId="1" xfId="0" applyNumberFormat="1" applyFill="1" applyBorder="1"/>
    <xf numFmtId="0" fontId="4" fillId="7" borderId="1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0" borderId="2" xfId="0" applyFont="1" applyBorder="1"/>
    <xf numFmtId="0" fontId="4" fillId="0" borderId="16" xfId="0" applyFont="1" applyBorder="1"/>
    <xf numFmtId="167" fontId="4" fillId="0" borderId="16" xfId="0" applyNumberFormat="1" applyFont="1" applyBorder="1"/>
    <xf numFmtId="14" fontId="4" fillId="0" borderId="16" xfId="0" applyNumberFormat="1" applyFont="1" applyBorder="1"/>
    <xf numFmtId="0" fontId="4" fillId="0" borderId="17" xfId="0" applyFont="1" applyBorder="1"/>
    <xf numFmtId="167" fontId="4" fillId="0" borderId="17" xfId="0" applyNumberFormat="1" applyFont="1" applyBorder="1"/>
    <xf numFmtId="14" fontId="4" fillId="0" borderId="0" xfId="0" applyNumberFormat="1" applyFont="1"/>
    <xf numFmtId="0" fontId="4" fillId="2" borderId="1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00FE00"/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odevops08+01@gmail.com" TargetMode="External"/><Relationship Id="rId2" Type="http://schemas.openxmlformats.org/officeDocument/2006/relationships/hyperlink" Target="mailto:leodevops08+02@gmail.com" TargetMode="External"/><Relationship Id="rId1" Type="http://schemas.openxmlformats.org/officeDocument/2006/relationships/hyperlink" Target="mailto:leodevops08+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274A-E93F-A544-805C-FA8A79CB6552}">
  <dimension ref="A1:I84"/>
  <sheetViews>
    <sheetView tabSelected="1" topLeftCell="A71" zoomScale="188" zoomScaleNormal="189" workbookViewId="0">
      <selection activeCell="F84" sqref="F84"/>
    </sheetView>
  </sheetViews>
  <sheetFormatPr baseColWidth="10" defaultRowHeight="16" x14ac:dyDescent="0.2"/>
  <cols>
    <col min="1" max="1" width="12.5" bestFit="1" customWidth="1"/>
    <col min="2" max="2" width="9" bestFit="1" customWidth="1"/>
    <col min="3" max="3" width="15.33203125" bestFit="1" customWidth="1"/>
    <col min="4" max="4" width="21.83203125" customWidth="1"/>
    <col min="6" max="7" width="11.83203125" bestFit="1" customWidth="1"/>
  </cols>
  <sheetData>
    <row r="1" spans="1:8" ht="17" thickBot="1" x14ac:dyDescent="0.25"/>
    <row r="2" spans="1:8" x14ac:dyDescent="0.2">
      <c r="B2" s="10" t="s">
        <v>11</v>
      </c>
      <c r="C2" s="11"/>
      <c r="D2" s="11" t="s">
        <v>3</v>
      </c>
      <c r="E2" s="11" t="s">
        <v>1</v>
      </c>
      <c r="F2" s="11" t="s">
        <v>2</v>
      </c>
      <c r="G2" s="12"/>
    </row>
    <row r="3" spans="1:8" x14ac:dyDescent="0.2">
      <c r="B3" s="5" t="s">
        <v>6</v>
      </c>
      <c r="C3" s="2" t="s">
        <v>0</v>
      </c>
      <c r="D3" s="3">
        <v>44422</v>
      </c>
      <c r="E3" s="2" t="s">
        <v>4</v>
      </c>
      <c r="F3" s="13">
        <v>59159.9</v>
      </c>
      <c r="G3" s="14">
        <f>F3*10</f>
        <v>591599</v>
      </c>
    </row>
    <row r="4" spans="1:8" x14ac:dyDescent="0.2">
      <c r="B4" s="5"/>
      <c r="C4" s="2"/>
      <c r="D4" s="2"/>
      <c r="E4" s="2" t="s">
        <v>4</v>
      </c>
      <c r="F4" s="13">
        <v>59239.89</v>
      </c>
      <c r="G4" s="14">
        <f>F4*10</f>
        <v>592398.9</v>
      </c>
    </row>
    <row r="5" spans="1:8" x14ac:dyDescent="0.2">
      <c r="B5" s="5"/>
      <c r="C5" s="2"/>
      <c r="D5" s="2"/>
      <c r="E5" s="2" t="s">
        <v>5</v>
      </c>
      <c r="F5" s="13">
        <v>5880.01</v>
      </c>
      <c r="G5" s="14">
        <f>F5*100</f>
        <v>588001</v>
      </c>
    </row>
    <row r="6" spans="1:8" x14ac:dyDescent="0.2">
      <c r="B6" s="5"/>
      <c r="C6" s="2"/>
      <c r="D6" s="2"/>
      <c r="E6" s="2"/>
      <c r="F6" s="13"/>
      <c r="G6" s="14"/>
    </row>
    <row r="7" spans="1:8" ht="17" thickBot="1" x14ac:dyDescent="0.25">
      <c r="B7" s="6" t="s">
        <v>16</v>
      </c>
      <c r="C7" s="7" t="s">
        <v>0</v>
      </c>
      <c r="D7" s="8">
        <v>44425</v>
      </c>
      <c r="E7" s="7" t="s">
        <v>10</v>
      </c>
      <c r="F7" s="7"/>
      <c r="G7" s="9"/>
    </row>
    <row r="8" spans="1:8" x14ac:dyDescent="0.2">
      <c r="B8" s="26">
        <v>390</v>
      </c>
      <c r="C8" s="26" t="s">
        <v>0</v>
      </c>
      <c r="D8" s="27">
        <v>44461</v>
      </c>
      <c r="E8" s="26">
        <v>0.1285</v>
      </c>
      <c r="F8" s="26" t="s">
        <v>31</v>
      </c>
      <c r="G8" s="26"/>
    </row>
    <row r="9" spans="1:8" x14ac:dyDescent="0.2">
      <c r="B9" s="27">
        <v>44425</v>
      </c>
      <c r="C9" s="27">
        <v>44461</v>
      </c>
      <c r="D9" s="27">
        <v>44465</v>
      </c>
      <c r="E9" s="26"/>
      <c r="F9" s="26"/>
      <c r="G9" s="26"/>
    </row>
    <row r="10" spans="1:8" ht="21" x14ac:dyDescent="0.25">
      <c r="A10" t="s">
        <v>17</v>
      </c>
      <c r="B10">
        <f>700+430</f>
        <v>1130</v>
      </c>
      <c r="C10">
        <v>390</v>
      </c>
      <c r="D10">
        <v>110</v>
      </c>
      <c r="E10" s="28">
        <f>B10+C10+D10</f>
        <v>1630</v>
      </c>
    </row>
    <row r="11" spans="1:8" x14ac:dyDescent="0.2">
      <c r="A11" t="s">
        <v>17</v>
      </c>
    </row>
    <row r="12" spans="1:8" x14ac:dyDescent="0.2">
      <c r="D12" s="1"/>
      <c r="H12" s="1"/>
    </row>
    <row r="13" spans="1:8" x14ac:dyDescent="0.2">
      <c r="B13" s="15" t="s">
        <v>12</v>
      </c>
      <c r="C13" s="15" t="s">
        <v>9</v>
      </c>
      <c r="D13" s="16" t="s">
        <v>13</v>
      </c>
      <c r="E13" s="18" t="s">
        <v>14</v>
      </c>
      <c r="F13" s="18" t="s">
        <v>15</v>
      </c>
      <c r="H13" s="1"/>
    </row>
    <row r="14" spans="1:8" x14ac:dyDescent="0.2">
      <c r="B14" s="19">
        <v>44440</v>
      </c>
      <c r="C14" s="20">
        <v>135</v>
      </c>
      <c r="D14" s="21">
        <f>C14+(1291+135)</f>
        <v>1561</v>
      </c>
      <c r="E14" s="20">
        <v>0.1183</v>
      </c>
      <c r="F14" s="20">
        <f>D14*E14</f>
        <v>184.66630000000001</v>
      </c>
    </row>
    <row r="15" spans="1:8" x14ac:dyDescent="0.2">
      <c r="B15" s="19">
        <v>44441</v>
      </c>
      <c r="C15" s="20">
        <v>135</v>
      </c>
      <c r="D15" s="21">
        <f>D14+C15</f>
        <v>1696</v>
      </c>
      <c r="E15" s="20"/>
      <c r="F15" s="20"/>
    </row>
    <row r="16" spans="1:8" x14ac:dyDescent="0.2">
      <c r="B16" s="19">
        <v>44442</v>
      </c>
      <c r="C16" s="20">
        <v>135</v>
      </c>
      <c r="D16" s="21">
        <f>D15+C16</f>
        <v>1831</v>
      </c>
      <c r="E16" s="20">
        <v>0.128</v>
      </c>
      <c r="F16" s="20">
        <f t="shared" ref="F16:F18" si="0">D16*E16</f>
        <v>234.36799999999999</v>
      </c>
    </row>
    <row r="17" spans="2:8" x14ac:dyDescent="0.2">
      <c r="B17" s="19">
        <v>44443</v>
      </c>
      <c r="C17" s="20">
        <f>51+75</f>
        <v>126</v>
      </c>
      <c r="D17" s="21">
        <f t="shared" ref="D17:D18" si="1">D16+C17</f>
        <v>1957</v>
      </c>
      <c r="E17" s="20">
        <v>0.1212</v>
      </c>
      <c r="F17" s="20">
        <f t="shared" si="0"/>
        <v>237.1884</v>
      </c>
    </row>
    <row r="18" spans="2:8" x14ac:dyDescent="0.2">
      <c r="B18" s="19">
        <v>44444</v>
      </c>
      <c r="C18" s="20">
        <f>75+6*11+3*1</f>
        <v>144</v>
      </c>
      <c r="D18" s="21">
        <f t="shared" si="1"/>
        <v>2101</v>
      </c>
      <c r="E18" s="20">
        <f>0.1198</f>
        <v>0.1198</v>
      </c>
      <c r="F18" s="20">
        <f t="shared" si="0"/>
        <v>251.69980000000001</v>
      </c>
    </row>
    <row r="19" spans="2:8" x14ac:dyDescent="0.2">
      <c r="B19" s="19">
        <v>44445</v>
      </c>
      <c r="C19" s="20">
        <v>138</v>
      </c>
      <c r="D19" s="21">
        <f t="shared" ref="D19:D30" si="2">D18+C19</f>
        <v>2239</v>
      </c>
      <c r="E19" s="20">
        <v>0.1168</v>
      </c>
      <c r="F19" s="20">
        <f t="shared" ref="F19:F29" si="3">D19*E19</f>
        <v>261.51519999999999</v>
      </c>
    </row>
    <row r="20" spans="2:8" x14ac:dyDescent="0.2">
      <c r="B20" s="19">
        <v>44446</v>
      </c>
      <c r="C20" s="20">
        <f>75+42</f>
        <v>117</v>
      </c>
      <c r="D20" s="21">
        <f t="shared" si="2"/>
        <v>2356</v>
      </c>
      <c r="E20" s="20">
        <v>0.1</v>
      </c>
      <c r="F20" s="20">
        <f t="shared" si="3"/>
        <v>235.60000000000002</v>
      </c>
    </row>
    <row r="21" spans="2:8" x14ac:dyDescent="0.2">
      <c r="B21" s="19">
        <v>44447</v>
      </c>
      <c r="C21" s="20">
        <f>6*13+75</f>
        <v>153</v>
      </c>
      <c r="D21" s="21">
        <f t="shared" si="2"/>
        <v>2509</v>
      </c>
      <c r="E21" s="20">
        <v>9.8000000000000004E-2</v>
      </c>
      <c r="F21" s="20">
        <f t="shared" si="3"/>
        <v>245.88200000000001</v>
      </c>
    </row>
    <row r="22" spans="2:8" x14ac:dyDescent="0.2">
      <c r="B22" s="19">
        <v>44448</v>
      </c>
      <c r="C22" s="22">
        <f>75+72</f>
        <v>147</v>
      </c>
      <c r="D22" s="21">
        <f t="shared" si="2"/>
        <v>2656</v>
      </c>
      <c r="E22" s="23">
        <v>9.9000000000000005E-2</v>
      </c>
      <c r="F22" s="23">
        <f t="shared" si="3"/>
        <v>262.94400000000002</v>
      </c>
    </row>
    <row r="23" spans="2:8" x14ac:dyDescent="0.2">
      <c r="B23" s="19">
        <v>44449</v>
      </c>
      <c r="C23" s="22">
        <f>75+87+12+6</f>
        <v>180</v>
      </c>
      <c r="D23" s="21">
        <f t="shared" si="2"/>
        <v>2836</v>
      </c>
      <c r="E23" s="22">
        <v>8.5000000000000006E-2</v>
      </c>
      <c r="F23" s="23">
        <f t="shared" si="3"/>
        <v>241.06000000000003</v>
      </c>
      <c r="H23">
        <f>D23*0.12</f>
        <v>340.32</v>
      </c>
    </row>
    <row r="24" spans="2:8" x14ac:dyDescent="0.2">
      <c r="B24" s="19">
        <v>44450</v>
      </c>
      <c r="C24" s="22">
        <f>9*10+75</f>
        <v>165</v>
      </c>
      <c r="D24" s="21">
        <f t="shared" si="2"/>
        <v>3001</v>
      </c>
      <c r="E24" s="22">
        <v>8.6999999999999994E-2</v>
      </c>
      <c r="F24" s="23">
        <f t="shared" si="3"/>
        <v>261.08699999999999</v>
      </c>
      <c r="H24">
        <f>D24*0.12</f>
        <v>360.12</v>
      </c>
    </row>
    <row r="25" spans="2:8" x14ac:dyDescent="0.2">
      <c r="B25" s="19">
        <v>44451</v>
      </c>
      <c r="C25" s="22">
        <f>9*3+6+9+75</f>
        <v>117</v>
      </c>
      <c r="D25" s="21">
        <f t="shared" si="2"/>
        <v>3118</v>
      </c>
      <c r="E25" s="22">
        <v>8.1000000000000003E-2</v>
      </c>
      <c r="F25" s="23">
        <f t="shared" si="3"/>
        <v>252.55800000000002</v>
      </c>
      <c r="H25">
        <f>D25*0.12</f>
        <v>374.15999999999997</v>
      </c>
    </row>
    <row r="26" spans="2:8" x14ac:dyDescent="0.2">
      <c r="B26" s="19">
        <v>44452</v>
      </c>
      <c r="C26" s="22">
        <f>60+75</f>
        <v>135</v>
      </c>
      <c r="D26" s="21">
        <f t="shared" si="2"/>
        <v>3253</v>
      </c>
      <c r="E26" s="22">
        <v>0.08</v>
      </c>
      <c r="F26" s="23">
        <f t="shared" si="3"/>
        <v>260.24</v>
      </c>
      <c r="H26">
        <f>D26*0.12</f>
        <v>390.36</v>
      </c>
    </row>
    <row r="27" spans="2:8" x14ac:dyDescent="0.2">
      <c r="B27" s="19">
        <v>44453</v>
      </c>
      <c r="C27" s="22">
        <f>75+33</f>
        <v>108</v>
      </c>
      <c r="D27" s="21">
        <f t="shared" si="2"/>
        <v>3361</v>
      </c>
      <c r="E27" s="22">
        <v>0.08</v>
      </c>
      <c r="F27" s="23">
        <f t="shared" si="3"/>
        <v>268.88</v>
      </c>
      <c r="H27">
        <f t="shared" ref="H27:H28" si="4">D27*0.12</f>
        <v>403.32</v>
      </c>
    </row>
    <row r="28" spans="2:8" x14ac:dyDescent="0.2">
      <c r="B28" s="19">
        <v>44454</v>
      </c>
      <c r="C28" s="22">
        <f>75+54</f>
        <v>129</v>
      </c>
      <c r="D28" s="21">
        <f t="shared" si="2"/>
        <v>3490</v>
      </c>
      <c r="E28" s="22">
        <v>0.89</v>
      </c>
      <c r="F28" s="23">
        <f t="shared" si="3"/>
        <v>3106.1</v>
      </c>
      <c r="H28">
        <f t="shared" si="4"/>
        <v>418.8</v>
      </c>
    </row>
    <row r="29" spans="2:8" x14ac:dyDescent="0.2">
      <c r="B29" s="19">
        <v>44455</v>
      </c>
      <c r="C29" s="22">
        <v>105</v>
      </c>
      <c r="D29" s="21">
        <f t="shared" si="2"/>
        <v>3595</v>
      </c>
      <c r="E29" s="22">
        <v>8.7999999999999995E-2</v>
      </c>
      <c r="F29" s="23">
        <f t="shared" si="3"/>
        <v>316.35999999999996</v>
      </c>
    </row>
    <row r="30" spans="2:8" x14ac:dyDescent="0.2">
      <c r="B30" s="24">
        <v>44456</v>
      </c>
      <c r="C30" s="22">
        <f>3715-D29</f>
        <v>120</v>
      </c>
      <c r="D30" s="25">
        <f t="shared" si="2"/>
        <v>3715</v>
      </c>
      <c r="E30" s="22"/>
      <c r="F30" s="22"/>
    </row>
    <row r="31" spans="2:8" x14ac:dyDescent="0.2">
      <c r="B31" s="33">
        <v>44457</v>
      </c>
      <c r="C31" s="34">
        <v>121</v>
      </c>
      <c r="D31" s="35">
        <f>C31</f>
        <v>121</v>
      </c>
      <c r="E31" s="34"/>
      <c r="F31" s="34"/>
    </row>
    <row r="32" spans="2:8" x14ac:dyDescent="0.2">
      <c r="B32" s="33">
        <v>44458</v>
      </c>
      <c r="C32" s="34">
        <f>75+57</f>
        <v>132</v>
      </c>
      <c r="D32" s="35">
        <f t="shared" ref="D32:D44" si="5">D31+C32</f>
        <v>253</v>
      </c>
      <c r="E32" s="34">
        <v>7.2999999999999995E-2</v>
      </c>
      <c r="F32" s="34"/>
    </row>
    <row r="33" spans="2:9" x14ac:dyDescent="0.2">
      <c r="B33" s="33">
        <v>44459</v>
      </c>
      <c r="C33" s="34">
        <v>135</v>
      </c>
      <c r="D33" s="35">
        <f t="shared" si="5"/>
        <v>388</v>
      </c>
      <c r="E33" s="34"/>
      <c r="F33" s="34"/>
    </row>
    <row r="34" spans="2:9" x14ac:dyDescent="0.2">
      <c r="B34" s="33">
        <v>44460</v>
      </c>
      <c r="C34" s="34">
        <f>75+54</f>
        <v>129</v>
      </c>
      <c r="D34" s="35">
        <f t="shared" si="5"/>
        <v>517</v>
      </c>
      <c r="E34" s="34"/>
      <c r="F34" s="34"/>
    </row>
    <row r="35" spans="2:9" x14ac:dyDescent="0.2">
      <c r="B35" s="33">
        <v>44461</v>
      </c>
      <c r="C35" s="34">
        <f>75+69</f>
        <v>144</v>
      </c>
      <c r="D35" s="35">
        <f t="shared" si="5"/>
        <v>661</v>
      </c>
      <c r="E35" s="34"/>
      <c r="F35" s="34"/>
    </row>
    <row r="36" spans="2:9" x14ac:dyDescent="0.2">
      <c r="B36" s="33">
        <v>44462</v>
      </c>
      <c r="C36" s="34">
        <f>102+75</f>
        <v>177</v>
      </c>
      <c r="D36" s="35">
        <f t="shared" si="5"/>
        <v>838</v>
      </c>
      <c r="E36" s="34"/>
      <c r="F36" s="34"/>
    </row>
    <row r="37" spans="2:9" x14ac:dyDescent="0.2">
      <c r="B37" s="33">
        <v>44463</v>
      </c>
      <c r="C37" s="34">
        <f>75+63</f>
        <v>138</v>
      </c>
      <c r="D37" s="35">
        <f t="shared" si="5"/>
        <v>976</v>
      </c>
      <c r="E37" s="34"/>
      <c r="F37" s="34"/>
    </row>
    <row r="38" spans="2:9" x14ac:dyDescent="0.2">
      <c r="B38" s="33">
        <v>44464</v>
      </c>
      <c r="C38" s="34">
        <f>129+75</f>
        <v>204</v>
      </c>
      <c r="D38" s="35">
        <f t="shared" si="5"/>
        <v>1180</v>
      </c>
      <c r="E38" s="34">
        <v>6.5000000000000002E-2</v>
      </c>
      <c r="F38" s="34">
        <f t="shared" ref="F38:F58" si="6">E38*D38</f>
        <v>76.7</v>
      </c>
      <c r="H38">
        <f>1268-D38</f>
        <v>88</v>
      </c>
    </row>
    <row r="39" spans="2:9" x14ac:dyDescent="0.2">
      <c r="B39" s="33">
        <v>44465</v>
      </c>
      <c r="C39" s="34">
        <f>75+78</f>
        <v>153</v>
      </c>
      <c r="D39" s="35">
        <f t="shared" si="5"/>
        <v>1333</v>
      </c>
      <c r="E39" s="34">
        <v>6.8000000000000005E-2</v>
      </c>
      <c r="F39" s="34">
        <f t="shared" si="6"/>
        <v>90.644000000000005</v>
      </c>
    </row>
    <row r="40" spans="2:9" x14ac:dyDescent="0.2">
      <c r="B40" s="33">
        <v>44466</v>
      </c>
      <c r="C40" s="34">
        <f>75+99</f>
        <v>174</v>
      </c>
      <c r="D40" s="35">
        <f t="shared" si="5"/>
        <v>1507</v>
      </c>
      <c r="E40" s="34">
        <v>7.0000000000000007E-2</v>
      </c>
      <c r="F40" s="34">
        <f t="shared" si="6"/>
        <v>105.49000000000001</v>
      </c>
      <c r="H40">
        <f>1610+26</f>
        <v>1636</v>
      </c>
      <c r="I40">
        <f>H40-D40</f>
        <v>129</v>
      </c>
    </row>
    <row r="41" spans="2:9" x14ac:dyDescent="0.2">
      <c r="B41" s="33">
        <v>44467</v>
      </c>
      <c r="C41" s="36">
        <f>129</f>
        <v>129</v>
      </c>
      <c r="D41" s="35">
        <f t="shared" si="5"/>
        <v>1636</v>
      </c>
      <c r="E41" s="37">
        <v>7.0000000000000007E-2</v>
      </c>
      <c r="F41" s="34">
        <f t="shared" si="6"/>
        <v>114.52000000000001</v>
      </c>
    </row>
    <row r="42" spans="2:9" x14ac:dyDescent="0.2">
      <c r="B42" s="33">
        <v>44468</v>
      </c>
      <c r="C42" s="36">
        <v>123</v>
      </c>
      <c r="D42" s="35">
        <f t="shared" si="5"/>
        <v>1759</v>
      </c>
      <c r="E42" s="37">
        <v>7.0000000000000007E-2</v>
      </c>
      <c r="F42" s="34">
        <f t="shared" si="6"/>
        <v>123.13000000000001</v>
      </c>
      <c r="G42">
        <f>50/3000</f>
        <v>1.6666666666666666E-2</v>
      </c>
      <c r="H42">
        <f>F42+G42</f>
        <v>123.14666666666668</v>
      </c>
    </row>
    <row r="43" spans="2:9" x14ac:dyDescent="0.2">
      <c r="B43" s="33">
        <v>44469</v>
      </c>
      <c r="C43" s="36">
        <f>158+75</f>
        <v>233</v>
      </c>
      <c r="D43" s="35">
        <f t="shared" si="5"/>
        <v>1992</v>
      </c>
      <c r="E43" s="37">
        <v>7.0000000000000007E-2</v>
      </c>
      <c r="F43" s="34">
        <f t="shared" si="6"/>
        <v>139.44000000000003</v>
      </c>
      <c r="G43">
        <f>1731+28</f>
        <v>1759</v>
      </c>
      <c r="H43">
        <f>G43-D41</f>
        <v>123</v>
      </c>
    </row>
    <row r="44" spans="2:9" x14ac:dyDescent="0.2">
      <c r="B44" s="38">
        <v>44470</v>
      </c>
      <c r="C44" s="36">
        <v>243</v>
      </c>
      <c r="D44" s="39">
        <f t="shared" si="5"/>
        <v>2235</v>
      </c>
      <c r="E44" s="37">
        <v>7.0000000000000007E-2</v>
      </c>
      <c r="F44" s="40">
        <f t="shared" si="6"/>
        <v>156.45000000000002</v>
      </c>
      <c r="H44">
        <f>2235-D43</f>
        <v>243</v>
      </c>
    </row>
    <row r="45" spans="2:9" x14ac:dyDescent="0.2">
      <c r="B45" s="41">
        <v>44471</v>
      </c>
      <c r="C45" s="42">
        <f>75+93</f>
        <v>168</v>
      </c>
      <c r="D45" s="43">
        <f>C45</f>
        <v>168</v>
      </c>
      <c r="E45" s="43">
        <v>7.1999999999999995E-2</v>
      </c>
      <c r="F45" s="43">
        <f t="shared" si="6"/>
        <v>12.095999999999998</v>
      </c>
    </row>
    <row r="46" spans="2:9" x14ac:dyDescent="0.2">
      <c r="B46" s="41">
        <v>44472</v>
      </c>
      <c r="C46" s="42">
        <f>117+75</f>
        <v>192</v>
      </c>
      <c r="D46" s="43">
        <f t="shared" ref="D46:D53" si="7">D45+C46</f>
        <v>360</v>
      </c>
      <c r="E46" s="42">
        <v>7.8E-2</v>
      </c>
      <c r="F46" s="42">
        <f t="shared" si="6"/>
        <v>28.08</v>
      </c>
      <c r="H46">
        <f>360-D45</f>
        <v>192</v>
      </c>
    </row>
    <row r="47" spans="2:9" x14ac:dyDescent="0.2">
      <c r="B47" s="41">
        <v>44473</v>
      </c>
      <c r="C47" s="42">
        <v>189</v>
      </c>
      <c r="D47" s="43">
        <f t="shared" si="7"/>
        <v>549</v>
      </c>
      <c r="E47" s="42">
        <v>0.09</v>
      </c>
      <c r="F47" s="42">
        <f t="shared" si="6"/>
        <v>49.41</v>
      </c>
      <c r="H47">
        <f>486+38+25</f>
        <v>549</v>
      </c>
      <c r="I47">
        <f>H47-360</f>
        <v>189</v>
      </c>
    </row>
    <row r="48" spans="2:9" x14ac:dyDescent="0.2">
      <c r="B48" s="41">
        <v>44474</v>
      </c>
      <c r="C48" s="42">
        <v>129</v>
      </c>
      <c r="D48" s="43">
        <f t="shared" si="7"/>
        <v>678</v>
      </c>
      <c r="E48" s="42">
        <v>8.2000000000000003E-2</v>
      </c>
      <c r="F48" s="42">
        <f t="shared" si="6"/>
        <v>55.596000000000004</v>
      </c>
      <c r="H48">
        <f>651+27</f>
        <v>678</v>
      </c>
    </row>
    <row r="49" spans="2:9" x14ac:dyDescent="0.2">
      <c r="B49" s="41">
        <v>44475</v>
      </c>
      <c r="C49" s="42">
        <f>75+108</f>
        <v>183</v>
      </c>
      <c r="D49" s="43">
        <f t="shared" si="7"/>
        <v>861</v>
      </c>
      <c r="E49" s="42">
        <v>8.6999999999999994E-2</v>
      </c>
      <c r="F49" s="42">
        <f t="shared" si="6"/>
        <v>74.906999999999996</v>
      </c>
      <c r="H49">
        <f>861-D48</f>
        <v>183</v>
      </c>
    </row>
    <row r="50" spans="2:9" x14ac:dyDescent="0.2">
      <c r="B50" s="41">
        <v>44476</v>
      </c>
      <c r="C50" s="42">
        <v>207</v>
      </c>
      <c r="D50" s="43">
        <f t="shared" si="7"/>
        <v>1068</v>
      </c>
      <c r="E50" s="42">
        <v>0.09</v>
      </c>
      <c r="F50" s="42">
        <f t="shared" si="6"/>
        <v>96.11999999999999</v>
      </c>
      <c r="H50">
        <f>993+75</f>
        <v>1068</v>
      </c>
    </row>
    <row r="51" spans="2:9" x14ac:dyDescent="0.2">
      <c r="B51" s="41">
        <v>44477</v>
      </c>
      <c r="C51" s="42">
        <f>1227-D50</f>
        <v>159</v>
      </c>
      <c r="D51" s="43">
        <f t="shared" si="7"/>
        <v>1227</v>
      </c>
      <c r="E51" s="42">
        <v>0.09</v>
      </c>
      <c r="F51" s="42">
        <f t="shared" si="6"/>
        <v>110.42999999999999</v>
      </c>
      <c r="H51">
        <f>H50-D49</f>
        <v>207</v>
      </c>
    </row>
    <row r="52" spans="2:9" x14ac:dyDescent="0.2">
      <c r="B52" s="41">
        <v>44478</v>
      </c>
      <c r="C52" s="42">
        <f>1422-D51</f>
        <v>195</v>
      </c>
      <c r="D52" s="43">
        <f t="shared" si="7"/>
        <v>1422</v>
      </c>
      <c r="E52" s="42">
        <v>0.09</v>
      </c>
      <c r="F52" s="42">
        <f t="shared" si="6"/>
        <v>127.97999999999999</v>
      </c>
      <c r="H52">
        <f>1157+70</f>
        <v>1227</v>
      </c>
    </row>
    <row r="53" spans="2:9" x14ac:dyDescent="0.2">
      <c r="B53" s="41">
        <v>44479</v>
      </c>
      <c r="C53" s="42">
        <f>(9*12)+72</f>
        <v>180</v>
      </c>
      <c r="D53" s="43">
        <f t="shared" si="7"/>
        <v>1602</v>
      </c>
      <c r="E53" s="42">
        <v>0.09</v>
      </c>
      <c r="F53" s="42">
        <f t="shared" si="6"/>
        <v>144.18</v>
      </c>
      <c r="H53">
        <f>1406+16</f>
        <v>1422</v>
      </c>
    </row>
    <row r="54" spans="2:9" x14ac:dyDescent="0.2">
      <c r="B54" s="41">
        <v>44480</v>
      </c>
      <c r="C54" s="42">
        <f>75+96</f>
        <v>171</v>
      </c>
      <c r="D54" s="43">
        <f t="shared" ref="D54:D58" si="8">D53+C54</f>
        <v>1773</v>
      </c>
      <c r="E54" s="42">
        <v>0.09</v>
      </c>
      <c r="F54" s="42">
        <f t="shared" si="6"/>
        <v>159.57</v>
      </c>
      <c r="H54">
        <f>D54*0.073</f>
        <v>129.429</v>
      </c>
    </row>
    <row r="55" spans="2:9" x14ac:dyDescent="0.2">
      <c r="B55" s="41">
        <v>44481</v>
      </c>
      <c r="C55" s="42">
        <f>156+75</f>
        <v>231</v>
      </c>
      <c r="D55" s="43">
        <f t="shared" si="8"/>
        <v>2004</v>
      </c>
      <c r="E55" s="51">
        <v>0.09</v>
      </c>
      <c r="F55" s="42">
        <f t="shared" si="6"/>
        <v>180.35999999999999</v>
      </c>
    </row>
    <row r="56" spans="2:9" x14ac:dyDescent="0.2">
      <c r="B56" s="41">
        <v>44482</v>
      </c>
      <c r="C56" s="42">
        <v>219</v>
      </c>
      <c r="D56" s="43">
        <f t="shared" si="8"/>
        <v>2223</v>
      </c>
      <c r="E56" s="42"/>
      <c r="F56" s="42">
        <f t="shared" si="6"/>
        <v>0</v>
      </c>
    </row>
    <row r="57" spans="2:9" x14ac:dyDescent="0.2">
      <c r="B57" s="41">
        <v>44483</v>
      </c>
      <c r="C57" s="42">
        <f>121+75-34</f>
        <v>162</v>
      </c>
      <c r="D57" s="43">
        <f t="shared" si="8"/>
        <v>2385</v>
      </c>
      <c r="E57" s="42"/>
      <c r="F57" s="42">
        <f t="shared" si="6"/>
        <v>0</v>
      </c>
      <c r="H57">
        <v>2344</v>
      </c>
      <c r="I57">
        <f>H57-D56</f>
        <v>121</v>
      </c>
    </row>
    <row r="58" spans="2:9" x14ac:dyDescent="0.2">
      <c r="B58" s="41">
        <v>44484</v>
      </c>
      <c r="C58" s="42">
        <v>135</v>
      </c>
      <c r="D58" s="43">
        <f t="shared" si="8"/>
        <v>2520</v>
      </c>
      <c r="E58" s="42"/>
      <c r="F58" s="42">
        <f t="shared" si="6"/>
        <v>0</v>
      </c>
      <c r="H58">
        <f>2520-D57</f>
        <v>135</v>
      </c>
    </row>
    <row r="59" spans="2:9" x14ac:dyDescent="0.2">
      <c r="B59" s="52">
        <v>44485</v>
      </c>
      <c r="C59" s="20">
        <f>114+75</f>
        <v>189</v>
      </c>
      <c r="D59" s="20">
        <v>189</v>
      </c>
      <c r="E59" s="20"/>
      <c r="F59" s="20"/>
      <c r="H59">
        <f>34*0.075</f>
        <v>2.5499999999999998</v>
      </c>
    </row>
    <row r="60" spans="2:9" x14ac:dyDescent="0.2">
      <c r="B60" s="52">
        <v>44486</v>
      </c>
      <c r="C60" s="20">
        <f>164-35+75</f>
        <v>204</v>
      </c>
      <c r="D60" s="20">
        <f>D59+C60</f>
        <v>393</v>
      </c>
      <c r="E60" s="20"/>
      <c r="F60" s="20"/>
      <c r="H60">
        <f>353-189</f>
        <v>164</v>
      </c>
    </row>
    <row r="61" spans="2:9" x14ac:dyDescent="0.2">
      <c r="B61" s="52">
        <v>44487</v>
      </c>
      <c r="C61" s="20">
        <f>144+75</f>
        <v>219</v>
      </c>
      <c r="D61" s="20">
        <f t="shared" ref="D61:D72" si="9">D60+C61</f>
        <v>612</v>
      </c>
      <c r="E61" s="20"/>
      <c r="F61" s="20"/>
      <c r="H61">
        <f>537-D60</f>
        <v>144</v>
      </c>
    </row>
    <row r="62" spans="2:9" x14ac:dyDescent="0.2">
      <c r="B62" s="52">
        <v>44488</v>
      </c>
      <c r="C62" s="20">
        <f>-612+720+75</f>
        <v>183</v>
      </c>
      <c r="D62" s="20">
        <f t="shared" si="9"/>
        <v>795</v>
      </c>
      <c r="E62" s="20"/>
      <c r="F62" s="20"/>
      <c r="H62">
        <f>927-D62</f>
        <v>132</v>
      </c>
    </row>
    <row r="63" spans="2:9" x14ac:dyDescent="0.2">
      <c r="B63" s="52">
        <v>44489</v>
      </c>
      <c r="C63" s="20">
        <f>132+75</f>
        <v>207</v>
      </c>
      <c r="D63" s="20">
        <f t="shared" si="9"/>
        <v>1002</v>
      </c>
      <c r="E63" s="20"/>
      <c r="F63" s="20"/>
      <c r="H63">
        <f>2835-D71</f>
        <v>156</v>
      </c>
    </row>
    <row r="64" spans="2:9" x14ac:dyDescent="0.2">
      <c r="B64" s="52">
        <v>44490</v>
      </c>
      <c r="C64" s="20">
        <f>168+75</f>
        <v>243</v>
      </c>
      <c r="D64" s="20">
        <f t="shared" si="9"/>
        <v>1245</v>
      </c>
      <c r="E64" s="20"/>
      <c r="F64" s="20"/>
    </row>
    <row r="65" spans="2:8" x14ac:dyDescent="0.2">
      <c r="B65" s="52">
        <v>44491</v>
      </c>
      <c r="C65" s="20">
        <f>142+75</f>
        <v>217</v>
      </c>
      <c r="D65" s="20">
        <f t="shared" si="9"/>
        <v>1462</v>
      </c>
      <c r="E65" s="20"/>
      <c r="F65" s="20"/>
    </row>
    <row r="66" spans="2:8" x14ac:dyDescent="0.2">
      <c r="B66" s="52">
        <v>44492</v>
      </c>
      <c r="C66" s="20">
        <f>77+75</f>
        <v>152</v>
      </c>
      <c r="D66" s="20">
        <f t="shared" si="9"/>
        <v>1614</v>
      </c>
      <c r="E66" s="20"/>
      <c r="F66" s="20"/>
    </row>
    <row r="67" spans="2:8" x14ac:dyDescent="0.2">
      <c r="B67" s="52">
        <v>44493</v>
      </c>
      <c r="C67" s="20">
        <f>120+75</f>
        <v>195</v>
      </c>
      <c r="D67" s="20">
        <f t="shared" si="9"/>
        <v>1809</v>
      </c>
      <c r="E67" s="20"/>
      <c r="F67" s="20"/>
    </row>
    <row r="68" spans="2:8" x14ac:dyDescent="0.2">
      <c r="B68" s="52">
        <v>44494</v>
      </c>
      <c r="C68" s="20">
        <f>108+75</f>
        <v>183</v>
      </c>
      <c r="D68" s="20">
        <f t="shared" si="9"/>
        <v>1992</v>
      </c>
      <c r="E68" s="20"/>
      <c r="F68" s="20"/>
    </row>
    <row r="69" spans="2:8" x14ac:dyDescent="0.2">
      <c r="B69" s="52">
        <v>44495</v>
      </c>
      <c r="C69" s="20">
        <f>132+75</f>
        <v>207</v>
      </c>
      <c r="D69" s="20">
        <f t="shared" si="9"/>
        <v>2199</v>
      </c>
      <c r="E69" s="20"/>
      <c r="F69" s="20"/>
      <c r="H69">
        <f>3525-2910</f>
        <v>615</v>
      </c>
    </row>
    <row r="70" spans="2:8" x14ac:dyDescent="0.2">
      <c r="B70" s="52">
        <v>44496</v>
      </c>
      <c r="C70" s="20">
        <f>144+75</f>
        <v>219</v>
      </c>
      <c r="D70" s="20">
        <f t="shared" si="9"/>
        <v>2418</v>
      </c>
      <c r="E70" s="20"/>
      <c r="F70" s="20"/>
      <c r="H70">
        <f>615-D74</f>
        <v>150</v>
      </c>
    </row>
    <row r="71" spans="2:8" x14ac:dyDescent="0.2">
      <c r="B71" s="52">
        <v>44497</v>
      </c>
      <c r="C71" s="20">
        <f>186+75</f>
        <v>261</v>
      </c>
      <c r="D71" s="20">
        <f t="shared" si="9"/>
        <v>2679</v>
      </c>
      <c r="E71" s="20"/>
      <c r="F71" s="20"/>
    </row>
    <row r="72" spans="2:8" x14ac:dyDescent="0.2">
      <c r="B72" s="52">
        <v>44498</v>
      </c>
      <c r="C72" s="20">
        <f>156+75</f>
        <v>231</v>
      </c>
      <c r="D72" s="20">
        <f t="shared" si="9"/>
        <v>2910</v>
      </c>
      <c r="E72" s="20"/>
      <c r="F72" s="20"/>
    </row>
    <row r="73" spans="2:8" x14ac:dyDescent="0.2">
      <c r="B73" s="41">
        <v>44499</v>
      </c>
      <c r="C73" s="42">
        <f>147+75</f>
        <v>222</v>
      </c>
      <c r="D73" s="42">
        <f>C73</f>
        <v>222</v>
      </c>
      <c r="E73" s="42"/>
      <c r="F73" s="42"/>
    </row>
    <row r="74" spans="2:8" x14ac:dyDescent="0.2">
      <c r="B74" s="41">
        <v>44500</v>
      </c>
      <c r="C74" s="42">
        <f>168+75</f>
        <v>243</v>
      </c>
      <c r="D74" s="42">
        <f t="shared" ref="D74:D78" si="10">D73+C74</f>
        <v>465</v>
      </c>
      <c r="E74" s="42"/>
      <c r="F74" s="42"/>
    </row>
    <row r="75" spans="2:8" x14ac:dyDescent="0.2">
      <c r="B75" s="41">
        <v>44501</v>
      </c>
      <c r="C75" s="45">
        <f>150+75</f>
        <v>225</v>
      </c>
      <c r="D75" s="42">
        <f t="shared" si="10"/>
        <v>690</v>
      </c>
      <c r="E75" s="45"/>
      <c r="F75" s="45"/>
    </row>
    <row r="76" spans="2:8" x14ac:dyDescent="0.2">
      <c r="B76" s="41">
        <v>44502</v>
      </c>
      <c r="C76" s="42">
        <f>9*15+46</f>
        <v>181</v>
      </c>
      <c r="D76" s="42">
        <f t="shared" si="10"/>
        <v>871</v>
      </c>
      <c r="E76" s="41"/>
      <c r="F76" s="41"/>
    </row>
    <row r="77" spans="2:8" x14ac:dyDescent="0.2">
      <c r="B77" s="41">
        <v>44503</v>
      </c>
      <c r="C77" s="42">
        <f>94+75</f>
        <v>169</v>
      </c>
      <c r="D77" s="42">
        <f t="shared" si="10"/>
        <v>1040</v>
      </c>
      <c r="E77" s="41"/>
      <c r="F77" s="41"/>
    </row>
    <row r="78" spans="2:8" x14ac:dyDescent="0.2">
      <c r="B78" s="41">
        <v>44504</v>
      </c>
      <c r="C78" s="42">
        <f>125+75</f>
        <v>200</v>
      </c>
      <c r="D78" s="42">
        <f t="shared" si="10"/>
        <v>1240</v>
      </c>
      <c r="E78" s="45"/>
      <c r="F78" s="45"/>
    </row>
    <row r="79" spans="2:8" x14ac:dyDescent="0.2">
      <c r="B79" s="41">
        <v>44505</v>
      </c>
      <c r="C79" s="42">
        <f>150+75</f>
        <v>225</v>
      </c>
      <c r="D79" s="42">
        <f>D78+C79</f>
        <v>1465</v>
      </c>
    </row>
    <row r="80" spans="2:8" x14ac:dyDescent="0.2">
      <c r="B80" s="41">
        <v>44506</v>
      </c>
      <c r="C80" s="42">
        <v>192</v>
      </c>
      <c r="D80" s="42">
        <f>D79+C80</f>
        <v>1657</v>
      </c>
    </row>
    <row r="81" spans="2:7" x14ac:dyDescent="0.2">
      <c r="B81" s="41">
        <v>44507</v>
      </c>
      <c r="C81" s="42">
        <f>157+75</f>
        <v>232</v>
      </c>
      <c r="D81" s="42">
        <f>D80+C81</f>
        <v>1889</v>
      </c>
    </row>
    <row r="82" spans="2:7" x14ac:dyDescent="0.2">
      <c r="B82" s="41">
        <v>44508</v>
      </c>
      <c r="C82" s="42">
        <f>139+75</f>
        <v>214</v>
      </c>
      <c r="D82" s="42">
        <f>D81+C82</f>
        <v>2103</v>
      </c>
    </row>
    <row r="83" spans="2:7" x14ac:dyDescent="0.2">
      <c r="B83" s="41">
        <v>44509</v>
      </c>
      <c r="C83" s="42">
        <f>120+75</f>
        <v>195</v>
      </c>
      <c r="D83" s="42">
        <f>D82+C83</f>
        <v>2298</v>
      </c>
      <c r="G83">
        <f>2379-D83</f>
        <v>81</v>
      </c>
    </row>
    <row r="84" spans="2:7" x14ac:dyDescent="0.2">
      <c r="B84" s="41">
        <v>44510</v>
      </c>
      <c r="C84" s="42">
        <f>81+75</f>
        <v>156</v>
      </c>
      <c r="D84" s="42">
        <f>D83+C84</f>
        <v>2454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3904-7300-AB42-8409-71DAB65AC1D4}">
  <dimension ref="B3:I19"/>
  <sheetViews>
    <sheetView zoomScale="137" zoomScaleNormal="137" workbookViewId="0">
      <selection activeCell="D23" sqref="D23"/>
    </sheetView>
  </sheetViews>
  <sheetFormatPr baseColWidth="10" defaultRowHeight="16" x14ac:dyDescent="0.2"/>
  <cols>
    <col min="3" max="3" width="27.6640625" customWidth="1"/>
  </cols>
  <sheetData>
    <row r="3" spans="2:9" ht="17" thickBot="1" x14ac:dyDescent="0.25"/>
    <row r="4" spans="2:9" ht="17" thickBot="1" x14ac:dyDescent="0.25">
      <c r="B4" s="69" t="s">
        <v>7</v>
      </c>
      <c r="C4" s="70"/>
    </row>
    <row r="5" spans="2:9" x14ac:dyDescent="0.2">
      <c r="B5" s="4" t="s">
        <v>8</v>
      </c>
      <c r="C5" s="4" t="s">
        <v>9</v>
      </c>
    </row>
    <row r="6" spans="2:9" x14ac:dyDescent="0.2">
      <c r="B6" s="3">
        <v>44426</v>
      </c>
      <c r="C6" s="2">
        <v>22</v>
      </c>
    </row>
    <row r="8" spans="2:9" x14ac:dyDescent="0.2">
      <c r="B8" t="s">
        <v>40</v>
      </c>
      <c r="C8" t="s">
        <v>45</v>
      </c>
    </row>
    <row r="9" spans="2:9" x14ac:dyDescent="0.2">
      <c r="B9" t="s">
        <v>41</v>
      </c>
      <c r="C9" s="1" t="s">
        <v>44</v>
      </c>
    </row>
    <row r="10" spans="2:9" x14ac:dyDescent="0.2">
      <c r="B10" t="s">
        <v>42</v>
      </c>
      <c r="C10" t="s">
        <v>43</v>
      </c>
    </row>
    <row r="12" spans="2:9" ht="17" thickBot="1" x14ac:dyDescent="0.25"/>
    <row r="13" spans="2:9" ht="17" thickBot="1" x14ac:dyDescent="0.25">
      <c r="B13" s="69" t="s">
        <v>62</v>
      </c>
      <c r="C13" s="70"/>
    </row>
    <row r="14" spans="2:9" x14ac:dyDescent="0.2">
      <c r="B14" s="4" t="s">
        <v>8</v>
      </c>
      <c r="C14" s="4" t="s">
        <v>9</v>
      </c>
      <c r="I14" s="1" t="s">
        <v>44</v>
      </c>
    </row>
    <row r="15" spans="2:9" x14ac:dyDescent="0.2">
      <c r="B15" s="3">
        <v>44493</v>
      </c>
      <c r="C15" s="2"/>
    </row>
    <row r="17" spans="2:3" x14ac:dyDescent="0.2">
      <c r="B17" t="s">
        <v>40</v>
      </c>
      <c r="C17" t="s">
        <v>59</v>
      </c>
    </row>
    <row r="18" spans="2:3" x14ac:dyDescent="0.2">
      <c r="B18" t="s">
        <v>41</v>
      </c>
      <c r="C18" s="1" t="s">
        <v>60</v>
      </c>
    </row>
    <row r="19" spans="2:3" x14ac:dyDescent="0.2">
      <c r="B19" t="s">
        <v>42</v>
      </c>
      <c r="C19" t="s">
        <v>61</v>
      </c>
    </row>
  </sheetData>
  <mergeCells count="2">
    <mergeCell ref="B4:C4"/>
    <mergeCell ref="B13:C13"/>
  </mergeCells>
  <hyperlinks>
    <hyperlink ref="C9" r:id="rId1" xr:uid="{90A399A3-1ED9-DA4B-BCFE-9E0C373C04E5}"/>
    <hyperlink ref="C18" r:id="rId2" xr:uid="{2CCFDF61-FE85-A44A-85E5-F946D523AD8F}"/>
    <hyperlink ref="I14" r:id="rId3" xr:uid="{160FB486-02D9-D84B-8B0D-CDB72792AA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5F84-EEC5-4646-A27B-66CCC979D03C}">
  <dimension ref="A2:H13"/>
  <sheetViews>
    <sheetView zoomScale="135" zoomScaleNormal="135" workbookViewId="0">
      <selection activeCell="I20" sqref="I20"/>
    </sheetView>
  </sheetViews>
  <sheetFormatPr baseColWidth="10" defaultRowHeight="16" x14ac:dyDescent="0.2"/>
  <cols>
    <col min="3" max="3" width="14.1640625" bestFit="1" customWidth="1"/>
    <col min="4" max="4" width="15.33203125" bestFit="1" customWidth="1"/>
  </cols>
  <sheetData>
    <row r="2" spans="1:8" x14ac:dyDescent="0.2">
      <c r="G2">
        <f>F5+F11</f>
        <v>39190</v>
      </c>
      <c r="H2">
        <f>G2/182</f>
        <v>215.32967032967034</v>
      </c>
    </row>
    <row r="3" spans="1:8" x14ac:dyDescent="0.2">
      <c r="B3" s="71" t="s">
        <v>18</v>
      </c>
      <c r="C3" s="71"/>
      <c r="D3" s="71"/>
      <c r="E3" s="71"/>
      <c r="F3">
        <v>25500</v>
      </c>
      <c r="G3">
        <f>F3/182</f>
        <v>140.1098901098901</v>
      </c>
    </row>
    <row r="4" spans="1:8" x14ac:dyDescent="0.2">
      <c r="A4" t="s">
        <v>3</v>
      </c>
      <c r="B4" t="s">
        <v>19</v>
      </c>
      <c r="C4" t="s">
        <v>30</v>
      </c>
      <c r="D4" t="s">
        <v>20</v>
      </c>
      <c r="E4" t="s">
        <v>29</v>
      </c>
      <c r="F4" t="s">
        <v>21</v>
      </c>
    </row>
    <row r="5" spans="1:8" x14ac:dyDescent="0.2">
      <c r="A5" s="17">
        <v>44444</v>
      </c>
      <c r="B5" t="s">
        <v>22</v>
      </c>
      <c r="C5">
        <v>89.27</v>
      </c>
      <c r="D5">
        <v>89.277152599999994</v>
      </c>
      <c r="E5">
        <v>89.27</v>
      </c>
      <c r="F5" s="71">
        <v>25500</v>
      </c>
    </row>
    <row r="6" spans="1:8" x14ac:dyDescent="0.2">
      <c r="B6" t="s">
        <v>23</v>
      </c>
      <c r="C6">
        <f>D6*0.1038</f>
        <v>10.960688340000001</v>
      </c>
      <c r="D6">
        <v>105.5943</v>
      </c>
      <c r="F6" s="71"/>
    </row>
    <row r="7" spans="1:8" x14ac:dyDescent="0.2">
      <c r="B7" t="s">
        <v>24</v>
      </c>
      <c r="C7">
        <f>D7*136.75</f>
        <v>10.929060000000002</v>
      </c>
      <c r="D7">
        <v>7.9920000000000005E-2</v>
      </c>
      <c r="F7" s="71"/>
    </row>
    <row r="8" spans="1:8" x14ac:dyDescent="0.2">
      <c r="B8" t="s">
        <v>25</v>
      </c>
      <c r="C8">
        <f>31.968*0.305848</f>
        <v>9.7773488640000004</v>
      </c>
      <c r="D8">
        <v>31.968</v>
      </c>
      <c r="F8" s="71"/>
    </row>
    <row r="9" spans="1:8" x14ac:dyDescent="0.2">
      <c r="B9" t="s">
        <v>26</v>
      </c>
      <c r="C9">
        <f>2.88*3.3966</f>
        <v>9.7822079999999989</v>
      </c>
      <c r="D9">
        <v>3.3965999999999998</v>
      </c>
      <c r="F9" s="71"/>
    </row>
    <row r="10" spans="1:8" x14ac:dyDescent="0.2">
      <c r="B10" t="s">
        <v>27</v>
      </c>
      <c r="C10">
        <f>728.53*0.01287</f>
        <v>9.3761811000000002</v>
      </c>
      <c r="D10">
        <v>1.2987E-2</v>
      </c>
      <c r="F10" s="71"/>
    </row>
    <row r="11" spans="1:8" x14ac:dyDescent="0.2">
      <c r="B11" t="s">
        <v>28</v>
      </c>
      <c r="C11">
        <f>497.62*0.15</f>
        <v>74.643000000000001</v>
      </c>
      <c r="D11">
        <v>0.15</v>
      </c>
      <c r="F11">
        <v>13690</v>
      </c>
    </row>
    <row r="13" spans="1:8" x14ac:dyDescent="0.2">
      <c r="C13">
        <f>SUM(C5:C11)</f>
        <v>214.73848630400002</v>
      </c>
    </row>
  </sheetData>
  <mergeCells count="2">
    <mergeCell ref="B3:E3"/>
    <mergeCell ref="F5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D8D4-31FE-1E45-A8E3-4ADA737BDA2D}">
  <dimension ref="B1:K42"/>
  <sheetViews>
    <sheetView topLeftCell="A26" zoomScale="155" zoomScaleNormal="155" workbookViewId="0">
      <selection activeCell="F35" sqref="F35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4" width="14.33203125" bestFit="1" customWidth="1"/>
    <col min="5" max="5" width="12.1640625" bestFit="1" customWidth="1"/>
    <col min="6" max="6" width="14.5" bestFit="1" customWidth="1"/>
    <col min="8" max="10" width="12.1640625" bestFit="1" customWidth="1"/>
  </cols>
  <sheetData>
    <row r="1" spans="2:11" x14ac:dyDescent="0.2">
      <c r="B1" s="71" t="s">
        <v>32</v>
      </c>
      <c r="C1" s="71"/>
      <c r="D1" s="71"/>
      <c r="E1" s="71"/>
    </row>
    <row r="2" spans="2:11" x14ac:dyDescent="0.2">
      <c r="B2" s="31" t="s">
        <v>33</v>
      </c>
      <c r="C2" s="31" t="s">
        <v>34</v>
      </c>
      <c r="D2" s="31" t="s">
        <v>35</v>
      </c>
      <c r="E2" s="31" t="s">
        <v>3</v>
      </c>
    </row>
    <row r="3" spans="2:11" x14ac:dyDescent="0.2">
      <c r="B3" s="15" t="s">
        <v>36</v>
      </c>
      <c r="C3" s="15" t="s">
        <v>37</v>
      </c>
      <c r="D3" s="29">
        <v>1130</v>
      </c>
      <c r="E3" s="30">
        <v>44425</v>
      </c>
    </row>
    <row r="4" spans="2:11" x14ac:dyDescent="0.2">
      <c r="B4" s="15" t="s">
        <v>36</v>
      </c>
      <c r="C4" s="15" t="s">
        <v>37</v>
      </c>
      <c r="D4" s="29">
        <v>390</v>
      </c>
      <c r="E4" s="30">
        <v>44461</v>
      </c>
    </row>
    <row r="5" spans="2:11" x14ac:dyDescent="0.2">
      <c r="B5" s="15" t="s">
        <v>36</v>
      </c>
      <c r="C5" s="15" t="s">
        <v>38</v>
      </c>
      <c r="D5" s="29">
        <v>110</v>
      </c>
      <c r="E5" s="30">
        <v>44465</v>
      </c>
    </row>
    <row r="6" spans="2:11" x14ac:dyDescent="0.2">
      <c r="B6" s="15" t="s">
        <v>36</v>
      </c>
      <c r="C6" s="46" t="s">
        <v>57</v>
      </c>
      <c r="D6" s="47">
        <v>400</v>
      </c>
      <c r="E6" s="17">
        <v>44485</v>
      </c>
    </row>
    <row r="7" spans="2:11" x14ac:dyDescent="0.2">
      <c r="C7" t="s">
        <v>39</v>
      </c>
      <c r="D7" s="29">
        <f>SUM(D3:D6)</f>
        <v>2030</v>
      </c>
    </row>
    <row r="10" spans="2:11" x14ac:dyDescent="0.2">
      <c r="C10" t="s">
        <v>46</v>
      </c>
    </row>
    <row r="11" spans="2:11" x14ac:dyDescent="0.2">
      <c r="B11" s="17" t="s">
        <v>3</v>
      </c>
      <c r="C11" s="32" t="s">
        <v>47</v>
      </c>
      <c r="D11" s="32" t="s">
        <v>48</v>
      </c>
      <c r="E11" s="32" t="s">
        <v>49</v>
      </c>
      <c r="F11" s="32" t="s">
        <v>50</v>
      </c>
      <c r="I11" s="48">
        <f>E12+E13+E14</f>
        <v>210</v>
      </c>
      <c r="J11">
        <v>310</v>
      </c>
      <c r="K11" s="49">
        <f>J11-I11</f>
        <v>100</v>
      </c>
    </row>
    <row r="12" spans="2:11" x14ac:dyDescent="0.2">
      <c r="B12" s="30">
        <v>44502</v>
      </c>
      <c r="C12" s="15" t="s">
        <v>54</v>
      </c>
      <c r="D12" s="57">
        <v>2.77</v>
      </c>
      <c r="E12" s="53">
        <v>110</v>
      </c>
      <c r="F12" s="56">
        <f>E12/D12</f>
        <v>39.711191335740075</v>
      </c>
    </row>
    <row r="13" spans="2:11" x14ac:dyDescent="0.2">
      <c r="B13" s="54">
        <v>44502</v>
      </c>
      <c r="C13" s="18" t="s">
        <v>58</v>
      </c>
      <c r="D13" s="55">
        <f>E13/F13</f>
        <v>7.6480899660118877E-5</v>
      </c>
      <c r="E13" s="53">
        <v>100</v>
      </c>
      <c r="F13" s="58">
        <v>1307516</v>
      </c>
    </row>
    <row r="14" spans="2:11" x14ac:dyDescent="0.2">
      <c r="B14" s="30"/>
      <c r="C14" s="15"/>
      <c r="D14" s="57"/>
      <c r="E14" s="53"/>
      <c r="F14" s="56"/>
      <c r="I14" s="48" t="e">
        <f>#REF!+E15+E16+E18+E17+E19+E20+E23+E21+50-20</f>
        <v>#REF!</v>
      </c>
    </row>
    <row r="15" spans="2:11" x14ac:dyDescent="0.2">
      <c r="B15" s="30"/>
      <c r="C15" s="15"/>
      <c r="D15" s="57"/>
      <c r="E15" s="53"/>
      <c r="F15" s="15"/>
    </row>
    <row r="16" spans="2:11" x14ac:dyDescent="0.2">
      <c r="B16" s="15"/>
      <c r="C16" s="15"/>
      <c r="D16" s="15"/>
      <c r="E16" s="15"/>
      <c r="F16" s="15"/>
    </row>
    <row r="17" spans="2:9" x14ac:dyDescent="0.2">
      <c r="B17" s="15"/>
      <c r="C17" s="15"/>
      <c r="D17" s="15"/>
      <c r="E17" s="15"/>
      <c r="F17" s="15"/>
    </row>
    <row r="18" spans="2:9" x14ac:dyDescent="0.2">
      <c r="B18" s="15"/>
      <c r="C18" s="15"/>
      <c r="D18" s="15"/>
      <c r="E18" s="15"/>
      <c r="F18" s="15"/>
    </row>
    <row r="19" spans="2:9" x14ac:dyDescent="0.2">
      <c r="B19" s="15"/>
      <c r="C19" s="15"/>
      <c r="D19" s="15"/>
      <c r="E19" s="15"/>
      <c r="F19" s="15"/>
    </row>
    <row r="20" spans="2:9" x14ac:dyDescent="0.2">
      <c r="B20" s="15"/>
      <c r="C20" s="15"/>
      <c r="D20" s="15"/>
      <c r="E20" s="15"/>
      <c r="F20" s="15"/>
    </row>
    <row r="21" spans="2:9" x14ac:dyDescent="0.2">
      <c r="B21" s="15"/>
      <c r="C21" s="15"/>
      <c r="D21" s="15"/>
      <c r="E21" s="15"/>
      <c r="F21" s="15"/>
      <c r="G21" t="s">
        <v>56</v>
      </c>
      <c r="H21">
        <v>20</v>
      </c>
      <c r="I21" s="49">
        <f>H21-E21</f>
        <v>20</v>
      </c>
    </row>
    <row r="22" spans="2:9" x14ac:dyDescent="0.2">
      <c r="B22" s="15"/>
      <c r="C22" s="15"/>
      <c r="D22" s="15"/>
      <c r="E22" s="15"/>
      <c r="F22" s="15"/>
    </row>
    <row r="23" spans="2:9" x14ac:dyDescent="0.2">
      <c r="B23" s="15"/>
      <c r="C23" s="15"/>
      <c r="D23" s="15"/>
      <c r="E23" s="15"/>
      <c r="F23" s="15"/>
    </row>
    <row r="24" spans="2:9" x14ac:dyDescent="0.2">
      <c r="B24" s="15"/>
      <c r="C24" s="15"/>
      <c r="D24" s="15"/>
      <c r="E24" s="15"/>
      <c r="F24" s="15"/>
    </row>
    <row r="26" spans="2:9" x14ac:dyDescent="0.2">
      <c r="B26" s="45" t="s">
        <v>53</v>
      </c>
    </row>
    <row r="27" spans="2:9" x14ac:dyDescent="0.2">
      <c r="B27" s="31" t="s">
        <v>3</v>
      </c>
      <c r="C27" s="31" t="s">
        <v>52</v>
      </c>
      <c r="D27" s="31" t="s">
        <v>29</v>
      </c>
    </row>
    <row r="28" spans="2:9" x14ac:dyDescent="0.2">
      <c r="B28" s="17">
        <v>44471</v>
      </c>
      <c r="C28">
        <v>2235</v>
      </c>
      <c r="D28" s="50">
        <v>157</v>
      </c>
    </row>
    <row r="29" spans="2:9" x14ac:dyDescent="0.2">
      <c r="B29" s="17">
        <v>44485</v>
      </c>
      <c r="C29">
        <v>2520</v>
      </c>
      <c r="D29" s="50">
        <v>185</v>
      </c>
    </row>
    <row r="30" spans="2:9" x14ac:dyDescent="0.2">
      <c r="B30" s="17">
        <v>44500</v>
      </c>
      <c r="C30">
        <v>2910</v>
      </c>
      <c r="D30" s="50">
        <f>0.07*C30</f>
        <v>203.70000000000002</v>
      </c>
    </row>
    <row r="32" spans="2:9" x14ac:dyDescent="0.2">
      <c r="B32" s="31" t="s">
        <v>51</v>
      </c>
      <c r="C32" s="31" t="s">
        <v>2</v>
      </c>
      <c r="D32" s="31" t="s">
        <v>29</v>
      </c>
    </row>
    <row r="33" spans="2:4" x14ac:dyDescent="0.2">
      <c r="B33" s="17">
        <v>44475</v>
      </c>
      <c r="C33">
        <v>45500</v>
      </c>
      <c r="D33" s="50">
        <v>249</v>
      </c>
    </row>
    <row r="34" spans="2:4" x14ac:dyDescent="0.2">
      <c r="B34" s="44">
        <v>44476</v>
      </c>
      <c r="C34" s="45">
        <v>11895</v>
      </c>
      <c r="D34" s="50">
        <v>65</v>
      </c>
    </row>
    <row r="35" spans="2:4" x14ac:dyDescent="0.2">
      <c r="B35" s="17">
        <v>44479</v>
      </c>
      <c r="C35">
        <v>143</v>
      </c>
      <c r="D35" s="50">
        <v>143</v>
      </c>
    </row>
    <row r="39" spans="2:4" x14ac:dyDescent="0.2">
      <c r="B39" s="45" t="s">
        <v>55</v>
      </c>
    </row>
    <row r="40" spans="2:4" x14ac:dyDescent="0.2">
      <c r="B40" s="31" t="s">
        <v>3</v>
      </c>
      <c r="C40" s="31" t="s">
        <v>52</v>
      </c>
      <c r="D40" s="31" t="s">
        <v>29</v>
      </c>
    </row>
    <row r="41" spans="2:4" x14ac:dyDescent="0.2">
      <c r="B41" s="17">
        <v>44479</v>
      </c>
      <c r="C41">
        <v>423</v>
      </c>
      <c r="D41" s="50">
        <f>423*0.073</f>
        <v>30.878999999999998</v>
      </c>
    </row>
    <row r="42" spans="2:4" x14ac:dyDescent="0.2">
      <c r="B42" s="17">
        <v>44498</v>
      </c>
      <c r="C42">
        <v>382</v>
      </c>
      <c r="D42">
        <f>382*0.07</f>
        <v>26.740000000000002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EAF0-BBCD-4242-86F7-6329826570B9}">
  <dimension ref="C2:F10"/>
  <sheetViews>
    <sheetView zoomScale="207" workbookViewId="0">
      <selection activeCell="E11" sqref="E11"/>
    </sheetView>
  </sheetViews>
  <sheetFormatPr baseColWidth="10" defaultRowHeight="16" x14ac:dyDescent="0.2"/>
  <cols>
    <col min="5" max="5" width="15.5" bestFit="1" customWidth="1"/>
    <col min="6" max="6" width="12" bestFit="1" customWidth="1"/>
  </cols>
  <sheetData>
    <row r="2" spans="3:6" x14ac:dyDescent="0.2">
      <c r="C2" s="59" t="s">
        <v>33</v>
      </c>
      <c r="D2" s="60" t="s">
        <v>34</v>
      </c>
      <c r="E2" s="60" t="s">
        <v>35</v>
      </c>
      <c r="F2" s="60" t="s">
        <v>3</v>
      </c>
    </row>
    <row r="3" spans="3:6" x14ac:dyDescent="0.2">
      <c r="C3" s="61" t="s">
        <v>63</v>
      </c>
      <c r="D3" s="62" t="s">
        <v>37</v>
      </c>
      <c r="E3" s="63">
        <v>38.4</v>
      </c>
      <c r="F3" s="64">
        <v>44498</v>
      </c>
    </row>
    <row r="4" spans="3:6" x14ac:dyDescent="0.2">
      <c r="C4" s="61" t="s">
        <v>64</v>
      </c>
      <c r="D4" s="62" t="s">
        <v>65</v>
      </c>
      <c r="E4" s="63">
        <v>38.4</v>
      </c>
      <c r="F4" s="64">
        <v>44498</v>
      </c>
    </row>
    <row r="5" spans="3:6" x14ac:dyDescent="0.2">
      <c r="C5" s="61" t="s">
        <v>66</v>
      </c>
      <c r="D5" s="62" t="s">
        <v>67</v>
      </c>
      <c r="E5" s="63">
        <f>38.4/2</f>
        <v>19.2</v>
      </c>
      <c r="F5" s="64">
        <v>44498</v>
      </c>
    </row>
    <row r="6" spans="3:6" x14ac:dyDescent="0.2">
      <c r="C6" s="61"/>
      <c r="D6" s="65"/>
      <c r="E6" s="66">
        <f>SUM(E3:E5)</f>
        <v>96</v>
      </c>
      <c r="F6" s="67"/>
    </row>
    <row r="8" spans="3:6" x14ac:dyDescent="0.2">
      <c r="C8" s="68" t="s">
        <v>54</v>
      </c>
      <c r="D8" s="68" t="s">
        <v>68</v>
      </c>
      <c r="E8" s="20" t="s">
        <v>69</v>
      </c>
      <c r="F8" s="66"/>
    </row>
    <row r="9" spans="3:6" x14ac:dyDescent="0.2">
      <c r="D9">
        <v>39.799999999999997</v>
      </c>
      <c r="E9" s="66">
        <f>39.8*2.77</f>
        <v>110.246</v>
      </c>
    </row>
    <row r="10" spans="3:6" x14ac:dyDescent="0.2">
      <c r="D10">
        <v>21</v>
      </c>
      <c r="E10" s="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Axies</vt:lpstr>
      <vt:lpstr>PedroNel</vt:lpstr>
      <vt:lpstr>Hoja2</vt:lpstr>
      <vt:lpstr>Hoja1</vt:lpstr>
      <vt:lpstr>Monsta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2021-08-14T19:29:36Z</dcterms:created>
  <dcterms:modified xsi:type="dcterms:W3CDTF">2021-11-11T03:37:12Z</dcterms:modified>
</cp:coreProperties>
</file>