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C\Faculdade\Matemática Comp.  2 Semestre  2020_2021\Trabalho 3\"/>
    </mc:Choice>
  </mc:AlternateContent>
  <xr:revisionPtr revIDLastSave="0" documentId="13_ncr:1_{F437D0D3-6175-49C1-82DE-59F10ABE5AE5}" xr6:coauthVersionLast="46" xr6:coauthVersionMax="46" xr10:uidLastSave="{00000000-0000-0000-0000-000000000000}"/>
  <bookViews>
    <workbookView xWindow="-120" yWindow="-120" windowWidth="29040" windowHeight="15840" activeTab="4" xr2:uid="{F80C88BB-E4DE-D54A-AE33-392A853E4BDD}"/>
  </bookViews>
  <sheets>
    <sheet name="1DC_G3" sheetId="1" r:id="rId1"/>
    <sheet name="Exercício 1" sheetId="2" r:id="rId2"/>
    <sheet name="Exercício 2 " sheetId="8" r:id="rId3"/>
    <sheet name="Exercício 3" sheetId="4" r:id="rId4"/>
    <sheet name="Exercício 4" sheetId="5" r:id="rId5"/>
    <sheet name="Exercício 5" sheetId="6" r:id="rId6"/>
    <sheet name="Exercício 6" sheetId="7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8" l="1"/>
  <c r="J6" i="8"/>
  <c r="I6" i="8"/>
  <c r="E132" i="8"/>
  <c r="F92" i="8" l="1" a="1"/>
  <c r="F92" i="8" s="1"/>
  <c r="F98" i="8" s="1"/>
  <c r="H127" i="8" s="1"/>
  <c r="E59" i="8"/>
  <c r="E60" i="8" s="1"/>
  <c r="E48" i="8" a="1"/>
  <c r="E48" i="8" s="1"/>
  <c r="E56" i="8"/>
  <c r="C38" i="7"/>
  <c r="D7" i="5"/>
  <c r="D6" i="5"/>
  <c r="C7" i="5"/>
  <c r="C6" i="5"/>
  <c r="H135" i="8"/>
  <c r="E135" i="8"/>
  <c r="H132" i="8"/>
  <c r="B6" i="4"/>
  <c r="D37" i="8"/>
  <c r="E46" i="8"/>
  <c r="E150" i="8"/>
  <c r="E149" i="8"/>
  <c r="H140" i="8"/>
  <c r="H139" i="8"/>
  <c r="H126" i="8"/>
  <c r="F105" i="8"/>
  <c r="F104" i="8"/>
  <c r="O68" i="8"/>
  <c r="O69" i="8"/>
  <c r="O70" i="8"/>
  <c r="O71" i="8"/>
  <c r="O72" i="8"/>
  <c r="O73" i="8"/>
  <c r="O74" i="8"/>
  <c r="N68" i="8"/>
  <c r="N69" i="8"/>
  <c r="N70" i="8"/>
  <c r="N71" i="8"/>
  <c r="N72" i="8"/>
  <c r="N73" i="8"/>
  <c r="N74" i="8"/>
  <c r="M68" i="8"/>
  <c r="M69" i="8"/>
  <c r="M70" i="8"/>
  <c r="M71" i="8"/>
  <c r="M72" i="8"/>
  <c r="M73" i="8"/>
  <c r="M74" i="8"/>
  <c r="O67" i="8"/>
  <c r="N67" i="8"/>
  <c r="M67" i="8"/>
  <c r="L68" i="8"/>
  <c r="L69" i="8"/>
  <c r="L70" i="8"/>
  <c r="L71" i="8"/>
  <c r="L72" i="8"/>
  <c r="L73" i="8"/>
  <c r="L74" i="8"/>
  <c r="L67" i="8"/>
  <c r="K68" i="8"/>
  <c r="K69" i="8"/>
  <c r="K70" i="8"/>
  <c r="K71" i="8"/>
  <c r="K72" i="8"/>
  <c r="K73" i="8"/>
  <c r="K74" i="8"/>
  <c r="K67" i="8"/>
  <c r="F95" i="8" a="1"/>
  <c r="F95" i="8" s="1"/>
  <c r="F96" i="8"/>
  <c r="F94" i="8" a="1"/>
  <c r="F94" i="8" s="1"/>
  <c r="F100" i="8"/>
  <c r="F90" i="8"/>
  <c r="G16" i="8"/>
  <c r="F88" i="8" s="1"/>
  <c r="C16" i="8"/>
  <c r="H12" i="8"/>
  <c r="E98" i="8"/>
  <c r="D12" i="8"/>
  <c r="G15" i="8"/>
  <c r="B10" i="8"/>
  <c r="E6" i="5" l="1"/>
  <c r="E7" i="5" s="1"/>
  <c r="F85" i="8"/>
  <c r="E85" i="8"/>
  <c r="G70" i="8" s="1"/>
  <c r="F87" i="8"/>
  <c r="F86" i="8"/>
  <c r="F82" i="8"/>
  <c r="E89" i="8"/>
  <c r="G74" i="8" s="1"/>
  <c r="E88" i="8"/>
  <c r="G73" i="8" s="1"/>
  <c r="E87" i="8"/>
  <c r="G72" i="8" s="1"/>
  <c r="E86" i="8"/>
  <c r="F84" i="8"/>
  <c r="F67" i="8"/>
  <c r="E84" i="8"/>
  <c r="G69" i="8" s="1"/>
  <c r="F89" i="8"/>
  <c r="E82" i="8"/>
  <c r="G67" i="8" s="1"/>
  <c r="E83" i="8"/>
  <c r="F83" i="8"/>
  <c r="B10" i="5" l="1"/>
  <c r="G68" i="8"/>
  <c r="G71" i="8"/>
  <c r="G78" i="8" l="1"/>
  <c r="C34" i="7" l="1"/>
  <c r="F34" i="7" s="1"/>
  <c r="I34" i="7" s="1"/>
  <c r="C24" i="6"/>
  <c r="C18" i="6"/>
  <c r="C20" i="6" s="1"/>
  <c r="B14" i="4"/>
  <c r="B13" i="4"/>
  <c r="D7" i="4"/>
  <c r="D11" i="4"/>
  <c r="B7" i="4"/>
  <c r="C38" i="2"/>
  <c r="C7" i="4" l="1"/>
  <c r="D14" i="4"/>
  <c r="C14" i="4"/>
  <c r="D4" i="4"/>
  <c r="G11" i="8"/>
  <c r="F11" i="8"/>
  <c r="F73" i="8" l="1"/>
  <c r="F74" i="8"/>
  <c r="F69" i="8"/>
  <c r="E74" i="8"/>
  <c r="E73" i="8"/>
  <c r="F71" i="8"/>
  <c r="E72" i="8"/>
  <c r="F70" i="8"/>
  <c r="E71" i="8"/>
  <c r="E70" i="8"/>
  <c r="F68" i="8"/>
  <c r="E68" i="8"/>
  <c r="E69" i="8"/>
  <c r="E67" i="8"/>
  <c r="F72" i="8"/>
  <c r="H11" i="8"/>
  <c r="H74" i="8" l="1"/>
  <c r="H73" i="8"/>
  <c r="H72" i="8"/>
  <c r="H71" i="8"/>
  <c r="H70" i="8"/>
  <c r="H69" i="8"/>
  <c r="H67" i="8"/>
  <c r="H68" i="8"/>
  <c r="I67" i="8"/>
  <c r="I68" i="8" s="1"/>
  <c r="I69" i="8" s="1"/>
  <c r="I70" i="8" s="1"/>
  <c r="I71" i="8" l="1"/>
  <c r="I72" i="8" s="1"/>
  <c r="D54" i="8"/>
  <c r="D15" i="8"/>
  <c r="C10" i="8"/>
  <c r="D10" i="8" l="1"/>
  <c r="D39" i="8"/>
  <c r="J67" i="8"/>
  <c r="D29" i="8"/>
  <c r="J68" i="8" l="1"/>
  <c r="D42" i="8"/>
  <c r="D38" i="8"/>
  <c r="E27" i="8"/>
  <c r="D41" i="8"/>
  <c r="E40" i="8"/>
  <c r="E26" i="8"/>
  <c r="E25" i="8"/>
  <c r="E43" i="8"/>
  <c r="E30" i="8"/>
  <c r="D43" i="8"/>
  <c r="D40" i="8"/>
  <c r="D26" i="8"/>
  <c r="E29" i="8"/>
  <c r="E31" i="8"/>
  <c r="D27" i="8"/>
  <c r="E39" i="8"/>
  <c r="J27" i="8" s="1"/>
  <c r="D28" i="8"/>
  <c r="E41" i="8"/>
  <c r="F27" i="8"/>
  <c r="E38" i="8"/>
  <c r="J26" i="8" s="1"/>
  <c r="E37" i="8"/>
  <c r="D31" i="8"/>
  <c r="E42" i="8"/>
  <c r="D30" i="8"/>
  <c r="E28" i="8"/>
  <c r="E52" i="8"/>
  <c r="D25" i="8"/>
  <c r="F26" i="8"/>
  <c r="J30" i="8" l="1"/>
  <c r="J31" i="8"/>
  <c r="J25" i="8"/>
  <c r="J69" i="8"/>
  <c r="J70" i="8" s="1"/>
  <c r="J71" i="8" s="1"/>
  <c r="J72" i="8" s="1"/>
  <c r="F28" i="8"/>
  <c r="K28" i="8" s="1"/>
  <c r="F25" i="8"/>
  <c r="J28" i="8"/>
  <c r="J29" i="8"/>
  <c r="K27" i="8"/>
  <c r="F29" i="8"/>
  <c r="K29" i="8" s="1"/>
  <c r="F31" i="8"/>
  <c r="K31" i="8" s="1"/>
  <c r="F30" i="8"/>
  <c r="K30" i="8" s="1"/>
  <c r="K26" i="8"/>
  <c r="K25" i="8" l="1"/>
  <c r="H25" i="8"/>
  <c r="H26" i="8" s="1"/>
  <c r="H27" i="8" s="1"/>
  <c r="H28" i="8" s="1"/>
  <c r="H29" i="8" s="1"/>
  <c r="H30" i="8" s="1"/>
  <c r="H31" i="8" s="1"/>
  <c r="F33" i="8"/>
  <c r="G28" i="8" s="1"/>
  <c r="G26" i="8"/>
  <c r="G30" i="8"/>
  <c r="E126" i="8"/>
  <c r="G29" i="8" l="1"/>
  <c r="I73" i="8"/>
  <c r="I74" i="8" s="1"/>
  <c r="J73" i="8"/>
  <c r="J74" i="8" s="1"/>
  <c r="G31" i="8"/>
  <c r="G27" i="8"/>
  <c r="G25" i="8"/>
  <c r="I25" i="8" s="1"/>
  <c r="I26" i="8" s="1"/>
  <c r="I27" i="8" s="1"/>
  <c r="I28" i="8" s="1"/>
  <c r="I29" i="8" s="1"/>
  <c r="I30" i="8" s="1"/>
  <c r="I31" i="8" s="1"/>
  <c r="L28" i="8"/>
  <c r="L31" i="8"/>
  <c r="L25" i="8"/>
  <c r="M26" i="8"/>
  <c r="M30" i="8"/>
  <c r="L26" i="8"/>
  <c r="L30" i="8"/>
  <c r="L29" i="8"/>
  <c r="L27" i="8"/>
  <c r="M29" i="8"/>
  <c r="M28" i="8"/>
  <c r="M31" i="8"/>
  <c r="N27" i="8"/>
  <c r="N25" i="8"/>
  <c r="N26" i="8"/>
  <c r="N29" i="8"/>
  <c r="N30" i="8"/>
  <c r="M27" i="8"/>
  <c r="M25" i="8"/>
  <c r="N28" i="8"/>
  <c r="N31" i="8"/>
  <c r="C10" i="5" l="1"/>
  <c r="E139" i="8" l="1"/>
  <c r="E140" i="8" s="1"/>
  <c r="E54" i="8"/>
  <c r="E51" i="8" a="1"/>
  <c r="E51" i="8" s="1"/>
  <c r="E50" i="8" a="1"/>
  <c r="E50" i="8" s="1"/>
  <c r="E146" i="8" l="1"/>
  <c r="E145" i="8"/>
  <c r="E127" i="8"/>
  <c r="F46" i="2"/>
  <c r="F45" i="2"/>
  <c r="C46" i="2"/>
  <c r="C45" i="2"/>
  <c r="F40" i="2"/>
  <c r="F39" i="2"/>
  <c r="F38" i="2"/>
  <c r="C40" i="2"/>
  <c r="C39" i="2"/>
  <c r="B24" i="2" a="1"/>
  <c r="B24" i="2" s="1"/>
  <c r="B9" i="2" a="1"/>
  <c r="B9" i="2" s="1"/>
  <c r="B19" i="2" l="1"/>
  <c r="C9" i="2" s="1"/>
  <c r="D9" i="2"/>
  <c r="D10" i="2" s="1"/>
  <c r="D11" i="2" s="1"/>
  <c r="D12" i="2" s="1"/>
  <c r="D13" i="2" s="1"/>
  <c r="D14" i="2" s="1"/>
  <c r="D15" i="2" s="1"/>
  <c r="D16" i="2" s="1"/>
  <c r="D24" i="2"/>
  <c r="D25" i="2" s="1"/>
  <c r="D26" i="2" s="1"/>
  <c r="D27" i="2" s="1"/>
  <c r="D28" i="2" s="1"/>
  <c r="D29" i="2" s="1"/>
  <c r="D30" i="2" s="1"/>
  <c r="D31" i="2" s="1"/>
  <c r="B34" i="2"/>
  <c r="C24" i="2" s="1"/>
  <c r="E9" i="2" l="1"/>
  <c r="C16" i="2"/>
  <c r="C15" i="2"/>
  <c r="C14" i="2"/>
  <c r="C13" i="2"/>
  <c r="C12" i="2"/>
  <c r="C11" i="2"/>
  <c r="C10" i="2"/>
  <c r="E10" i="2" s="1"/>
  <c r="E24" i="2"/>
  <c r="C27" i="2"/>
  <c r="C25" i="2"/>
  <c r="C28" i="2"/>
  <c r="C26" i="2"/>
  <c r="C29" i="2"/>
  <c r="C30" i="2"/>
  <c r="C31" i="2"/>
  <c r="E25" i="2" l="1"/>
  <c r="E26" i="2" s="1"/>
  <c r="E27" i="2" s="1"/>
  <c r="E28" i="2" s="1"/>
  <c r="E29" i="2" s="1"/>
  <c r="E30" i="2" s="1"/>
  <c r="E31" i="2" s="1"/>
  <c r="E11" i="2"/>
  <c r="E12" i="2" s="1"/>
  <c r="E13" i="2" s="1"/>
  <c r="E14" i="2" s="1"/>
  <c r="E15" i="2" s="1"/>
  <c r="E16" i="2" s="1"/>
  <c r="C19" i="2"/>
  <c r="C3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<sst xmlns="http://schemas.openxmlformats.org/spreadsheetml/2006/main" count="294" uniqueCount="168">
  <si>
    <r>
      <t>Consumo de bebidas</t>
    </r>
    <r>
      <rPr>
        <i/>
        <sz val="12"/>
        <color theme="1"/>
        <rFont val="Calibri"/>
        <family val="2"/>
        <scheme val="minor"/>
      </rPr>
      <t xml:space="preserve"> brancas</t>
    </r>
    <r>
      <rPr>
        <sz val="12"/>
        <color theme="1"/>
        <rFont val="Calibri"/>
        <family val="2"/>
        <scheme val="minor"/>
      </rPr>
      <t xml:space="preserve"> dos jogadores de Roleta</t>
    </r>
  </si>
  <si>
    <r>
      <t xml:space="preserve">Tempo de consumo de uma bebida </t>
    </r>
    <r>
      <rPr>
        <i/>
        <sz val="12"/>
        <color theme="1"/>
        <rFont val="Calibri"/>
        <family val="2"/>
        <scheme val="minor"/>
      </rPr>
      <t>branca</t>
    </r>
  </si>
  <si>
    <t>Casino A</t>
  </si>
  <si>
    <t>Casino B</t>
  </si>
  <si>
    <t>1)a)</t>
  </si>
  <si>
    <t>A variavel em estudo é ´´Consumo de bebidas brancas dos jogadores de roleta``.</t>
  </si>
  <si>
    <t>E é uma variavél quantitativa discreta.</t>
  </si>
  <si>
    <t>b)</t>
  </si>
  <si>
    <t>Tabela de Frequencias  para o casino A</t>
  </si>
  <si>
    <t>c)</t>
  </si>
  <si>
    <t>Freq. Acumul.</t>
  </si>
  <si>
    <t>Nº de Bebidas</t>
  </si>
  <si>
    <t>Freq. Abs. ni</t>
  </si>
  <si>
    <t>Freq. Rela. Fi</t>
  </si>
  <si>
    <t>absoluta Fi</t>
  </si>
  <si>
    <t>relativa Fi</t>
  </si>
  <si>
    <t>Total:</t>
  </si>
  <si>
    <t>Tabela de Frequencias  para o casino B</t>
  </si>
  <si>
    <t>d)</t>
  </si>
  <si>
    <t>Média =</t>
  </si>
  <si>
    <t>Mediana=</t>
  </si>
  <si>
    <t>Moda=</t>
  </si>
  <si>
    <t>g)</t>
  </si>
  <si>
    <t>Variancia=</t>
  </si>
  <si>
    <t>Desvio-Padrão</t>
  </si>
  <si>
    <t>h)</t>
  </si>
  <si>
    <t>R:É ASSIMÉTRICA À DIREITA OU POSITIVA.</t>
  </si>
  <si>
    <t>R:É ASSIMÉTRICA À ESQUERDA OU NEGATIVA.</t>
  </si>
  <si>
    <t>i)</t>
  </si>
  <si>
    <t>R:Relativamente as distribuiçoes que nos obtivemos,sabemos que ambas as variaveis são quantitativas discretas,na qual os consumos do casino B foram superiores ao do casino A pelo o que se pode ver nos graficos das frequencias.</t>
  </si>
  <si>
    <t>e)</t>
  </si>
  <si>
    <t>]3,275-2,2571 ; 3,275 + 2,2571 [</t>
  </si>
  <si>
    <t>f) Para 50 jogadores a frequencia são 37.</t>
  </si>
  <si>
    <t>2)</t>
  </si>
  <si>
    <t>a)</t>
  </si>
  <si>
    <t>A variavel em estudo é ´´Tempo de consumo de bebidas brancas dos jogadores de roleta``.</t>
  </si>
  <si>
    <t>E é uma variavél contínuas.</t>
  </si>
  <si>
    <t>X-&gt;   tempo que um jogador de roleta demora a consumir uma bebida branca. Estamos perante uma variável quantitativa contínua</t>
  </si>
  <si>
    <t>Dados Ordenados</t>
  </si>
  <si>
    <t>Amplitude da amostra</t>
  </si>
  <si>
    <t>Mínimo</t>
  </si>
  <si>
    <t>Máximo</t>
  </si>
  <si>
    <t>Regra de Sturges</t>
  </si>
  <si>
    <t>Coluna1</t>
  </si>
  <si>
    <t>Coluna2</t>
  </si>
  <si>
    <t>Nº de clases</t>
  </si>
  <si>
    <t>Amplitude de classe</t>
  </si>
  <si>
    <t>Tabela de frequências</t>
  </si>
  <si>
    <t>Tempo de consumo de uma bebida branca (minutos)</t>
  </si>
  <si>
    <t>Freq. Absoluta</t>
  </si>
  <si>
    <t>Freq. Relativa</t>
  </si>
  <si>
    <t>Freq. Acumulada absoluta</t>
  </si>
  <si>
    <t>Freq. Acumulada relativa</t>
  </si>
  <si>
    <t>Amplitude da classe</t>
  </si>
  <si>
    <t>Coluna auxiliar para cálculo da  variancia</t>
  </si>
  <si>
    <t>Coluna auxiliar para cálculo da  assimetria</t>
  </si>
  <si>
    <t>Coluna auxiliar para cálculo da  curtose</t>
  </si>
  <si>
    <t>Classes</t>
  </si>
  <si>
    <t>Marca de classe</t>
  </si>
  <si>
    <t>ni</t>
  </si>
  <si>
    <t>fi</t>
  </si>
  <si>
    <t>Ni</t>
  </si>
  <si>
    <t>Fi</t>
  </si>
  <si>
    <t>hi</t>
  </si>
  <si>
    <t>ni/hi</t>
  </si>
  <si>
    <t>Total</t>
  </si>
  <si>
    <t>extremos dos intervalos</t>
  </si>
  <si>
    <t>ext.inf</t>
  </si>
  <si>
    <t>ext.sup</t>
  </si>
  <si>
    <t>Média</t>
  </si>
  <si>
    <t>Lim inf=</t>
  </si>
  <si>
    <t>p=</t>
  </si>
  <si>
    <t>Fr,ant</t>
  </si>
  <si>
    <t>fr</t>
  </si>
  <si>
    <t>h</t>
  </si>
  <si>
    <t xml:space="preserve">Linha de referência  na tabela </t>
  </si>
  <si>
    <t>Variancia</t>
  </si>
  <si>
    <t>Desvio-padrão</t>
  </si>
  <si>
    <t>Tempo de jogo (minutos)</t>
  </si>
  <si>
    <t>Mediana</t>
  </si>
  <si>
    <t>Dados ordenados do Casino B</t>
  </si>
  <si>
    <t>f)</t>
  </si>
  <si>
    <t>R:Em ambos os casos o desvio padrão quase é o mesmo, mas existe uma variancia mais acentuada no casino A.</t>
  </si>
  <si>
    <t>Assimetria</t>
  </si>
  <si>
    <t>enviasada á direita</t>
  </si>
  <si>
    <t>Curtose</t>
  </si>
  <si>
    <t>distribuição platicúrtica</t>
  </si>
  <si>
    <t>R: Relativamente aos tempos medios o casino A tem um tempo medio de consumo superior ao casino b,</t>
  </si>
  <si>
    <t>a mediana do casino A é muito superior ao do b,relativamente as variancias o casino A é muito superior ao</t>
  </si>
  <si>
    <t>ao b mas os desvios mantem se parecidos,relativamente a curtose e assimetria são iguais.</t>
  </si>
  <si>
    <t>3)</t>
  </si>
  <si>
    <t>Casino A &gt; 92%</t>
  </si>
  <si>
    <t>γ=</t>
  </si>
  <si>
    <t>λ=</t>
  </si>
  <si>
    <t>Δ=</t>
  </si>
  <si>
    <t>Limite Inf.</t>
  </si>
  <si>
    <t>Limite Sup.</t>
  </si>
  <si>
    <t>Casino B &gt; 92%</t>
  </si>
  <si>
    <t>4)</t>
  </si>
  <si>
    <t>Casino A &gt; 97%</t>
  </si>
  <si>
    <t>γ</t>
  </si>
  <si>
    <t>λ</t>
  </si>
  <si>
    <t>p̂</t>
  </si>
  <si>
    <t>Δ</t>
  </si>
  <si>
    <t>Limite Inf</t>
  </si>
  <si>
    <t>Limite Sup</t>
  </si>
  <si>
    <t>Casino B &gt; 97%</t>
  </si>
  <si>
    <t>5.</t>
  </si>
  <si>
    <t>Amostra</t>
  </si>
  <si>
    <t>n=</t>
  </si>
  <si>
    <t>α=</t>
  </si>
  <si>
    <t>𝑥 ̅=</t>
  </si>
  <si>
    <t>σ=</t>
  </si>
  <si>
    <t>representa o tempo médio de consumo de uma bebida numa amostra de 120 jogadores</t>
  </si>
  <si>
    <t>H0: μ = 5,5</t>
  </si>
  <si>
    <t>H1: μ &gt; 5,5</t>
  </si>
  <si>
    <t>P(Z &gt; Zc) = 0,05 ,</t>
  </si>
  <si>
    <t xml:space="preserve">P(Z &lt;= Zc) = </t>
  </si>
  <si>
    <t>Zc =</t>
  </si>
  <si>
    <t>Rc=</t>
  </si>
  <si>
    <t>]1,6448 ; +∞[</t>
  </si>
  <si>
    <t>Zobs=</t>
  </si>
  <si>
    <t>Zobs não pertence à região crítica. Ao nível de significância de 5%, não existe evidência de que o tempo médio de consumo de uma bebida branca no casino A seja superior a 5,5 minutos.</t>
  </si>
  <si>
    <t>6.</t>
  </si>
  <si>
    <t xml:space="preserve">Casino A </t>
  </si>
  <si>
    <t>XiA - v.a que representa o tempo, em minutos, do consumo de bebida no casino A</t>
  </si>
  <si>
    <t>XiB - v.a que representa o tempo, em minutos, do consumo de bebida no casino B</t>
  </si>
  <si>
    <t>XiA ~N(μA, 4,55^2)</t>
  </si>
  <si>
    <t>XiB ~N(μB, 3,39^2)</t>
  </si>
  <si>
    <t>𝑥A̅=</t>
  </si>
  <si>
    <t>v.a que representa o tempo médio do consumo de uma bebida no casino A numa amostra de 120 jogadores</t>
  </si>
  <si>
    <t>𝑥 ̅B=</t>
  </si>
  <si>
    <t>v.a que representa o tempo médio do consumo de uma bebida no casino B numa amostra de 150 jogadores</t>
  </si>
  <si>
    <t>⇔</t>
  </si>
  <si>
    <t>Z = (𝑥A̅ - μA) / (1/√120)</t>
  </si>
  <si>
    <t>~  N(0,1)</t>
  </si>
  <si>
    <t>Z = (𝑥 ̅B - μB) / (1/√150)</t>
  </si>
  <si>
    <t>Teste de Hipóteses Bilateral para a Diferença de Médias:</t>
  </si>
  <si>
    <t>H0: μA - μB = 0</t>
  </si>
  <si>
    <t>H1: μA - μB ≠ 0</t>
  </si>
  <si>
    <t>Estatística de Teste:</t>
  </si>
  <si>
    <t>Região Crítica:</t>
  </si>
  <si>
    <t xml:space="preserve">P(Z&gt;Zc) = </t>
  </si>
  <si>
    <t>P(Z&lt;=Zc) =</t>
  </si>
  <si>
    <t>Zc=</t>
  </si>
  <si>
    <t>Rc =</t>
  </si>
  <si>
    <t>]-∞ ; -1,8119[ U ]1,8119 ; +∞ [</t>
  </si>
  <si>
    <t>Valor Observado:</t>
  </si>
  <si>
    <t xml:space="preserve">Zobs = </t>
  </si>
  <si>
    <t>Ao nível de significância de 7%, há evidência de que os tempos de consumo de bebidas dos dois casinos são diferentes.</t>
  </si>
  <si>
    <t>porque é unilateral à direita</t>
  </si>
  <si>
    <t>Casino A- 20%</t>
  </si>
  <si>
    <t>Casino A-45%</t>
  </si>
  <si>
    <t>Casino B- 20%</t>
  </si>
  <si>
    <t>Casino B-45%</t>
  </si>
  <si>
    <r>
      <t>Z</t>
    </r>
    <r>
      <rPr>
        <sz val="12"/>
        <color theme="1"/>
        <rFont val="Calibri"/>
        <family val="2"/>
      </rPr>
      <t>α</t>
    </r>
    <r>
      <rPr>
        <sz val="12"/>
        <color theme="1"/>
        <rFont val="Calibri"/>
        <family val="2"/>
        <scheme val="minor"/>
      </rPr>
      <t>=</t>
    </r>
  </si>
  <si>
    <t>Zα=</t>
  </si>
  <si>
    <t>𝑥 ̅~N(5,5 ; (4,4^2)/120)</t>
  </si>
  <si>
    <r>
      <t xml:space="preserve">1/n * </t>
    </r>
    <r>
      <rPr>
        <sz val="12"/>
        <color theme="1"/>
        <rFont val="Calibri"/>
        <family val="2"/>
      </rPr>
      <t>∑xi ~N(</t>
    </r>
    <r>
      <rPr>
        <sz val="12"/>
        <color theme="1"/>
        <rFont val="Calibri"/>
        <family val="2"/>
        <scheme val="minor"/>
      </rPr>
      <t>μ, (4,4)^2/120)</t>
    </r>
  </si>
  <si>
    <t>1/120 * ∑xi ~N(μ, (4,4)^2/120)</t>
  </si>
  <si>
    <t>1/150 * ∑xi ~N(μ, (3,89)^2/120)</t>
  </si>
  <si>
    <t>𝑥A̅ - 𝑥 ̅B ~ N (0, (4,4^2)/120 + (3,89^2)/150)</t>
  </si>
  <si>
    <t>Z = (𝑥A̅ - 𝑥 ̅B - 0) / √[(4,4^2)/120 + (3,89^2)/150]</t>
  </si>
  <si>
    <t>Com nível de confiança de 97% para µ:]-0,0151 ; 0,2208[, um intervalo de sinais diferentes, podemos dizer que não há diferença significativa.</t>
  </si>
  <si>
    <t>Nº amostras</t>
  </si>
  <si>
    <t xml:space="preserve">Nº amostras </t>
  </si>
  <si>
    <t>Amplitude de classe =</t>
  </si>
  <si>
    <t>Porporçao de jogadores de roleta que consomem mais de 2 bebidas brancas no casino -&gt;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</si>
</sst>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0.0"/>
  </numFmts>
  <fonts count="13" x14ac:knownFonts="1">
    <font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2060"/>
      <name val="Calibri"/>
      <family val="2"/>
      <scheme val="minor"/>
    </font>
    <font>
      <sz val="11"/>
      <color rgb="FF006100"/>
      <name val="Calibri"/>
      <family val="2"/>
      <scheme val="minor"/>
    </font>
    <font>
      <sz val="12"/>
      <color theme="1"/>
      <name val="Calibri"/>
      <family val="2"/>
    </font>
    <font>
      <sz val="12"/>
      <name val="Arial"/>
      <family val="2"/>
    </font>
    <font>
      <sz val="11"/>
      <color rgb="FF4D5156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</fills>
  <borders count="11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theme="4"/>
      </top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9" fillId="5" borderId="0" applyNumberFormat="0" applyBorder="0" applyAlignment="0" applyProtection="0"/>
  </cellStyleXfs>
  <cellXfs count="64">
    <xf numFmtId="0" fontId="0" fillId="0" borderId="0" xfId="0"/>
    <xf numFmtId="2" fontId="0" fillId="0" borderId="0" xfId="0" applyNumberFormat="1"/>
    <xf numFmtId="0" fontId="0" fillId="2" borderId="0" xfId="0" applyFill="1"/>
    <xf numFmtId="0" fontId="0" fillId="3" borderId="0" xfId="0" applyFill="1"/>
    <xf numFmtId="2" fontId="0" fillId="3" borderId="0" xfId="0" applyNumberFormat="1" applyFill="1"/>
    <xf numFmtId="164" fontId="0" fillId="0" borderId="0" xfId="0" applyNumberFormat="1"/>
    <xf numFmtId="0" fontId="3" fillId="3" borderId="0" xfId="0" applyFont="1" applyFill="1" applyAlignment="1">
      <alignment vertical="center" wrapText="1"/>
    </xf>
    <xf numFmtId="0" fontId="3" fillId="3" borderId="0" xfId="0" applyFont="1" applyFill="1"/>
    <xf numFmtId="0" fontId="3" fillId="3" borderId="0" xfId="0" applyFont="1" applyFill="1" applyAlignment="1">
      <alignment horizontal="center" vertical="center" wrapText="1"/>
    </xf>
    <xf numFmtId="0" fontId="3" fillId="0" borderId="0" xfId="0" applyFont="1"/>
    <xf numFmtId="0" fontId="3" fillId="2" borderId="1" xfId="0" applyFont="1" applyFill="1" applyBorder="1" applyAlignment="1">
      <alignment vertical="top" wrapText="1"/>
    </xf>
    <xf numFmtId="0" fontId="3" fillId="2" borderId="2" xfId="0" applyFont="1" applyFill="1" applyBorder="1" applyAlignment="1">
      <alignment vertical="top"/>
    </xf>
    <xf numFmtId="0" fontId="4" fillId="2" borderId="2" xfId="0" applyFont="1" applyFill="1" applyBorder="1" applyAlignment="1">
      <alignment horizontal="center" vertical="top" wrapText="1"/>
    </xf>
    <xf numFmtId="0" fontId="4" fillId="2" borderId="2" xfId="0" applyFont="1" applyFill="1" applyBorder="1" applyAlignment="1">
      <alignment vertical="top" wrapText="1"/>
    </xf>
    <xf numFmtId="0" fontId="4" fillId="2" borderId="3" xfId="0" applyFont="1" applyFill="1" applyBorder="1" applyAlignment="1">
      <alignment vertical="top" wrapText="1"/>
    </xf>
    <xf numFmtId="0" fontId="3" fillId="2" borderId="0" xfId="0" applyFont="1" applyFill="1" applyAlignment="1">
      <alignment wrapText="1"/>
    </xf>
    <xf numFmtId="0" fontId="3" fillId="2" borderId="0" xfId="0" applyFont="1" applyFill="1"/>
    <xf numFmtId="0" fontId="3" fillId="2" borderId="4" xfId="0" applyFont="1" applyFill="1" applyBorder="1"/>
    <xf numFmtId="0" fontId="3" fillId="2" borderId="5" xfId="0" applyFont="1" applyFill="1" applyBorder="1"/>
    <xf numFmtId="0" fontId="3" fillId="2" borderId="6" xfId="0" applyFont="1" applyFill="1" applyBorder="1"/>
    <xf numFmtId="0" fontId="5" fillId="2" borderId="0" xfId="0" applyFont="1" applyFill="1" applyAlignment="1">
      <alignment wrapText="1"/>
    </xf>
    <xf numFmtId="0" fontId="3" fillId="2" borderId="4" xfId="0" applyFont="1" applyFill="1" applyBorder="1" applyAlignment="1">
      <alignment horizontal="center"/>
    </xf>
    <xf numFmtId="9" fontId="3" fillId="2" borderId="5" xfId="1" applyFont="1" applyFill="1" applyBorder="1"/>
    <xf numFmtId="10" fontId="3" fillId="2" borderId="6" xfId="0" applyNumberFormat="1" applyFont="1" applyFill="1" applyBorder="1"/>
    <xf numFmtId="2" fontId="5" fillId="2" borderId="0" xfId="0" applyNumberFormat="1" applyFont="1" applyFill="1"/>
    <xf numFmtId="2" fontId="3" fillId="2" borderId="0" xfId="0" applyNumberFormat="1" applyFont="1" applyFill="1"/>
    <xf numFmtId="0" fontId="3" fillId="2" borderId="7" xfId="0" applyFont="1" applyFill="1" applyBorder="1" applyAlignment="1">
      <alignment horizontal="center"/>
    </xf>
    <xf numFmtId="0" fontId="3" fillId="2" borderId="8" xfId="0" applyFont="1" applyFill="1" applyBorder="1"/>
    <xf numFmtId="9" fontId="3" fillId="2" borderId="8" xfId="1" applyFont="1" applyFill="1" applyBorder="1"/>
    <xf numFmtId="10" fontId="3" fillId="2" borderId="9" xfId="0" applyNumberFormat="1" applyFont="1" applyFill="1" applyBorder="1"/>
    <xf numFmtId="2" fontId="3" fillId="3" borderId="0" xfId="0" applyNumberFormat="1" applyFont="1" applyFill="1"/>
    <xf numFmtId="0" fontId="0" fillId="0" borderId="0" xfId="0" applyAlignment="1">
      <alignment wrapText="1"/>
    </xf>
    <xf numFmtId="0" fontId="7" fillId="0" borderId="0" xfId="0" applyFont="1"/>
    <xf numFmtId="0" fontId="0" fillId="4" borderId="0" xfId="0" applyFill="1"/>
    <xf numFmtId="0" fontId="0" fillId="2" borderId="5" xfId="0" applyFill="1" applyBorder="1" applyAlignment="1">
      <alignment horizontal="right"/>
    </xf>
    <xf numFmtId="0" fontId="0" fillId="2" borderId="5" xfId="0" applyFill="1" applyBorder="1"/>
    <xf numFmtId="0" fontId="6" fillId="2" borderId="5" xfId="0" applyFont="1" applyFill="1" applyBorder="1" applyAlignment="1">
      <alignment horizontal="right"/>
    </xf>
    <xf numFmtId="0" fontId="6" fillId="2" borderId="5" xfId="0" applyFont="1" applyFill="1" applyBorder="1"/>
    <xf numFmtId="0" fontId="8" fillId="2" borderId="5" xfId="0" applyFont="1" applyFill="1" applyBorder="1" applyAlignment="1">
      <alignment horizontal="right"/>
    </xf>
    <xf numFmtId="0" fontId="8" fillId="2" borderId="5" xfId="0" applyFont="1" applyFill="1" applyBorder="1"/>
    <xf numFmtId="0" fontId="6" fillId="2" borderId="0" xfId="0" applyFont="1" applyFill="1"/>
    <xf numFmtId="2" fontId="6" fillId="2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64" fontId="8" fillId="2" borderId="5" xfId="0" applyNumberFormat="1" applyFont="1" applyFill="1" applyBorder="1"/>
    <xf numFmtId="164" fontId="0" fillId="2" borderId="5" xfId="0" applyNumberFormat="1" applyFill="1" applyBorder="1"/>
    <xf numFmtId="164" fontId="6" fillId="2" borderId="5" xfId="0" applyNumberFormat="1" applyFont="1" applyFill="1" applyBorder="1"/>
    <xf numFmtId="0" fontId="5" fillId="2" borderId="0" xfId="0" applyFont="1" applyFill="1"/>
    <xf numFmtId="0" fontId="9" fillId="5" borderId="0" xfId="2"/>
    <xf numFmtId="0" fontId="11" fillId="0" borderId="0" xfId="0" applyFont="1"/>
    <xf numFmtId="0" fontId="12" fillId="0" borderId="0" xfId="0" applyFont="1"/>
    <xf numFmtId="0" fontId="11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9" fillId="5" borderId="0" xfId="2" applyNumberFormat="1"/>
    <xf numFmtId="165" fontId="0" fillId="0" borderId="0" xfId="0" applyNumberFormat="1"/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3" fillId="3" borderId="10" xfId="0" applyNumberFormat="1" applyFont="1" applyFill="1" applyBorder="1"/>
    <xf numFmtId="0" fontId="0" fillId="0" borderId="0" xfId="0" quotePrefix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 wrapText="1"/>
    </xf>
    <xf numFmtId="0" fontId="3" fillId="2" borderId="0" xfId="0" applyFont="1" applyFill="1" applyAlignment="1">
      <alignment horizontal="center"/>
    </xf>
  </cellXfs>
  <cellStyles count="3">
    <cellStyle name="Correto" xfId="2" builtinId="26"/>
    <cellStyle name="Normal" xfId="0" builtinId="0"/>
    <cellStyle name="Percentagem" xfId="1" builtinId="5"/>
  </cellStyles>
  <dxfs count="10"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>
          <fgColor indexed="64"/>
          <bgColor theme="5" tint="0.79998168889431442"/>
        </patternFill>
      </fill>
    </dxf>
    <dxf>
      <font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Grafico</a:t>
            </a:r>
            <a:r>
              <a:rPr lang="pt-PT" baseline="0"/>
              <a:t> Casino A (Frequencias Relativas)</a:t>
            </a: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7.2249196709714414E-2"/>
          <c:y val="0.22501650165016504"/>
          <c:w val="0.87325953771455267"/>
          <c:h val="0.4510667602193290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'Exercício 1'!$C$8</c:f>
              <c:strCache>
                <c:ptCount val="1"/>
                <c:pt idx="0">
                  <c:v>Freq. Rela. Fi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'Exercício 1'!$C$9:$C$16</c:f>
              <c:numCache>
                <c:formatCode>General</c:formatCode>
                <c:ptCount val="8"/>
                <c:pt idx="0">
                  <c:v>0.11</c:v>
                </c:pt>
                <c:pt idx="1">
                  <c:v>0.185</c:v>
                </c:pt>
                <c:pt idx="2">
                  <c:v>0.13500000000000001</c:v>
                </c:pt>
                <c:pt idx="3">
                  <c:v>0.12</c:v>
                </c:pt>
                <c:pt idx="4">
                  <c:v>0.11</c:v>
                </c:pt>
                <c:pt idx="5">
                  <c:v>0.125</c:v>
                </c:pt>
                <c:pt idx="6">
                  <c:v>0.11</c:v>
                </c:pt>
                <c:pt idx="7">
                  <c:v>0.105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F-45D0-8750-1BF69E246DAE}"/>
            </c:ext>
          </c:extLst>
        </c:ser>
        <c:ser>
          <c:idx val="1"/>
          <c:order val="1"/>
          <c:tx>
            <c:strRef>
              <c:f>'Exercício 1'!$E$8</c:f>
              <c:strCache>
                <c:ptCount val="1"/>
                <c:pt idx="0">
                  <c:v>relativa Fi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'Exercício 1'!$E$9:$E$16</c:f>
              <c:numCache>
                <c:formatCode>General</c:formatCode>
                <c:ptCount val="8"/>
                <c:pt idx="0">
                  <c:v>0.11</c:v>
                </c:pt>
                <c:pt idx="1">
                  <c:v>0.29499999999999998</c:v>
                </c:pt>
                <c:pt idx="2">
                  <c:v>0.43</c:v>
                </c:pt>
                <c:pt idx="3">
                  <c:v>0.55000000000000004</c:v>
                </c:pt>
                <c:pt idx="4">
                  <c:v>0.66</c:v>
                </c:pt>
                <c:pt idx="5">
                  <c:v>0.78500000000000003</c:v>
                </c:pt>
                <c:pt idx="6">
                  <c:v>0.89500000000000002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9F-45D0-8750-1BF69E246D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9057359"/>
        <c:axId val="1139067759"/>
      </c:barChart>
      <c:catAx>
        <c:axId val="1139057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39067759"/>
        <c:crosses val="autoZero"/>
        <c:auto val="1"/>
        <c:lblAlgn val="ctr"/>
        <c:lblOffset val="100"/>
        <c:noMultiLvlLbl val="0"/>
      </c:catAx>
      <c:valAx>
        <c:axId val="11390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390573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sz="1800" b="0" i="0" baseline="0">
                <a:effectLst/>
              </a:rPr>
              <a:t>Grafico Casino B(Frequencias Absolutas)</a:t>
            </a:r>
            <a:endParaRPr lang="pt-P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8.2025371828521432E-2"/>
          <c:y val="0.17171296296296298"/>
          <c:w val="0.89019685039370078"/>
          <c:h val="0.6149843248760571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'Exercício 1'!$B$23</c:f>
              <c:strCache>
                <c:ptCount val="1"/>
                <c:pt idx="0">
                  <c:v>Freq. Abs. ni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'Exercício 1'!$A$24:$A$31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'Exercício 1'!$B$24:$B$31</c:f>
              <c:numCache>
                <c:formatCode>General</c:formatCode>
                <c:ptCount val="8"/>
                <c:pt idx="0">
                  <c:v>19</c:v>
                </c:pt>
                <c:pt idx="1">
                  <c:v>27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31</c:v>
                </c:pt>
                <c:pt idx="6">
                  <c:v>23</c:v>
                </c:pt>
                <c:pt idx="7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3F-4C4E-A710-5D9B9A1B9D61}"/>
            </c:ext>
          </c:extLst>
        </c:ser>
        <c:ser>
          <c:idx val="1"/>
          <c:order val="1"/>
          <c:tx>
            <c:strRef>
              <c:f>'Exercício 1'!$D$23</c:f>
              <c:strCache>
                <c:ptCount val="1"/>
                <c:pt idx="0">
                  <c:v>absoluta Fi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'Exercício 1'!$A$24:$A$31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'Exercício 1'!$D$24:$D$31</c:f>
              <c:numCache>
                <c:formatCode>General</c:formatCode>
                <c:ptCount val="8"/>
                <c:pt idx="0">
                  <c:v>19</c:v>
                </c:pt>
                <c:pt idx="1">
                  <c:v>46</c:v>
                </c:pt>
                <c:pt idx="2">
                  <c:v>71</c:v>
                </c:pt>
                <c:pt idx="3">
                  <c:v>96</c:v>
                </c:pt>
                <c:pt idx="4">
                  <c:v>121</c:v>
                </c:pt>
                <c:pt idx="5">
                  <c:v>152</c:v>
                </c:pt>
                <c:pt idx="6">
                  <c:v>175</c:v>
                </c:pt>
                <c:pt idx="7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3F-4C4E-A710-5D9B9A1B9D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9073167"/>
        <c:axId val="1139072751"/>
      </c:barChart>
      <c:catAx>
        <c:axId val="113907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39072751"/>
        <c:crosses val="autoZero"/>
        <c:auto val="1"/>
        <c:lblAlgn val="ctr"/>
        <c:lblOffset val="100"/>
        <c:noMultiLvlLbl val="0"/>
      </c:catAx>
      <c:valAx>
        <c:axId val="113907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39073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sz="1800" b="0" i="0" baseline="0">
                <a:effectLst/>
              </a:rPr>
              <a:t>Grafico Casino B(Frequencias Relativas)</a:t>
            </a:r>
            <a:endParaRPr lang="pt-P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'Exercício 1'!$C$23</c:f>
              <c:strCache>
                <c:ptCount val="1"/>
                <c:pt idx="0">
                  <c:v>Freq. Rela. Fi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'Exercício 1'!$A$24:$A$31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'Exercício 1'!$C$24:$C$31</c:f>
              <c:numCache>
                <c:formatCode>General</c:formatCode>
                <c:ptCount val="8"/>
                <c:pt idx="0">
                  <c:v>9.5000000000000001E-2</c:v>
                </c:pt>
                <c:pt idx="1">
                  <c:v>0.13500000000000001</c:v>
                </c:pt>
                <c:pt idx="2">
                  <c:v>0.125</c:v>
                </c:pt>
                <c:pt idx="3">
                  <c:v>0.125</c:v>
                </c:pt>
                <c:pt idx="4">
                  <c:v>0.125</c:v>
                </c:pt>
                <c:pt idx="5">
                  <c:v>0.155</c:v>
                </c:pt>
                <c:pt idx="6">
                  <c:v>0.115</c:v>
                </c:pt>
                <c:pt idx="7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2B-498F-96E4-74972901C8F6}"/>
            </c:ext>
          </c:extLst>
        </c:ser>
        <c:ser>
          <c:idx val="1"/>
          <c:order val="1"/>
          <c:tx>
            <c:strRef>
              <c:f>'Exercício 1'!$E$23</c:f>
              <c:strCache>
                <c:ptCount val="1"/>
                <c:pt idx="0">
                  <c:v>relativa Fi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'Exercício 1'!$A$24:$A$31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'Exercício 1'!$E$24:$E$31</c:f>
              <c:numCache>
                <c:formatCode>General</c:formatCode>
                <c:ptCount val="8"/>
                <c:pt idx="0">
                  <c:v>9.5000000000000001E-2</c:v>
                </c:pt>
                <c:pt idx="1">
                  <c:v>0.23</c:v>
                </c:pt>
                <c:pt idx="2">
                  <c:v>0.35499999999999998</c:v>
                </c:pt>
                <c:pt idx="3">
                  <c:v>0.48</c:v>
                </c:pt>
                <c:pt idx="4">
                  <c:v>0.60499999999999998</c:v>
                </c:pt>
                <c:pt idx="5">
                  <c:v>0.76</c:v>
                </c:pt>
                <c:pt idx="6">
                  <c:v>0.875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2B-498F-96E4-74972901C8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19744223"/>
        <c:axId val="519745471"/>
      </c:barChart>
      <c:catAx>
        <c:axId val="51974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9745471"/>
        <c:crosses val="autoZero"/>
        <c:auto val="1"/>
        <c:lblAlgn val="ctr"/>
        <c:lblOffset val="100"/>
        <c:noMultiLvlLbl val="0"/>
      </c:catAx>
      <c:valAx>
        <c:axId val="51974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51974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sz="1800" b="0" i="0" baseline="0">
                <a:effectLst/>
              </a:rPr>
              <a:t>Grafico Casino A(Frequencias Absolutas)</a:t>
            </a:r>
            <a:endParaRPr lang="pt-PT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'Exercício 1'!$B$8</c:f>
              <c:strCache>
                <c:ptCount val="1"/>
                <c:pt idx="0">
                  <c:v>Freq. Abs. ni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'Exercício 1'!$A$9:$A$16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'Exercício 1'!$B$9:$B$16</c:f>
              <c:numCache>
                <c:formatCode>General</c:formatCode>
                <c:ptCount val="8"/>
                <c:pt idx="0">
                  <c:v>22</c:v>
                </c:pt>
                <c:pt idx="1">
                  <c:v>37</c:v>
                </c:pt>
                <c:pt idx="2">
                  <c:v>27</c:v>
                </c:pt>
                <c:pt idx="3">
                  <c:v>24</c:v>
                </c:pt>
                <c:pt idx="4">
                  <c:v>22</c:v>
                </c:pt>
                <c:pt idx="5">
                  <c:v>25</c:v>
                </c:pt>
                <c:pt idx="6">
                  <c:v>22</c:v>
                </c:pt>
                <c:pt idx="7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97-407B-8EB6-D803A6542BEF}"/>
            </c:ext>
          </c:extLst>
        </c:ser>
        <c:ser>
          <c:idx val="1"/>
          <c:order val="1"/>
          <c:tx>
            <c:strRef>
              <c:f>'Exercício 1'!$D$8</c:f>
              <c:strCache>
                <c:ptCount val="1"/>
                <c:pt idx="0">
                  <c:v>absoluta Fi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'Exercício 1'!$A$9:$A$16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'Exercício 1'!$D$9:$D$16</c:f>
              <c:numCache>
                <c:formatCode>General</c:formatCode>
                <c:ptCount val="8"/>
                <c:pt idx="0">
                  <c:v>22</c:v>
                </c:pt>
                <c:pt idx="1">
                  <c:v>59</c:v>
                </c:pt>
                <c:pt idx="2">
                  <c:v>86</c:v>
                </c:pt>
                <c:pt idx="3">
                  <c:v>110</c:v>
                </c:pt>
                <c:pt idx="4">
                  <c:v>132</c:v>
                </c:pt>
                <c:pt idx="5">
                  <c:v>157</c:v>
                </c:pt>
                <c:pt idx="6">
                  <c:v>179</c:v>
                </c:pt>
                <c:pt idx="7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97-407B-8EB6-D803A6542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8624943"/>
        <c:axId val="308628271"/>
      </c:barChart>
      <c:catAx>
        <c:axId val="30862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08628271"/>
        <c:crosses val="autoZero"/>
        <c:auto val="1"/>
        <c:lblAlgn val="ctr"/>
        <c:lblOffset val="100"/>
        <c:noMultiLvlLbl val="0"/>
      </c:catAx>
      <c:valAx>
        <c:axId val="3086282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0862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Gráfico do casino 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'Exercício 2 '!$D$25:$D$31</c:f>
              <c:strCache>
                <c:ptCount val="7"/>
                <c:pt idx="0">
                  <c:v>[5,86   ;    7,96[</c:v>
                </c:pt>
                <c:pt idx="1">
                  <c:v>[7,96   ;    10,06[</c:v>
                </c:pt>
                <c:pt idx="2">
                  <c:v>[10,06   ;    12,16[</c:v>
                </c:pt>
                <c:pt idx="3">
                  <c:v>[12,16   ;    14,26[</c:v>
                </c:pt>
                <c:pt idx="4">
                  <c:v>[14,26   ;    16,36[</c:v>
                </c:pt>
                <c:pt idx="5">
                  <c:v>[16,36   ;    18,46[</c:v>
                </c:pt>
                <c:pt idx="6">
                  <c:v>[18,46   ;    20,56[</c:v>
                </c:pt>
              </c:strCache>
            </c:strRef>
          </c:cat>
          <c:val>
            <c:numRef>
              <c:f>'Exercício 2 '!$F$25:$F$31</c:f>
              <c:numCache>
                <c:formatCode>General</c:formatCode>
                <c:ptCount val="7"/>
                <c:pt idx="0">
                  <c:v>20</c:v>
                </c:pt>
                <c:pt idx="1">
                  <c:v>20</c:v>
                </c:pt>
                <c:pt idx="2">
                  <c:v>13</c:v>
                </c:pt>
                <c:pt idx="3">
                  <c:v>16</c:v>
                </c:pt>
                <c:pt idx="4">
                  <c:v>15</c:v>
                </c:pt>
                <c:pt idx="5">
                  <c:v>18</c:v>
                </c:pt>
                <c:pt idx="6">
                  <c:v>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50-4C98-9E3F-29D570C73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5052080"/>
        <c:axId val="489062072"/>
      </c:barChart>
      <c:catAx>
        <c:axId val="325052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489062072"/>
        <c:crosses val="autoZero"/>
        <c:auto val="1"/>
        <c:lblAlgn val="ctr"/>
        <c:lblOffset val="100"/>
        <c:noMultiLvlLbl val="0"/>
      </c:catAx>
      <c:valAx>
        <c:axId val="489062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325052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Grafico do Casino</a:t>
            </a:r>
            <a:r>
              <a:rPr lang="pt-PT" baseline="0"/>
              <a:t> 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'Exercício 2 '!$G$66</c:f>
              <c:strCache>
                <c:ptCount val="1"/>
                <c:pt idx="0">
                  <c:v>ni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'Exercício 2 '!$E$67:$E$74</c:f>
              <c:strCache>
                <c:ptCount val="8"/>
                <c:pt idx="0">
                  <c:v>[5,72 ; 7,42[</c:v>
                </c:pt>
                <c:pt idx="1">
                  <c:v>[7,42 ; 9,12[</c:v>
                </c:pt>
                <c:pt idx="2">
                  <c:v>[9,12 ; 10,82[</c:v>
                </c:pt>
                <c:pt idx="3">
                  <c:v>[10,82 ; 12,52[</c:v>
                </c:pt>
                <c:pt idx="4">
                  <c:v>[12,52 ; 14,22[</c:v>
                </c:pt>
                <c:pt idx="5">
                  <c:v>[14,22 ; 15,92[</c:v>
                </c:pt>
                <c:pt idx="6">
                  <c:v>[15,92 ; 17,62[</c:v>
                </c:pt>
                <c:pt idx="7">
                  <c:v>[17,62 ; 19,32[</c:v>
                </c:pt>
              </c:strCache>
            </c:strRef>
          </c:cat>
          <c:val>
            <c:numRef>
              <c:f>'Exercício 2 '!$G$67:$G$74</c:f>
              <c:numCache>
                <c:formatCode>General</c:formatCode>
                <c:ptCount val="8"/>
                <c:pt idx="0">
                  <c:v>20</c:v>
                </c:pt>
                <c:pt idx="1">
                  <c:v>24</c:v>
                </c:pt>
                <c:pt idx="2">
                  <c:v>15</c:v>
                </c:pt>
                <c:pt idx="3">
                  <c:v>17</c:v>
                </c:pt>
                <c:pt idx="4">
                  <c:v>23</c:v>
                </c:pt>
                <c:pt idx="5">
                  <c:v>17</c:v>
                </c:pt>
                <c:pt idx="6">
                  <c:v>18</c:v>
                </c:pt>
                <c:pt idx="7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C3-415D-BCF9-0147346DF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7231040"/>
        <c:axId val="1107232288"/>
      </c:barChart>
      <c:catAx>
        <c:axId val="110723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07232288"/>
        <c:crosses val="autoZero"/>
        <c:auto val="1"/>
        <c:lblAlgn val="ctr"/>
        <c:lblOffset val="100"/>
        <c:noMultiLvlLbl val="0"/>
      </c:catAx>
      <c:valAx>
        <c:axId val="110723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07231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Histograma</a:t>
            </a:r>
          </a:p>
          <a:p>
            <a:pPr>
              <a:defRPr/>
            </a:pPr>
            <a:r>
              <a:rPr lang="pt-PT"/>
              <a:t> Casino 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'Exercício 2 '!$J$24</c:f>
              <c:strCache>
                <c:ptCount val="1"/>
                <c:pt idx="0">
                  <c:v>hi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'Exercício 2 '!$L$33</c:f>
              <c:numCache>
                <c:formatCode>General</c:formatCode>
                <c:ptCount val="1"/>
              </c:numCache>
            </c:numRef>
          </c:cat>
          <c:val>
            <c:numRef>
              <c:f>'Exercício 2 '!$K$24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81-44F9-8360-744150C331B7}"/>
            </c:ext>
          </c:extLst>
        </c:ser>
        <c:ser>
          <c:idx val="1"/>
          <c:order val="1"/>
          <c:tx>
            <c:strRef>
              <c:f>'Exercício 2 '!$J$25</c:f>
              <c:strCache>
                <c:ptCount val="1"/>
                <c:pt idx="0">
                  <c:v>2,1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'Exercício 2 '!$L$33</c:f>
              <c:numCache>
                <c:formatCode>General</c:formatCode>
                <c:ptCount val="1"/>
              </c:numCache>
            </c:numRef>
          </c:cat>
          <c:val>
            <c:numRef>
              <c:f>'Exercício 2 '!$K$25</c:f>
              <c:numCache>
                <c:formatCode>0.00</c:formatCode>
                <c:ptCount val="1"/>
                <c:pt idx="0">
                  <c:v>9.5238095238095219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81-44F9-8360-744150C331B7}"/>
            </c:ext>
          </c:extLst>
        </c:ser>
        <c:ser>
          <c:idx val="2"/>
          <c:order val="2"/>
          <c:tx>
            <c:strRef>
              <c:f>'Exercício 2 '!$J$26</c:f>
              <c:strCache>
                <c:ptCount val="1"/>
                <c:pt idx="0">
                  <c:v>2,1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'Exercício 2 '!$L$33</c:f>
              <c:numCache>
                <c:formatCode>General</c:formatCode>
                <c:ptCount val="1"/>
              </c:numCache>
            </c:numRef>
          </c:cat>
          <c:val>
            <c:numRef>
              <c:f>'Exercício 2 '!$K$26</c:f>
              <c:numCache>
                <c:formatCode>0.00</c:formatCode>
                <c:ptCount val="1"/>
                <c:pt idx="0">
                  <c:v>9.5238095238095255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81-44F9-8360-744150C331B7}"/>
            </c:ext>
          </c:extLst>
        </c:ser>
        <c:ser>
          <c:idx val="3"/>
          <c:order val="3"/>
          <c:tx>
            <c:strRef>
              <c:f>'Exercício 2 '!$J$27</c:f>
              <c:strCache>
                <c:ptCount val="1"/>
                <c:pt idx="0">
                  <c:v>2,1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'Exercício 2 '!$L$33</c:f>
              <c:numCache>
                <c:formatCode>General</c:formatCode>
                <c:ptCount val="1"/>
              </c:numCache>
            </c:numRef>
          </c:cat>
          <c:val>
            <c:numRef>
              <c:f>'Exercício 2 '!$K$27</c:f>
              <c:numCache>
                <c:formatCode>0.00</c:formatCode>
                <c:ptCount val="1"/>
                <c:pt idx="0">
                  <c:v>6.1904761904761916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81-44F9-8360-744150C331B7}"/>
            </c:ext>
          </c:extLst>
        </c:ser>
        <c:ser>
          <c:idx val="4"/>
          <c:order val="4"/>
          <c:tx>
            <c:strRef>
              <c:f>'Exercício 2 '!$J$28</c:f>
              <c:strCache>
                <c:ptCount val="1"/>
                <c:pt idx="0">
                  <c:v>2,1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'Exercício 2 '!$L$33</c:f>
              <c:numCache>
                <c:formatCode>General</c:formatCode>
                <c:ptCount val="1"/>
              </c:numCache>
            </c:numRef>
          </c:cat>
          <c:val>
            <c:numRef>
              <c:f>'Exercício 2 '!$K$28</c:f>
              <c:numCache>
                <c:formatCode>0.00</c:formatCode>
                <c:ptCount val="1"/>
                <c:pt idx="0">
                  <c:v>7.6190476190476142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81-44F9-8360-744150C331B7}"/>
            </c:ext>
          </c:extLst>
        </c:ser>
        <c:ser>
          <c:idx val="5"/>
          <c:order val="5"/>
          <c:tx>
            <c:strRef>
              <c:f>'Exercício 2 '!$J$29</c:f>
              <c:strCache>
                <c:ptCount val="1"/>
                <c:pt idx="0">
                  <c:v>2,1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'Exercício 2 '!$L$33</c:f>
              <c:numCache>
                <c:formatCode>General</c:formatCode>
                <c:ptCount val="1"/>
              </c:numCache>
            </c:numRef>
          </c:cat>
          <c:val>
            <c:numRef>
              <c:f>'Exercício 2 '!$K$29</c:f>
              <c:numCache>
                <c:formatCode>0.00</c:formatCode>
                <c:ptCount val="1"/>
                <c:pt idx="0">
                  <c:v>7.1428571428571503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81-44F9-8360-744150C331B7}"/>
            </c:ext>
          </c:extLst>
        </c:ser>
        <c:ser>
          <c:idx val="6"/>
          <c:order val="6"/>
          <c:tx>
            <c:strRef>
              <c:f>'Exercício 2 '!$J$30</c:f>
              <c:strCache>
                <c:ptCount val="1"/>
                <c:pt idx="0">
                  <c:v>2,1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'Exercício 2 '!$L$33</c:f>
              <c:numCache>
                <c:formatCode>General</c:formatCode>
                <c:ptCount val="1"/>
              </c:numCache>
            </c:numRef>
          </c:cat>
          <c:val>
            <c:numRef>
              <c:f>'Exercício 2 '!$K$30</c:f>
              <c:numCache>
                <c:formatCode>0.00</c:formatCode>
                <c:ptCount val="1"/>
                <c:pt idx="0">
                  <c:v>8.5714285714285658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81-44F9-8360-744150C331B7}"/>
            </c:ext>
          </c:extLst>
        </c:ser>
        <c:ser>
          <c:idx val="7"/>
          <c:order val="7"/>
          <c:tx>
            <c:strRef>
              <c:f>'Exercício 2 '!$J$31</c:f>
              <c:strCache>
                <c:ptCount val="1"/>
                <c:pt idx="0">
                  <c:v>2,1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'Exercício 2 '!$L$33</c:f>
              <c:numCache>
                <c:formatCode>General</c:formatCode>
                <c:ptCount val="1"/>
              </c:numCache>
            </c:numRef>
          </c:cat>
          <c:val>
            <c:numRef>
              <c:f>'Exercício 2 '!$K$31</c:f>
              <c:numCache>
                <c:formatCode>0.00</c:formatCode>
                <c:ptCount val="1"/>
                <c:pt idx="0">
                  <c:v>8.5714285714285658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81-44F9-8360-744150C3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780314992"/>
        <c:axId val="1780314160"/>
      </c:barChart>
      <c:catAx>
        <c:axId val="1780314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80314160"/>
        <c:crosses val="autoZero"/>
        <c:auto val="1"/>
        <c:lblAlgn val="ctr"/>
        <c:lblOffset val="100"/>
        <c:noMultiLvlLbl val="0"/>
      </c:catAx>
      <c:valAx>
        <c:axId val="178031416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800" b="0" i="0" baseline="0">
                    <a:effectLst/>
                  </a:rPr>
                  <a:t>ni/hi</a:t>
                </a:r>
                <a:endParaRPr lang="pt-PT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80314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P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/>
              <a:t>Histograma</a:t>
            </a:r>
          </a:p>
          <a:p>
            <a:pPr>
              <a:defRPr/>
            </a:pPr>
            <a:r>
              <a:rPr lang="pt-PT"/>
              <a:t> Casino B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'Exercício 2 '!$K$66</c:f>
              <c:strCache>
                <c:ptCount val="1"/>
                <c:pt idx="0">
                  <c:v>hi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'!$L$66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10-4D5D-B70F-3969FDF1A54B}"/>
            </c:ext>
          </c:extLst>
        </c:ser>
        <c:ser>
          <c:idx val="1"/>
          <c:order val="1"/>
          <c:tx>
            <c:strRef>
              <c:f>'Exercício 2 '!$K$67</c:f>
              <c:strCache>
                <c:ptCount val="1"/>
                <c:pt idx="0">
                  <c:v>1,7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'!$L$67</c:f>
              <c:numCache>
                <c:formatCode>0.00</c:formatCode>
                <c:ptCount val="1"/>
                <c:pt idx="0">
                  <c:v>11.76470588235294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10-4D5D-B70F-3969FDF1A54B}"/>
            </c:ext>
          </c:extLst>
        </c:ser>
        <c:ser>
          <c:idx val="2"/>
          <c:order val="2"/>
          <c:tx>
            <c:strRef>
              <c:f>'Exercício 2 '!$K$68</c:f>
              <c:strCache>
                <c:ptCount val="1"/>
                <c:pt idx="0">
                  <c:v>1,7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'!$L$68</c:f>
              <c:numCache>
                <c:formatCode>0.00</c:formatCode>
                <c:ptCount val="1"/>
                <c:pt idx="0">
                  <c:v>14.117647058823536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10-4D5D-B70F-3969FDF1A54B}"/>
            </c:ext>
          </c:extLst>
        </c:ser>
        <c:ser>
          <c:idx val="3"/>
          <c:order val="3"/>
          <c:tx>
            <c:strRef>
              <c:f>'Exercício 2 '!$K$69</c:f>
              <c:strCache>
                <c:ptCount val="1"/>
                <c:pt idx="0">
                  <c:v>1,7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'!$L$69</c:f>
              <c:numCache>
                <c:formatCode>0.00</c:formatCode>
                <c:ptCount val="1"/>
                <c:pt idx="0">
                  <c:v>8.8235294117647012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10-4D5D-B70F-3969FDF1A54B}"/>
            </c:ext>
          </c:extLst>
        </c:ser>
        <c:ser>
          <c:idx val="4"/>
          <c:order val="4"/>
          <c:tx>
            <c:strRef>
              <c:f>'Exercício 2 '!$K$70</c:f>
              <c:strCache>
                <c:ptCount val="1"/>
                <c:pt idx="0">
                  <c:v>1,7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'!$L$70</c:f>
              <c:numCache>
                <c:formatCode>0.00</c:formatCode>
                <c:ptCount val="1"/>
                <c:pt idx="0">
                  <c:v>10.000000000000004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10-4D5D-B70F-3969FDF1A54B}"/>
            </c:ext>
          </c:extLst>
        </c:ser>
        <c:ser>
          <c:idx val="5"/>
          <c:order val="5"/>
          <c:tx>
            <c:strRef>
              <c:f>'Exercício 2 '!$K$71</c:f>
              <c:strCache>
                <c:ptCount val="1"/>
                <c:pt idx="0">
                  <c:v>1,7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'!$L$71</c:f>
              <c:numCache>
                <c:formatCode>0.00</c:formatCode>
                <c:ptCount val="1"/>
                <c:pt idx="0">
                  <c:v>13.529411764705888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210-4D5D-B70F-3969FDF1A54B}"/>
            </c:ext>
          </c:extLst>
        </c:ser>
        <c:ser>
          <c:idx val="6"/>
          <c:order val="6"/>
          <c:tx>
            <c:strRef>
              <c:f>'Exercício 2 '!$K$72</c:f>
              <c:strCache>
                <c:ptCount val="1"/>
                <c:pt idx="0">
                  <c:v>1,7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'!$L$72</c:f>
              <c:numCache>
                <c:formatCode>0.00</c:formatCode>
                <c:ptCount val="1"/>
                <c:pt idx="0">
                  <c:v>10.000000000000004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210-4D5D-B70F-3969FDF1A54B}"/>
            </c:ext>
          </c:extLst>
        </c:ser>
        <c:ser>
          <c:idx val="7"/>
          <c:order val="7"/>
          <c:tx>
            <c:strRef>
              <c:f>'Exercício 2 '!$K$73</c:f>
              <c:strCache>
                <c:ptCount val="1"/>
                <c:pt idx="0">
                  <c:v>1,7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'!$L$73</c:f>
              <c:numCache>
                <c:formatCode>0.00</c:formatCode>
                <c:ptCount val="1"/>
                <c:pt idx="0">
                  <c:v>10.588235294117629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210-4D5D-B70F-3969FDF1A54B}"/>
            </c:ext>
          </c:extLst>
        </c:ser>
        <c:ser>
          <c:idx val="8"/>
          <c:order val="8"/>
          <c:tx>
            <c:strRef>
              <c:f>'Exercício 2 '!$K$74</c:f>
              <c:strCache>
                <c:ptCount val="1"/>
                <c:pt idx="0">
                  <c:v>1,7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'Exercício 2 '!$L$77</c:f>
              <c:numCache>
                <c:formatCode>General</c:formatCode>
                <c:ptCount val="1"/>
              </c:numCache>
            </c:numRef>
          </c:cat>
          <c:val>
            <c:numRef>
              <c:f>'Exercício 2 '!$L$74</c:f>
              <c:numCache>
                <c:formatCode>0.00</c:formatCode>
                <c:ptCount val="1"/>
                <c:pt idx="0">
                  <c:v>9.4117647058823568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10-4D5D-B70F-3969FDF1A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axId val="1787166496"/>
        <c:axId val="1787163168"/>
      </c:barChart>
      <c:catAx>
        <c:axId val="1787166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/>
                  <a:t>Classes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87163168"/>
        <c:crosses val="autoZero"/>
        <c:auto val="1"/>
        <c:lblAlgn val="ctr"/>
        <c:lblOffset val="100"/>
        <c:noMultiLvlLbl val="0"/>
      </c:catAx>
      <c:valAx>
        <c:axId val="178716316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sz="1800" b="0" i="0" baseline="0">
                    <a:effectLst/>
                  </a:rPr>
                  <a:t>ni/hi</a:t>
                </a:r>
                <a:endParaRPr lang="pt-PT">
                  <a:effectLst/>
                </a:endParaRPr>
              </a:p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defRPr>
                </a:pPr>
                <a:endParaRPr lang="pt-P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pt-PT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787166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image" Target="../media/image1.tiff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71437</xdr:colOff>
      <xdr:row>6</xdr:row>
      <xdr:rowOff>19049</xdr:rowOff>
    </xdr:from>
    <xdr:to>
      <xdr:col>14</xdr:col>
      <xdr:colOff>561975</xdr:colOff>
      <xdr:row>15</xdr:row>
      <xdr:rowOff>190499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6E102379-B85F-433B-98D2-3708D7DCC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90487</xdr:colOff>
      <xdr:row>21</xdr:row>
      <xdr:rowOff>57150</xdr:rowOff>
    </xdr:from>
    <xdr:to>
      <xdr:col>9</xdr:col>
      <xdr:colOff>790575</xdr:colOff>
      <xdr:row>31</xdr:row>
      <xdr:rowOff>180975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07B1BF1-6BF4-49C9-86FB-F54AD305CC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4762</xdr:colOff>
      <xdr:row>21</xdr:row>
      <xdr:rowOff>57150</xdr:rowOff>
    </xdr:from>
    <xdr:to>
      <xdr:col>14</xdr:col>
      <xdr:colOff>809625</xdr:colOff>
      <xdr:row>31</xdr:row>
      <xdr:rowOff>190500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89E3047-C955-4D97-8498-E09C5E592D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52387</xdr:colOff>
      <xdr:row>6</xdr:row>
      <xdr:rowOff>9525</xdr:rowOff>
    </xdr:from>
    <xdr:to>
      <xdr:col>9</xdr:col>
      <xdr:colOff>733424</xdr:colOff>
      <xdr:row>15</xdr:row>
      <xdr:rowOff>190500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0BC4AA1-386E-49E8-B86A-A5B216FBC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803910</xdr:colOff>
      <xdr:row>34</xdr:row>
      <xdr:rowOff>49530</xdr:rowOff>
    </xdr:from>
    <xdr:to>
      <xdr:col>14</xdr:col>
      <xdr:colOff>258535</xdr:colOff>
      <xdr:row>53</xdr:row>
      <xdr:rowOff>108857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29B46FC-74F3-4331-A4FC-F1A191F53BC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928687</xdr:colOff>
      <xdr:row>79</xdr:row>
      <xdr:rowOff>9525</xdr:rowOff>
    </xdr:from>
    <xdr:to>
      <xdr:col>14</xdr:col>
      <xdr:colOff>345281</xdr:colOff>
      <xdr:row>100</xdr:row>
      <xdr:rowOff>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248A3C15-5BA7-4B6E-B401-E39936DC68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6803</xdr:colOff>
      <xdr:row>107</xdr:row>
      <xdr:rowOff>196622</xdr:rowOff>
    </xdr:from>
    <xdr:to>
      <xdr:col>6</xdr:col>
      <xdr:colOff>673553</xdr:colOff>
      <xdr:row>122</xdr:row>
      <xdr:rowOff>68715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E9E33751-3267-4450-954B-3C7112909E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853849</xdr:colOff>
      <xdr:row>107</xdr:row>
      <xdr:rowOff>193221</xdr:rowOff>
    </xdr:from>
    <xdr:to>
      <xdr:col>13</xdr:col>
      <xdr:colOff>282349</xdr:colOff>
      <xdr:row>122</xdr:row>
      <xdr:rowOff>65314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956B9D7A-703E-482A-B884-7A7B8893FA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8</xdr:col>
      <xdr:colOff>489857</xdr:colOff>
      <xdr:row>126</xdr:row>
      <xdr:rowOff>95250</xdr:rowOff>
    </xdr:from>
    <xdr:to>
      <xdr:col>13</xdr:col>
      <xdr:colOff>691725</xdr:colOff>
      <xdr:row>139</xdr:row>
      <xdr:rowOff>79188</xdr:rowOff>
    </xdr:to>
    <xdr:pic>
      <xdr:nvPicPr>
        <xdr:cNvPr id="18" name="Imagem 17">
          <a:extLst>
            <a:ext uri="{FF2B5EF4-FFF2-40B4-BE49-F238E27FC236}">
              <a16:creationId xmlns:a16="http://schemas.microsoft.com/office/drawing/2014/main" id="{4460E9D3-9AF5-410B-A47D-DC3AFAB44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25643" y="27636107"/>
          <a:ext cx="4488118" cy="2637331"/>
        </a:xfrm>
        <a:prstGeom prst="rect">
          <a:avLst/>
        </a:prstGeom>
      </xdr:spPr>
    </xdr:pic>
    <xdr:clientData/>
  </xdr:twoCellAnchor>
  <xdr:twoCellAnchor editAs="oneCell">
    <xdr:from>
      <xdr:col>1</xdr:col>
      <xdr:colOff>258536</xdr:colOff>
      <xdr:row>79</xdr:row>
      <xdr:rowOff>40822</xdr:rowOff>
    </xdr:from>
    <xdr:to>
      <xdr:col>4</xdr:col>
      <xdr:colOff>11721</xdr:colOff>
      <xdr:row>89</xdr:row>
      <xdr:rowOff>13608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B8F39708-4C03-45EC-9805-902F176F3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51215" y="17988643"/>
          <a:ext cx="3427113" cy="2013858"/>
        </a:xfrm>
        <a:prstGeom prst="rect">
          <a:avLst/>
        </a:prstGeom>
      </xdr:spPr>
    </xdr:pic>
    <xdr:clientData/>
  </xdr:twoCellAnchor>
  <xdr:twoCellAnchor editAs="oneCell">
    <xdr:from>
      <xdr:col>5</xdr:col>
      <xdr:colOff>612322</xdr:colOff>
      <xdr:row>53</xdr:row>
      <xdr:rowOff>190499</xdr:rowOff>
    </xdr:from>
    <xdr:to>
      <xdr:col>9</xdr:col>
      <xdr:colOff>27214</xdr:colOff>
      <xdr:row>63</xdr:row>
      <xdr:rowOff>12472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D2C758CC-5EEA-434A-BEDD-1FF2B4FB0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449786" y="12028713"/>
          <a:ext cx="3170464" cy="186304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5</xdr:row>
      <xdr:rowOff>0</xdr:rowOff>
    </xdr:from>
    <xdr:to>
      <xdr:col>11</xdr:col>
      <xdr:colOff>19050</xdr:colOff>
      <xdr:row>9</xdr:row>
      <xdr:rowOff>9525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C2035843-D2F1-4C1C-AEAB-DA6A5DCDBD8E}"/>
            </a:ext>
          </a:extLst>
        </xdr:cNvPr>
        <xdr:cNvSpPr txBox="1"/>
      </xdr:nvSpPr>
      <xdr:spPr>
        <a:xfrm>
          <a:off x="6200775" y="990600"/>
          <a:ext cx="3352800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l-GR" sz="1100"/>
            <a:t>Δ</a:t>
          </a:r>
          <a:r>
            <a:rPr lang="pt-PT" sz="1100"/>
            <a:t> - &gt;diferença significativa entre a proporção de jogadores de roleta que consomem mais de 2 bebidas brancas</a:t>
          </a:r>
        </a:p>
        <a:p>
          <a:r>
            <a:rPr lang="pt-PT" sz="1100"/>
            <a:t>nos dois casinos.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14</xdr:row>
      <xdr:rowOff>161925</xdr:rowOff>
    </xdr:from>
    <xdr:ext cx="639885" cy="172227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909A6BED-6511-41E8-A925-A60D422423CA}"/>
            </a:ext>
          </a:extLst>
        </xdr:cNvPr>
        <xdr:cNvSpPr txBox="1"/>
      </xdr:nvSpPr>
      <xdr:spPr>
        <a:xfrm>
          <a:off x="7915275" y="2935605"/>
          <a:ext cx="63988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lIns="0" tIns="0" rIns="0" bIns="0" rtlCol="0" anchor="t">
          <a:spAutoFit/>
        </a:bodyPr>
        <a:lstStyle/>
        <a:p>
          <a:endParaRPr lang="pt-PT" sz="1100"/>
        </a:p>
      </xdr:txBody>
    </xdr:sp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F021F0-6F2D-4B07-A8D2-3A7EB25DC23D}" name="Tabela2243" displayName="Tabela2243" ref="B13:D16" totalsRowShown="0" headerRowDxfId="9" dataDxfId="8">
  <tableColumns count="3">
    <tableColumn id="1" xr3:uid="{C0E8BAD0-96F0-4FB3-8269-0EA1C84F6885}" name="Regra de Sturges" dataDxfId="7"/>
    <tableColumn id="2" xr3:uid="{328953FD-5731-45E5-8915-DD183D32151A}" name="Coluna1" dataDxfId="6">
      <calculatedColumnFormula>INT(LOG(40,2))+1</calculatedColumnFormula>
    </tableColumn>
    <tableColumn id="3" xr3:uid="{1BDAF33A-0441-42C4-8B29-E0F43462C6A4}" name="Coluna2" dataDxfId="5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973BEE18-0414-47B8-9C69-54122E89698B}" name="Tabela22436" displayName="Tabela22436" ref="F13:H16" totalsRowShown="0" headerRowDxfId="4" dataDxfId="3">
  <tableColumns count="3">
    <tableColumn id="1" xr3:uid="{61DDCE2E-71EB-4492-8D57-CE955DC8D55B}" name="Regra de Sturges" dataDxfId="2"/>
    <tableColumn id="2" xr3:uid="{9134846D-8F1C-4189-9F32-1B9FC1611E64}" name="Coluna1" dataDxfId="1">
      <calculatedColumnFormula>INT(LOG(40,2))+1</calculatedColumnFormula>
    </tableColumn>
    <tableColumn id="3" xr3:uid="{9A47B5CC-CEE2-4347-B7C5-B2A2133C5FFB}" name="Coluna2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C0D60-9EFE-8B41-843B-0184950ED969}">
  <dimension ref="A1:K202"/>
  <sheetViews>
    <sheetView topLeftCell="A136" workbookViewId="0">
      <selection activeCell="I3" sqref="I3:I152"/>
    </sheetView>
  </sheetViews>
  <sheetFormatPr defaultColWidth="11" defaultRowHeight="15.75" x14ac:dyDescent="0.25"/>
  <cols>
    <col min="1" max="5" width="10.875"/>
  </cols>
  <sheetData>
    <row r="1" spans="1:11" x14ac:dyDescent="0.25">
      <c r="A1" s="61" t="s">
        <v>0</v>
      </c>
      <c r="B1" s="61"/>
      <c r="C1" s="61"/>
      <c r="D1" s="61"/>
      <c r="E1" s="61"/>
      <c r="H1" s="2" t="s">
        <v>1</v>
      </c>
      <c r="I1" s="2"/>
      <c r="J1" s="2"/>
      <c r="K1" s="2"/>
    </row>
    <row r="2" spans="1:11" x14ac:dyDescent="0.25">
      <c r="A2" s="2"/>
      <c r="B2" s="2" t="s">
        <v>2</v>
      </c>
      <c r="C2" s="2" t="s">
        <v>3</v>
      </c>
      <c r="D2" s="2"/>
      <c r="E2" s="2"/>
      <c r="H2" s="2" t="s">
        <v>2</v>
      </c>
      <c r="I2" s="2" t="s">
        <v>3</v>
      </c>
      <c r="J2" s="2"/>
      <c r="K2" s="2"/>
    </row>
    <row r="3" spans="1:11" x14ac:dyDescent="0.25">
      <c r="B3">
        <v>4</v>
      </c>
      <c r="C3">
        <v>2</v>
      </c>
      <c r="H3" s="1">
        <v>5.86</v>
      </c>
      <c r="I3" s="1">
        <v>5.72</v>
      </c>
    </row>
    <row r="4" spans="1:11" x14ac:dyDescent="0.25">
      <c r="B4">
        <v>5</v>
      </c>
      <c r="C4">
        <v>5</v>
      </c>
      <c r="H4" s="1">
        <v>6.28</v>
      </c>
      <c r="I4" s="1">
        <v>5.77</v>
      </c>
    </row>
    <row r="5" spans="1:11" x14ac:dyDescent="0.25">
      <c r="B5">
        <v>2</v>
      </c>
      <c r="C5">
        <v>2</v>
      </c>
      <c r="H5" s="1">
        <v>6.63</v>
      </c>
      <c r="I5" s="1">
        <v>5.87</v>
      </c>
    </row>
    <row r="6" spans="1:11" x14ac:dyDescent="0.25">
      <c r="B6">
        <v>5</v>
      </c>
      <c r="C6">
        <v>7</v>
      </c>
      <c r="H6" s="1">
        <v>6.7200000000000006</v>
      </c>
      <c r="I6" s="1">
        <v>6.04</v>
      </c>
    </row>
    <row r="7" spans="1:11" x14ac:dyDescent="0.25">
      <c r="B7">
        <v>5</v>
      </c>
      <c r="C7">
        <v>4</v>
      </c>
      <c r="H7" s="1">
        <v>6.76</v>
      </c>
      <c r="I7" s="1">
        <v>6.0600000000000005</v>
      </c>
    </row>
    <row r="8" spans="1:11" x14ac:dyDescent="0.25">
      <c r="B8">
        <v>0</v>
      </c>
      <c r="C8">
        <v>5</v>
      </c>
      <c r="H8" s="1">
        <v>6.79</v>
      </c>
      <c r="I8" s="1">
        <v>6.07</v>
      </c>
    </row>
    <row r="9" spans="1:11" x14ac:dyDescent="0.25">
      <c r="B9">
        <v>6</v>
      </c>
      <c r="C9">
        <v>4</v>
      </c>
      <c r="H9" s="1">
        <v>6.96</v>
      </c>
      <c r="I9" s="1">
        <v>6.3000000000000007</v>
      </c>
    </row>
    <row r="10" spans="1:11" x14ac:dyDescent="0.25">
      <c r="B10">
        <v>2</v>
      </c>
      <c r="C10">
        <v>3</v>
      </c>
      <c r="H10" s="1">
        <v>7.07</v>
      </c>
      <c r="I10" s="1">
        <v>6.3000000000000007</v>
      </c>
    </row>
    <row r="11" spans="1:11" x14ac:dyDescent="0.25">
      <c r="B11">
        <v>4</v>
      </c>
      <c r="C11">
        <v>5</v>
      </c>
      <c r="H11" s="1">
        <v>7.13</v>
      </c>
      <c r="I11" s="1">
        <v>6.4399999999999995</v>
      </c>
    </row>
    <row r="12" spans="1:11" x14ac:dyDescent="0.25">
      <c r="B12">
        <v>0</v>
      </c>
      <c r="C12">
        <v>3</v>
      </c>
      <c r="H12" s="1">
        <v>7.16</v>
      </c>
      <c r="I12" s="1">
        <v>6.5600000000000005</v>
      </c>
    </row>
    <row r="13" spans="1:11" x14ac:dyDescent="0.25">
      <c r="B13">
        <v>4</v>
      </c>
      <c r="C13">
        <v>6</v>
      </c>
      <c r="H13" s="1">
        <v>7.18</v>
      </c>
      <c r="I13" s="1">
        <v>6.65</v>
      </c>
    </row>
    <row r="14" spans="1:11" x14ac:dyDescent="0.25">
      <c r="B14">
        <v>2</v>
      </c>
      <c r="C14">
        <v>2</v>
      </c>
      <c r="H14" s="1">
        <v>7.26</v>
      </c>
      <c r="I14" s="1">
        <v>6.75</v>
      </c>
    </row>
    <row r="15" spans="1:11" x14ac:dyDescent="0.25">
      <c r="B15">
        <v>5</v>
      </c>
      <c r="C15">
        <v>5</v>
      </c>
      <c r="H15" s="1">
        <v>7.26</v>
      </c>
      <c r="I15" s="1">
        <v>6.79</v>
      </c>
    </row>
    <row r="16" spans="1:11" x14ac:dyDescent="0.25">
      <c r="B16">
        <v>7</v>
      </c>
      <c r="C16">
        <v>7</v>
      </c>
      <c r="H16" s="1">
        <v>7.6</v>
      </c>
      <c r="I16" s="1">
        <v>6.86</v>
      </c>
    </row>
    <row r="17" spans="2:9" x14ac:dyDescent="0.25">
      <c r="B17">
        <v>5</v>
      </c>
      <c r="C17">
        <v>5</v>
      </c>
      <c r="H17" s="1">
        <v>7.69</v>
      </c>
      <c r="I17" s="1">
        <v>6.88</v>
      </c>
    </row>
    <row r="18" spans="2:9" x14ac:dyDescent="0.25">
      <c r="B18">
        <v>2</v>
      </c>
      <c r="C18">
        <v>3</v>
      </c>
      <c r="H18" s="1">
        <v>7.71</v>
      </c>
      <c r="I18" s="1">
        <v>7.15</v>
      </c>
    </row>
    <row r="19" spans="2:9" x14ac:dyDescent="0.25">
      <c r="B19">
        <v>1</v>
      </c>
      <c r="C19">
        <v>0</v>
      </c>
      <c r="H19" s="1">
        <v>7.83</v>
      </c>
      <c r="I19" s="1">
        <v>7.26</v>
      </c>
    </row>
    <row r="20" spans="2:9" x14ac:dyDescent="0.25">
      <c r="B20">
        <v>5</v>
      </c>
      <c r="C20">
        <v>7</v>
      </c>
      <c r="H20" s="1">
        <v>7.84</v>
      </c>
      <c r="I20" s="1">
        <v>7.2700000000000005</v>
      </c>
    </row>
    <row r="21" spans="2:9" x14ac:dyDescent="0.25">
      <c r="B21">
        <v>7</v>
      </c>
      <c r="C21">
        <v>5</v>
      </c>
      <c r="H21" s="1">
        <v>7.86</v>
      </c>
      <c r="I21" s="1">
        <v>7.35</v>
      </c>
    </row>
    <row r="22" spans="2:9" x14ac:dyDescent="0.25">
      <c r="B22">
        <v>3</v>
      </c>
      <c r="C22">
        <v>3</v>
      </c>
      <c r="H22" s="1">
        <v>7.87</v>
      </c>
      <c r="I22" s="1">
        <v>7.37</v>
      </c>
    </row>
    <row r="23" spans="2:9" x14ac:dyDescent="0.25">
      <c r="B23">
        <v>1</v>
      </c>
      <c r="C23">
        <v>4</v>
      </c>
      <c r="H23" s="1">
        <v>8</v>
      </c>
      <c r="I23" s="1">
        <v>7.46</v>
      </c>
    </row>
    <row r="24" spans="2:9" x14ac:dyDescent="0.25">
      <c r="B24">
        <v>7</v>
      </c>
      <c r="C24">
        <v>4</v>
      </c>
      <c r="H24" s="1">
        <v>8.01</v>
      </c>
      <c r="I24" s="1">
        <v>7.71</v>
      </c>
    </row>
    <row r="25" spans="2:9" x14ac:dyDescent="0.25">
      <c r="B25">
        <v>3</v>
      </c>
      <c r="C25">
        <v>6</v>
      </c>
      <c r="H25" s="1">
        <v>8.0500000000000007</v>
      </c>
      <c r="I25" s="1">
        <v>7.73</v>
      </c>
    </row>
    <row r="26" spans="2:9" x14ac:dyDescent="0.25">
      <c r="B26">
        <v>3</v>
      </c>
      <c r="C26">
        <v>7</v>
      </c>
      <c r="H26" s="1">
        <v>8.09</v>
      </c>
      <c r="I26" s="1">
        <v>7.78</v>
      </c>
    </row>
    <row r="27" spans="2:9" x14ac:dyDescent="0.25">
      <c r="B27">
        <v>0</v>
      </c>
      <c r="C27">
        <v>2</v>
      </c>
      <c r="H27" s="1">
        <v>8.1</v>
      </c>
      <c r="I27" s="1">
        <v>7.85</v>
      </c>
    </row>
    <row r="28" spans="2:9" x14ac:dyDescent="0.25">
      <c r="B28">
        <v>7</v>
      </c>
      <c r="C28">
        <v>5</v>
      </c>
      <c r="H28" s="1">
        <v>8.14</v>
      </c>
      <c r="I28" s="1">
        <v>7.86</v>
      </c>
    </row>
    <row r="29" spans="2:9" x14ac:dyDescent="0.25">
      <c r="B29">
        <v>6</v>
      </c>
      <c r="C29">
        <v>0</v>
      </c>
      <c r="H29" s="1">
        <v>8.17</v>
      </c>
      <c r="I29" s="1">
        <v>8</v>
      </c>
    </row>
    <row r="30" spans="2:9" x14ac:dyDescent="0.25">
      <c r="B30">
        <v>5</v>
      </c>
      <c r="C30">
        <v>2</v>
      </c>
      <c r="H30" s="1">
        <v>8.1999999999999993</v>
      </c>
      <c r="I30" s="1">
        <v>8.1</v>
      </c>
    </row>
    <row r="31" spans="2:9" x14ac:dyDescent="0.25">
      <c r="B31">
        <v>4</v>
      </c>
      <c r="C31">
        <v>3</v>
      </c>
      <c r="H31" s="1">
        <v>8.4499999999999993</v>
      </c>
      <c r="I31" s="1">
        <v>8.1</v>
      </c>
    </row>
    <row r="32" spans="2:9" x14ac:dyDescent="0.25">
      <c r="B32">
        <v>4</v>
      </c>
      <c r="C32">
        <v>7</v>
      </c>
      <c r="H32" s="1">
        <v>8.7900000000000009</v>
      </c>
      <c r="I32" s="1">
        <v>8.18</v>
      </c>
    </row>
    <row r="33" spans="2:9" x14ac:dyDescent="0.25">
      <c r="B33">
        <v>1</v>
      </c>
      <c r="C33">
        <v>5</v>
      </c>
      <c r="H33" s="1">
        <v>8.8800000000000008</v>
      </c>
      <c r="I33" s="1">
        <v>8.2200000000000006</v>
      </c>
    </row>
    <row r="34" spans="2:9" x14ac:dyDescent="0.25">
      <c r="B34">
        <v>0</v>
      </c>
      <c r="C34">
        <v>7</v>
      </c>
      <c r="H34" s="1">
        <v>8.8800000000000008</v>
      </c>
      <c r="I34" s="1">
        <v>8.26</v>
      </c>
    </row>
    <row r="35" spans="2:9" x14ac:dyDescent="0.25">
      <c r="B35">
        <v>2</v>
      </c>
      <c r="C35">
        <v>4</v>
      </c>
      <c r="H35" s="1">
        <v>8.89</v>
      </c>
      <c r="I35" s="1">
        <v>8.4600000000000009</v>
      </c>
    </row>
    <row r="36" spans="2:9" x14ac:dyDescent="0.25">
      <c r="B36">
        <v>0</v>
      </c>
      <c r="C36">
        <v>2</v>
      </c>
      <c r="H36" s="1">
        <v>8.98</v>
      </c>
      <c r="I36" s="1">
        <v>8.84</v>
      </c>
    </row>
    <row r="37" spans="2:9" x14ac:dyDescent="0.25">
      <c r="B37">
        <v>0</v>
      </c>
      <c r="C37">
        <v>3</v>
      </c>
      <c r="H37" s="1">
        <v>9.06</v>
      </c>
      <c r="I37" s="1">
        <v>8.84</v>
      </c>
    </row>
    <row r="38" spans="2:9" x14ac:dyDescent="0.25">
      <c r="B38">
        <v>7</v>
      </c>
      <c r="C38">
        <v>5</v>
      </c>
      <c r="H38" s="1">
        <v>9.15</v>
      </c>
      <c r="I38" s="1">
        <v>8.85</v>
      </c>
    </row>
    <row r="39" spans="2:9" x14ac:dyDescent="0.25">
      <c r="B39">
        <v>2</v>
      </c>
      <c r="C39">
        <v>2</v>
      </c>
      <c r="H39" s="1">
        <v>9.17</v>
      </c>
      <c r="I39" s="1">
        <v>8.8800000000000008</v>
      </c>
    </row>
    <row r="40" spans="2:9" x14ac:dyDescent="0.25">
      <c r="B40">
        <v>2</v>
      </c>
      <c r="C40">
        <v>6</v>
      </c>
      <c r="H40" s="1">
        <v>9.23</v>
      </c>
      <c r="I40" s="1">
        <v>8.8800000000000008</v>
      </c>
    </row>
    <row r="41" spans="2:9" x14ac:dyDescent="0.25">
      <c r="B41">
        <v>6</v>
      </c>
      <c r="C41">
        <v>1</v>
      </c>
      <c r="H41" s="1">
        <v>9.83</v>
      </c>
      <c r="I41" s="1">
        <v>8.9</v>
      </c>
    </row>
    <row r="42" spans="2:9" x14ac:dyDescent="0.25">
      <c r="B42">
        <v>3</v>
      </c>
      <c r="C42">
        <v>3</v>
      </c>
      <c r="H42" s="1">
        <v>9.8800000000000008</v>
      </c>
      <c r="I42" s="1">
        <v>8.94</v>
      </c>
    </row>
    <row r="43" spans="2:9" x14ac:dyDescent="0.25">
      <c r="B43">
        <v>1</v>
      </c>
      <c r="C43">
        <v>1</v>
      </c>
      <c r="H43" s="1">
        <v>10.07</v>
      </c>
      <c r="I43" s="1">
        <v>8.9600000000000009</v>
      </c>
    </row>
    <row r="44" spans="2:9" x14ac:dyDescent="0.25">
      <c r="B44">
        <v>6</v>
      </c>
      <c r="C44">
        <v>1</v>
      </c>
      <c r="H44" s="1">
        <v>10.15</v>
      </c>
      <c r="I44" s="1">
        <v>8.9700000000000006</v>
      </c>
    </row>
    <row r="45" spans="2:9" x14ac:dyDescent="0.25">
      <c r="B45">
        <v>4</v>
      </c>
      <c r="C45">
        <v>0</v>
      </c>
      <c r="H45" s="1">
        <v>10.18</v>
      </c>
      <c r="I45" s="1">
        <v>9.0500000000000007</v>
      </c>
    </row>
    <row r="46" spans="2:9" x14ac:dyDescent="0.25">
      <c r="B46">
        <v>7</v>
      </c>
      <c r="C46">
        <v>6</v>
      </c>
      <c r="H46" s="1">
        <v>10.69</v>
      </c>
      <c r="I46" s="1">
        <v>9.06</v>
      </c>
    </row>
    <row r="47" spans="2:9" x14ac:dyDescent="0.25">
      <c r="B47">
        <v>7</v>
      </c>
      <c r="C47">
        <v>2</v>
      </c>
      <c r="H47" s="1">
        <v>10.7</v>
      </c>
      <c r="I47" s="1">
        <v>9.120000000000001</v>
      </c>
    </row>
    <row r="48" spans="2:9" x14ac:dyDescent="0.25">
      <c r="B48">
        <v>3</v>
      </c>
      <c r="C48">
        <v>2</v>
      </c>
      <c r="H48" s="1">
        <v>10.92</v>
      </c>
      <c r="I48" s="1">
        <v>9.14</v>
      </c>
    </row>
    <row r="49" spans="2:9" x14ac:dyDescent="0.25">
      <c r="B49">
        <v>2</v>
      </c>
      <c r="C49">
        <v>6</v>
      </c>
      <c r="H49" s="1">
        <v>11</v>
      </c>
      <c r="I49" s="1">
        <v>9.25</v>
      </c>
    </row>
    <row r="50" spans="2:9" x14ac:dyDescent="0.25">
      <c r="B50">
        <v>0</v>
      </c>
      <c r="C50">
        <v>2</v>
      </c>
      <c r="H50" s="1">
        <v>11.1</v>
      </c>
      <c r="I50" s="1">
        <v>9.31</v>
      </c>
    </row>
    <row r="51" spans="2:9" x14ac:dyDescent="0.25">
      <c r="B51">
        <v>6</v>
      </c>
      <c r="C51">
        <v>0</v>
      </c>
      <c r="H51" s="1">
        <v>11.120000000000001</v>
      </c>
      <c r="I51" s="1">
        <v>9.67</v>
      </c>
    </row>
    <row r="52" spans="2:9" x14ac:dyDescent="0.25">
      <c r="B52">
        <v>6</v>
      </c>
      <c r="C52">
        <v>6</v>
      </c>
      <c r="H52" s="1">
        <v>11.45</v>
      </c>
      <c r="I52" s="1">
        <v>9.69</v>
      </c>
    </row>
    <row r="53" spans="2:9" x14ac:dyDescent="0.25">
      <c r="B53">
        <v>2</v>
      </c>
      <c r="C53">
        <v>2</v>
      </c>
      <c r="H53" s="1">
        <v>11.56</v>
      </c>
      <c r="I53" s="1">
        <v>9.74</v>
      </c>
    </row>
    <row r="54" spans="2:9" x14ac:dyDescent="0.25">
      <c r="B54">
        <v>1</v>
      </c>
      <c r="C54">
        <v>3</v>
      </c>
      <c r="H54" s="1">
        <v>11.78</v>
      </c>
      <c r="I54" s="1">
        <v>9.77</v>
      </c>
    </row>
    <row r="55" spans="2:9" x14ac:dyDescent="0.25">
      <c r="B55">
        <v>1</v>
      </c>
      <c r="C55">
        <v>5</v>
      </c>
      <c r="H55" s="1">
        <v>12.1</v>
      </c>
      <c r="I55" s="1">
        <v>9.84</v>
      </c>
    </row>
    <row r="56" spans="2:9" x14ac:dyDescent="0.25">
      <c r="B56">
        <v>0</v>
      </c>
      <c r="C56">
        <v>2</v>
      </c>
      <c r="H56" s="1">
        <v>12.18</v>
      </c>
      <c r="I56" s="1">
        <v>9.9700000000000006</v>
      </c>
    </row>
    <row r="57" spans="2:9" x14ac:dyDescent="0.25">
      <c r="B57">
        <v>3</v>
      </c>
      <c r="C57">
        <v>4</v>
      </c>
      <c r="H57" s="1">
        <v>12.290000000000001</v>
      </c>
      <c r="I57" s="1">
        <v>10.01</v>
      </c>
    </row>
    <row r="58" spans="2:9" x14ac:dyDescent="0.25">
      <c r="B58">
        <v>5</v>
      </c>
      <c r="C58">
        <v>1</v>
      </c>
      <c r="H58" s="1">
        <v>12.43</v>
      </c>
      <c r="I58" s="1">
        <v>10.1</v>
      </c>
    </row>
    <row r="59" spans="2:9" x14ac:dyDescent="0.25">
      <c r="B59">
        <v>1</v>
      </c>
      <c r="C59">
        <v>3</v>
      </c>
      <c r="H59" s="1">
        <v>12.56</v>
      </c>
      <c r="I59" s="1">
        <v>10.56</v>
      </c>
    </row>
    <row r="60" spans="2:9" x14ac:dyDescent="0.25">
      <c r="B60">
        <v>2</v>
      </c>
      <c r="C60">
        <v>1</v>
      </c>
      <c r="H60" s="1">
        <v>13.01</v>
      </c>
      <c r="I60" s="1">
        <v>10.58</v>
      </c>
    </row>
    <row r="61" spans="2:9" x14ac:dyDescent="0.25">
      <c r="B61">
        <v>6</v>
      </c>
      <c r="C61">
        <v>6</v>
      </c>
      <c r="H61" s="1">
        <v>13.14</v>
      </c>
      <c r="I61" s="1">
        <v>10.78</v>
      </c>
    </row>
    <row r="62" spans="2:9" x14ac:dyDescent="0.25">
      <c r="B62">
        <v>1</v>
      </c>
      <c r="C62">
        <v>1</v>
      </c>
      <c r="H62" s="1">
        <v>13.48</v>
      </c>
      <c r="I62" s="1">
        <v>10.83</v>
      </c>
    </row>
    <row r="63" spans="2:9" x14ac:dyDescent="0.25">
      <c r="B63">
        <v>3</v>
      </c>
      <c r="C63">
        <v>5</v>
      </c>
      <c r="H63" s="1">
        <v>13.48</v>
      </c>
      <c r="I63" s="1">
        <v>10.870000000000001</v>
      </c>
    </row>
    <row r="64" spans="2:9" x14ac:dyDescent="0.25">
      <c r="B64">
        <v>3</v>
      </c>
      <c r="C64">
        <v>4</v>
      </c>
      <c r="H64" s="1">
        <v>13.629999999999999</v>
      </c>
      <c r="I64" s="1">
        <v>11.06</v>
      </c>
    </row>
    <row r="65" spans="2:9" x14ac:dyDescent="0.25">
      <c r="B65">
        <v>1</v>
      </c>
      <c r="C65">
        <v>4</v>
      </c>
      <c r="H65" s="1">
        <v>13.73</v>
      </c>
      <c r="I65" s="1">
        <v>11.34</v>
      </c>
    </row>
    <row r="66" spans="2:9" x14ac:dyDescent="0.25">
      <c r="B66">
        <v>5</v>
      </c>
      <c r="C66">
        <v>1</v>
      </c>
      <c r="H66" s="1">
        <v>13.74</v>
      </c>
      <c r="I66" s="1">
        <v>11.39</v>
      </c>
    </row>
    <row r="67" spans="2:9" x14ac:dyDescent="0.25">
      <c r="B67">
        <v>7</v>
      </c>
      <c r="C67">
        <v>5</v>
      </c>
      <c r="H67" s="1">
        <v>13.81</v>
      </c>
      <c r="I67" s="1">
        <v>11.61</v>
      </c>
    </row>
    <row r="68" spans="2:9" x14ac:dyDescent="0.25">
      <c r="B68">
        <v>7</v>
      </c>
      <c r="C68">
        <v>5</v>
      </c>
      <c r="H68" s="1">
        <v>13.9</v>
      </c>
      <c r="I68" s="1">
        <v>11.71</v>
      </c>
    </row>
    <row r="69" spans="2:9" x14ac:dyDescent="0.25">
      <c r="B69">
        <v>1</v>
      </c>
      <c r="C69">
        <v>7</v>
      </c>
      <c r="H69" s="1">
        <v>13.96</v>
      </c>
      <c r="I69" s="1">
        <v>11.75</v>
      </c>
    </row>
    <row r="70" spans="2:9" x14ac:dyDescent="0.25">
      <c r="B70">
        <v>3</v>
      </c>
      <c r="C70">
        <v>5</v>
      </c>
      <c r="H70" s="1">
        <v>14.03</v>
      </c>
      <c r="I70" s="1">
        <v>11.76</v>
      </c>
    </row>
    <row r="71" spans="2:9" x14ac:dyDescent="0.25">
      <c r="B71">
        <v>0</v>
      </c>
      <c r="C71">
        <v>2</v>
      </c>
      <c r="H71" s="1">
        <v>14.129999999999999</v>
      </c>
      <c r="I71" s="1">
        <v>11.79</v>
      </c>
    </row>
    <row r="72" spans="2:9" x14ac:dyDescent="0.25">
      <c r="B72">
        <v>5</v>
      </c>
      <c r="C72">
        <v>5</v>
      </c>
      <c r="H72" s="1">
        <v>14.27</v>
      </c>
      <c r="I72" s="1">
        <v>11.88</v>
      </c>
    </row>
    <row r="73" spans="2:9" x14ac:dyDescent="0.25">
      <c r="B73">
        <v>3</v>
      </c>
      <c r="C73">
        <v>6</v>
      </c>
      <c r="H73" s="1">
        <v>14.56</v>
      </c>
      <c r="I73" s="1">
        <v>11.9</v>
      </c>
    </row>
    <row r="74" spans="2:9" x14ac:dyDescent="0.25">
      <c r="B74">
        <v>3</v>
      </c>
      <c r="C74">
        <v>7</v>
      </c>
      <c r="H74" s="1">
        <v>14.64</v>
      </c>
      <c r="I74" s="1">
        <v>11.96</v>
      </c>
    </row>
    <row r="75" spans="2:9" x14ac:dyDescent="0.25">
      <c r="B75">
        <v>1</v>
      </c>
      <c r="C75">
        <v>7</v>
      </c>
      <c r="H75" s="1">
        <v>14.68</v>
      </c>
      <c r="I75" s="1">
        <v>12.01</v>
      </c>
    </row>
    <row r="76" spans="2:9" x14ac:dyDescent="0.25">
      <c r="B76">
        <v>1</v>
      </c>
      <c r="C76">
        <v>0</v>
      </c>
      <c r="H76" s="1">
        <v>14.76</v>
      </c>
      <c r="I76" s="1">
        <v>12.07</v>
      </c>
    </row>
    <row r="77" spans="2:9" x14ac:dyDescent="0.25">
      <c r="B77">
        <v>6</v>
      </c>
      <c r="C77">
        <v>3</v>
      </c>
      <c r="H77" s="1">
        <v>14.85</v>
      </c>
      <c r="I77" s="1">
        <v>12.26</v>
      </c>
    </row>
    <row r="78" spans="2:9" x14ac:dyDescent="0.25">
      <c r="B78">
        <v>3</v>
      </c>
      <c r="C78">
        <v>7</v>
      </c>
      <c r="H78" s="1">
        <v>14.97</v>
      </c>
      <c r="I78" s="1">
        <v>12.280000000000001</v>
      </c>
    </row>
    <row r="79" spans="2:9" x14ac:dyDescent="0.25">
      <c r="B79">
        <v>6</v>
      </c>
      <c r="C79">
        <v>2</v>
      </c>
      <c r="H79" s="1">
        <v>14.99</v>
      </c>
      <c r="I79" s="1">
        <v>12.69</v>
      </c>
    </row>
    <row r="80" spans="2:9" x14ac:dyDescent="0.25">
      <c r="B80">
        <v>6</v>
      </c>
      <c r="C80">
        <v>0</v>
      </c>
      <c r="H80" s="1">
        <v>15.1</v>
      </c>
      <c r="I80" s="1">
        <v>12.76</v>
      </c>
    </row>
    <row r="81" spans="2:9" x14ac:dyDescent="0.25">
      <c r="B81">
        <v>5</v>
      </c>
      <c r="C81">
        <v>6</v>
      </c>
      <c r="H81" s="1">
        <v>15.26</v>
      </c>
      <c r="I81" s="1">
        <v>12.76</v>
      </c>
    </row>
    <row r="82" spans="2:9" x14ac:dyDescent="0.25">
      <c r="B82">
        <v>7</v>
      </c>
      <c r="C82">
        <v>5</v>
      </c>
      <c r="H82" s="1">
        <v>15.31</v>
      </c>
      <c r="I82" s="1">
        <v>12.77</v>
      </c>
    </row>
    <row r="83" spans="2:9" x14ac:dyDescent="0.25">
      <c r="B83">
        <v>6</v>
      </c>
      <c r="C83">
        <v>7</v>
      </c>
      <c r="H83" s="1">
        <v>15.370000000000001</v>
      </c>
      <c r="I83" s="1">
        <v>12.91</v>
      </c>
    </row>
    <row r="84" spans="2:9" x14ac:dyDescent="0.25">
      <c r="B84">
        <v>7</v>
      </c>
      <c r="C84">
        <v>0</v>
      </c>
      <c r="H84" s="1">
        <v>15.59</v>
      </c>
      <c r="I84" s="1">
        <v>12.93</v>
      </c>
    </row>
    <row r="85" spans="2:9" x14ac:dyDescent="0.25">
      <c r="B85">
        <v>2</v>
      </c>
      <c r="C85">
        <v>6</v>
      </c>
      <c r="H85" s="1">
        <v>15.97</v>
      </c>
      <c r="I85" s="1">
        <v>12.95</v>
      </c>
    </row>
    <row r="86" spans="2:9" x14ac:dyDescent="0.25">
      <c r="B86">
        <v>5</v>
      </c>
      <c r="C86">
        <v>4</v>
      </c>
      <c r="H86" s="1">
        <v>16.03</v>
      </c>
      <c r="I86" s="1">
        <v>13.04</v>
      </c>
    </row>
    <row r="87" spans="2:9" x14ac:dyDescent="0.25">
      <c r="B87">
        <v>1</v>
      </c>
      <c r="C87">
        <v>3</v>
      </c>
      <c r="H87" s="1">
        <v>16.45</v>
      </c>
      <c r="I87" s="1">
        <v>13.06</v>
      </c>
    </row>
    <row r="88" spans="2:9" x14ac:dyDescent="0.25">
      <c r="B88">
        <v>2</v>
      </c>
      <c r="C88">
        <v>5</v>
      </c>
      <c r="H88" s="1">
        <v>16.5</v>
      </c>
      <c r="I88" s="1">
        <v>13.09</v>
      </c>
    </row>
    <row r="89" spans="2:9" x14ac:dyDescent="0.25">
      <c r="B89">
        <v>1</v>
      </c>
      <c r="C89">
        <v>1</v>
      </c>
      <c r="H89" s="1">
        <v>16.72</v>
      </c>
      <c r="I89" s="1">
        <v>13.09</v>
      </c>
    </row>
    <row r="90" spans="2:9" x14ac:dyDescent="0.25">
      <c r="B90">
        <v>2</v>
      </c>
      <c r="C90">
        <v>0</v>
      </c>
      <c r="H90" s="1">
        <v>16.760000000000002</v>
      </c>
      <c r="I90" s="1">
        <v>13.11</v>
      </c>
    </row>
    <row r="91" spans="2:9" x14ac:dyDescent="0.25">
      <c r="B91">
        <v>2</v>
      </c>
      <c r="C91">
        <v>1</v>
      </c>
      <c r="H91" s="1">
        <v>16.97</v>
      </c>
      <c r="I91" s="1">
        <v>13.18</v>
      </c>
    </row>
    <row r="92" spans="2:9" x14ac:dyDescent="0.25">
      <c r="B92">
        <v>7</v>
      </c>
      <c r="C92">
        <v>2</v>
      </c>
      <c r="H92" s="1">
        <v>17</v>
      </c>
      <c r="I92" s="1">
        <v>13.67</v>
      </c>
    </row>
    <row r="93" spans="2:9" x14ac:dyDescent="0.25">
      <c r="B93">
        <v>5</v>
      </c>
      <c r="C93">
        <v>5</v>
      </c>
      <c r="H93" s="1">
        <v>17.29</v>
      </c>
      <c r="I93" s="1">
        <v>13.71</v>
      </c>
    </row>
    <row r="94" spans="2:9" x14ac:dyDescent="0.25">
      <c r="B94">
        <v>4</v>
      </c>
      <c r="C94">
        <v>0</v>
      </c>
      <c r="H94" s="1">
        <v>17.41</v>
      </c>
      <c r="I94" s="1">
        <v>13.77</v>
      </c>
    </row>
    <row r="95" spans="2:9" x14ac:dyDescent="0.25">
      <c r="B95">
        <v>3</v>
      </c>
      <c r="C95">
        <v>7</v>
      </c>
      <c r="H95" s="1">
        <v>17.66</v>
      </c>
      <c r="I95" s="1">
        <v>13.780000000000001</v>
      </c>
    </row>
    <row r="96" spans="2:9" x14ac:dyDescent="0.25">
      <c r="B96">
        <v>2</v>
      </c>
      <c r="C96">
        <v>5</v>
      </c>
      <c r="H96" s="1">
        <v>17.84</v>
      </c>
      <c r="I96" s="1">
        <v>13.79</v>
      </c>
    </row>
    <row r="97" spans="2:9" x14ac:dyDescent="0.25">
      <c r="B97">
        <v>7</v>
      </c>
      <c r="C97">
        <v>3</v>
      </c>
      <c r="H97" s="1">
        <v>17.97</v>
      </c>
      <c r="I97" s="1">
        <v>13.89</v>
      </c>
    </row>
    <row r="98" spans="2:9" x14ac:dyDescent="0.25">
      <c r="B98">
        <v>4</v>
      </c>
      <c r="C98">
        <v>5</v>
      </c>
      <c r="H98" s="1">
        <v>18.03</v>
      </c>
      <c r="I98" s="1">
        <v>13.96</v>
      </c>
    </row>
    <row r="99" spans="2:9" x14ac:dyDescent="0.25">
      <c r="B99">
        <v>2</v>
      </c>
      <c r="C99">
        <v>2</v>
      </c>
      <c r="H99" s="1">
        <v>18.079999999999998</v>
      </c>
      <c r="I99" s="1">
        <v>14.05</v>
      </c>
    </row>
    <row r="100" spans="2:9" x14ac:dyDescent="0.25">
      <c r="B100">
        <v>6</v>
      </c>
      <c r="C100">
        <v>1</v>
      </c>
      <c r="H100" s="1">
        <v>18.09</v>
      </c>
      <c r="I100" s="1">
        <v>14.07</v>
      </c>
    </row>
    <row r="101" spans="2:9" x14ac:dyDescent="0.25">
      <c r="B101">
        <v>2</v>
      </c>
      <c r="C101">
        <v>5</v>
      </c>
      <c r="H101" s="1">
        <v>18.12</v>
      </c>
      <c r="I101" s="1">
        <v>14.18</v>
      </c>
    </row>
    <row r="102" spans="2:9" x14ac:dyDescent="0.25">
      <c r="B102">
        <v>1</v>
      </c>
      <c r="C102">
        <v>3</v>
      </c>
      <c r="H102" s="1">
        <v>18.18</v>
      </c>
      <c r="I102" s="1">
        <v>14.24</v>
      </c>
    </row>
    <row r="103" spans="2:9" x14ac:dyDescent="0.25">
      <c r="B103">
        <v>6</v>
      </c>
      <c r="C103">
        <v>2</v>
      </c>
      <c r="H103" s="1">
        <v>18.18</v>
      </c>
      <c r="I103" s="1">
        <v>14.33</v>
      </c>
    </row>
    <row r="104" spans="2:9" x14ac:dyDescent="0.25">
      <c r="B104">
        <v>2</v>
      </c>
      <c r="C104">
        <v>1</v>
      </c>
      <c r="H104" s="1">
        <v>18.39</v>
      </c>
      <c r="I104" s="1">
        <v>14.36</v>
      </c>
    </row>
    <row r="105" spans="2:9" x14ac:dyDescent="0.25">
      <c r="B105">
        <v>6</v>
      </c>
      <c r="C105">
        <v>1</v>
      </c>
      <c r="H105" s="1">
        <v>18.579999999999998</v>
      </c>
      <c r="I105" s="1">
        <v>14.39</v>
      </c>
    </row>
    <row r="106" spans="2:9" x14ac:dyDescent="0.25">
      <c r="B106">
        <v>3</v>
      </c>
      <c r="C106">
        <v>4</v>
      </c>
      <c r="H106" s="1">
        <v>18.86</v>
      </c>
      <c r="I106" s="1">
        <v>14.4</v>
      </c>
    </row>
    <row r="107" spans="2:9" x14ac:dyDescent="0.25">
      <c r="B107">
        <v>1</v>
      </c>
      <c r="C107">
        <v>1</v>
      </c>
      <c r="H107" s="1">
        <v>18.88</v>
      </c>
      <c r="I107" s="1">
        <v>14.41</v>
      </c>
    </row>
    <row r="108" spans="2:9" x14ac:dyDescent="0.25">
      <c r="B108">
        <v>4</v>
      </c>
      <c r="C108">
        <v>4</v>
      </c>
      <c r="H108" s="1">
        <v>18.899999999999999</v>
      </c>
      <c r="I108" s="1">
        <v>14.5</v>
      </c>
    </row>
    <row r="109" spans="2:9" x14ac:dyDescent="0.25">
      <c r="B109">
        <v>6</v>
      </c>
      <c r="C109">
        <v>0</v>
      </c>
      <c r="H109" s="1">
        <v>18.899999999999999</v>
      </c>
      <c r="I109" s="1">
        <v>14.65</v>
      </c>
    </row>
    <row r="110" spans="2:9" x14ac:dyDescent="0.25">
      <c r="B110">
        <v>7</v>
      </c>
      <c r="C110">
        <v>1</v>
      </c>
      <c r="H110" s="1">
        <v>19.03</v>
      </c>
      <c r="I110" s="1">
        <v>14.78</v>
      </c>
    </row>
    <row r="111" spans="2:9" x14ac:dyDescent="0.25">
      <c r="B111">
        <v>1</v>
      </c>
      <c r="C111">
        <v>7</v>
      </c>
      <c r="H111" s="1">
        <v>19.079999999999998</v>
      </c>
      <c r="I111" s="1">
        <v>14.88</v>
      </c>
    </row>
    <row r="112" spans="2:9" x14ac:dyDescent="0.25">
      <c r="B112">
        <v>0</v>
      </c>
      <c r="C112">
        <v>7</v>
      </c>
      <c r="H112" s="1">
        <v>19.18</v>
      </c>
      <c r="I112" s="1">
        <v>14.9</v>
      </c>
    </row>
    <row r="113" spans="2:9" x14ac:dyDescent="0.25">
      <c r="B113">
        <v>0</v>
      </c>
      <c r="C113">
        <v>1</v>
      </c>
      <c r="H113" s="1">
        <v>19.309999999999999</v>
      </c>
      <c r="I113" s="1">
        <v>15</v>
      </c>
    </row>
    <row r="114" spans="2:9" x14ac:dyDescent="0.25">
      <c r="B114">
        <v>5</v>
      </c>
      <c r="C114">
        <v>3</v>
      </c>
      <c r="H114" s="1">
        <v>19.36</v>
      </c>
      <c r="I114" s="1">
        <v>15.26</v>
      </c>
    </row>
    <row r="115" spans="2:9" x14ac:dyDescent="0.25">
      <c r="B115">
        <v>1</v>
      </c>
      <c r="C115">
        <v>1</v>
      </c>
      <c r="H115" s="1">
        <v>19.45</v>
      </c>
      <c r="I115" s="1">
        <v>15.36</v>
      </c>
    </row>
    <row r="116" spans="2:9" x14ac:dyDescent="0.25">
      <c r="B116">
        <v>1</v>
      </c>
      <c r="C116">
        <v>2</v>
      </c>
      <c r="H116" s="1">
        <v>19.490000000000002</v>
      </c>
      <c r="I116" s="1">
        <v>15.41</v>
      </c>
    </row>
    <row r="117" spans="2:9" x14ac:dyDescent="0.25">
      <c r="B117">
        <v>7</v>
      </c>
      <c r="C117">
        <v>6</v>
      </c>
      <c r="H117" s="1">
        <v>19.690000000000001</v>
      </c>
      <c r="I117" s="1">
        <v>15.51</v>
      </c>
    </row>
    <row r="118" spans="2:9" x14ac:dyDescent="0.25">
      <c r="B118">
        <v>3</v>
      </c>
      <c r="C118">
        <v>4</v>
      </c>
      <c r="H118" s="1">
        <v>19.7</v>
      </c>
      <c r="I118" s="1">
        <v>15.57</v>
      </c>
    </row>
    <row r="119" spans="2:9" x14ac:dyDescent="0.25">
      <c r="B119">
        <v>4</v>
      </c>
      <c r="C119">
        <v>0</v>
      </c>
      <c r="H119" s="1">
        <v>19.75</v>
      </c>
      <c r="I119" s="1">
        <v>15.97</v>
      </c>
    </row>
    <row r="120" spans="2:9" x14ac:dyDescent="0.25">
      <c r="B120">
        <v>3</v>
      </c>
      <c r="C120">
        <v>1</v>
      </c>
      <c r="H120" s="1">
        <v>19.8</v>
      </c>
      <c r="I120" s="1">
        <v>16.03</v>
      </c>
    </row>
    <row r="121" spans="2:9" x14ac:dyDescent="0.25">
      <c r="B121">
        <v>6</v>
      </c>
      <c r="C121">
        <v>3</v>
      </c>
      <c r="H121" s="1">
        <v>19.899999999999999</v>
      </c>
      <c r="I121" s="1">
        <v>16.22</v>
      </c>
    </row>
    <row r="122" spans="2:9" x14ac:dyDescent="0.25">
      <c r="B122">
        <v>0</v>
      </c>
      <c r="C122">
        <v>7</v>
      </c>
      <c r="H122" s="1">
        <v>20.079999999999998</v>
      </c>
      <c r="I122" s="1">
        <v>16.23</v>
      </c>
    </row>
    <row r="123" spans="2:9" x14ac:dyDescent="0.25">
      <c r="B123">
        <v>3</v>
      </c>
      <c r="C123">
        <v>5</v>
      </c>
      <c r="H123" s="1"/>
      <c r="I123" s="1">
        <v>16.38</v>
      </c>
    </row>
    <row r="124" spans="2:9" x14ac:dyDescent="0.25">
      <c r="B124">
        <v>1</v>
      </c>
      <c r="C124">
        <v>4</v>
      </c>
      <c r="H124" s="1"/>
      <c r="I124" s="1">
        <v>16.47</v>
      </c>
    </row>
    <row r="125" spans="2:9" x14ac:dyDescent="0.25">
      <c r="B125">
        <v>3</v>
      </c>
      <c r="C125">
        <v>5</v>
      </c>
      <c r="H125" s="1"/>
      <c r="I125" s="1">
        <v>16.670000000000002</v>
      </c>
    </row>
    <row r="126" spans="2:9" x14ac:dyDescent="0.25">
      <c r="B126">
        <v>5</v>
      </c>
      <c r="C126">
        <v>1</v>
      </c>
      <c r="H126" s="1"/>
      <c r="I126" s="1">
        <v>16.72</v>
      </c>
    </row>
    <row r="127" spans="2:9" x14ac:dyDescent="0.25">
      <c r="B127">
        <v>7</v>
      </c>
      <c r="C127">
        <v>2</v>
      </c>
      <c r="H127" s="1"/>
      <c r="I127" s="1">
        <v>16.78</v>
      </c>
    </row>
    <row r="128" spans="2:9" x14ac:dyDescent="0.25">
      <c r="B128">
        <v>1</v>
      </c>
      <c r="C128">
        <v>6</v>
      </c>
      <c r="H128" s="1"/>
      <c r="I128" s="1">
        <v>16.79</v>
      </c>
    </row>
    <row r="129" spans="2:9" x14ac:dyDescent="0.25">
      <c r="B129">
        <v>0</v>
      </c>
      <c r="C129">
        <v>3</v>
      </c>
      <c r="H129" s="1"/>
      <c r="I129" s="1">
        <v>16.809999999999999</v>
      </c>
    </row>
    <row r="130" spans="2:9" x14ac:dyDescent="0.25">
      <c r="B130">
        <v>5</v>
      </c>
      <c r="C130">
        <v>4</v>
      </c>
      <c r="H130" s="1"/>
      <c r="I130" s="1">
        <v>16.86</v>
      </c>
    </row>
    <row r="131" spans="2:9" x14ac:dyDescent="0.25">
      <c r="B131">
        <v>4</v>
      </c>
      <c r="C131">
        <v>0</v>
      </c>
      <c r="H131" s="1"/>
      <c r="I131" s="1">
        <v>16.87</v>
      </c>
    </row>
    <row r="132" spans="2:9" x14ac:dyDescent="0.25">
      <c r="B132">
        <v>2</v>
      </c>
      <c r="C132">
        <v>2</v>
      </c>
      <c r="H132" s="1"/>
      <c r="I132" s="1">
        <v>17.05</v>
      </c>
    </row>
    <row r="133" spans="2:9" x14ac:dyDescent="0.25">
      <c r="B133">
        <v>1</v>
      </c>
      <c r="C133">
        <v>7</v>
      </c>
      <c r="H133" s="1"/>
      <c r="I133" s="1">
        <v>17.29</v>
      </c>
    </row>
    <row r="134" spans="2:9" x14ac:dyDescent="0.25">
      <c r="B134">
        <v>5</v>
      </c>
      <c r="C134">
        <v>2</v>
      </c>
      <c r="H134" s="1"/>
      <c r="I134" s="1">
        <v>17.37</v>
      </c>
    </row>
    <row r="135" spans="2:9" x14ac:dyDescent="0.25">
      <c r="B135">
        <v>5</v>
      </c>
      <c r="C135">
        <v>4</v>
      </c>
      <c r="H135" s="1"/>
      <c r="I135" s="1">
        <v>17.52</v>
      </c>
    </row>
    <row r="136" spans="2:9" x14ac:dyDescent="0.25">
      <c r="B136">
        <v>4</v>
      </c>
      <c r="C136">
        <v>0</v>
      </c>
      <c r="H136" s="1"/>
      <c r="I136" s="1">
        <v>17.59</v>
      </c>
    </row>
    <row r="137" spans="2:9" x14ac:dyDescent="0.25">
      <c r="B137">
        <v>5</v>
      </c>
      <c r="C137">
        <v>1</v>
      </c>
      <c r="H137" s="1"/>
      <c r="I137" s="1">
        <v>17.670000000000002</v>
      </c>
    </row>
    <row r="138" spans="2:9" x14ac:dyDescent="0.25">
      <c r="B138">
        <v>1</v>
      </c>
      <c r="C138">
        <v>5</v>
      </c>
      <c r="H138" s="1"/>
      <c r="I138" s="1">
        <v>17.760000000000002</v>
      </c>
    </row>
    <row r="139" spans="2:9" x14ac:dyDescent="0.25">
      <c r="B139">
        <v>6</v>
      </c>
      <c r="C139">
        <v>4</v>
      </c>
      <c r="H139" s="1"/>
      <c r="I139" s="1">
        <v>17.760000000000002</v>
      </c>
    </row>
    <row r="140" spans="2:9" x14ac:dyDescent="0.25">
      <c r="B140">
        <v>1</v>
      </c>
      <c r="C140">
        <v>1</v>
      </c>
      <c r="H140" s="1"/>
      <c r="I140" s="1">
        <v>17.78</v>
      </c>
    </row>
    <row r="141" spans="2:9" x14ac:dyDescent="0.25">
      <c r="B141">
        <v>0</v>
      </c>
      <c r="C141">
        <v>6</v>
      </c>
      <c r="H141" s="1"/>
      <c r="I141" s="1">
        <v>18.03</v>
      </c>
    </row>
    <row r="142" spans="2:9" x14ac:dyDescent="0.25">
      <c r="B142">
        <v>1</v>
      </c>
      <c r="C142">
        <v>3</v>
      </c>
      <c r="H142" s="1"/>
      <c r="I142" s="1">
        <v>18.05</v>
      </c>
    </row>
    <row r="143" spans="2:9" x14ac:dyDescent="0.25">
      <c r="B143">
        <v>7</v>
      </c>
      <c r="C143">
        <v>1</v>
      </c>
      <c r="H143" s="1"/>
      <c r="I143" s="1">
        <v>18.079999999999998</v>
      </c>
    </row>
    <row r="144" spans="2:9" x14ac:dyDescent="0.25">
      <c r="B144">
        <v>4</v>
      </c>
      <c r="C144">
        <v>7</v>
      </c>
      <c r="H144" s="1"/>
      <c r="I144" s="1">
        <v>18.16</v>
      </c>
    </row>
    <row r="145" spans="2:9" x14ac:dyDescent="0.25">
      <c r="B145">
        <v>1</v>
      </c>
      <c r="C145">
        <v>6</v>
      </c>
      <c r="H145" s="1"/>
      <c r="I145" s="1">
        <v>18.68</v>
      </c>
    </row>
    <row r="146" spans="2:9" x14ac:dyDescent="0.25">
      <c r="B146">
        <v>2</v>
      </c>
      <c r="C146">
        <v>1</v>
      </c>
      <c r="H146" s="1"/>
      <c r="I146" s="1">
        <v>18.78</v>
      </c>
    </row>
    <row r="147" spans="2:9" x14ac:dyDescent="0.25">
      <c r="B147">
        <v>7</v>
      </c>
      <c r="C147">
        <v>3</v>
      </c>
      <c r="H147" s="1"/>
      <c r="I147" s="1">
        <v>18.78</v>
      </c>
    </row>
    <row r="148" spans="2:9" x14ac:dyDescent="0.25">
      <c r="B148">
        <v>7</v>
      </c>
      <c r="C148">
        <v>7</v>
      </c>
      <c r="H148" s="1"/>
      <c r="I148" s="1">
        <v>18.78</v>
      </c>
    </row>
    <row r="149" spans="2:9" x14ac:dyDescent="0.25">
      <c r="B149">
        <v>4</v>
      </c>
      <c r="C149">
        <v>4</v>
      </c>
      <c r="H149" s="1"/>
      <c r="I149" s="1">
        <v>18.809999999999999</v>
      </c>
    </row>
    <row r="150" spans="2:9" x14ac:dyDescent="0.25">
      <c r="B150">
        <v>2</v>
      </c>
      <c r="C150">
        <v>6</v>
      </c>
      <c r="H150" s="1"/>
      <c r="I150" s="1">
        <v>18.88</v>
      </c>
    </row>
    <row r="151" spans="2:9" x14ac:dyDescent="0.25">
      <c r="B151">
        <v>7</v>
      </c>
      <c r="C151">
        <v>4</v>
      </c>
      <c r="H151" s="1"/>
      <c r="I151" s="1">
        <v>18.97</v>
      </c>
    </row>
    <row r="152" spans="2:9" x14ac:dyDescent="0.25">
      <c r="B152">
        <v>0</v>
      </c>
      <c r="C152">
        <v>6</v>
      </c>
      <c r="H152" s="1"/>
      <c r="I152" s="1">
        <v>19.079999999999998</v>
      </c>
    </row>
    <row r="153" spans="2:9" x14ac:dyDescent="0.25">
      <c r="B153">
        <v>5</v>
      </c>
      <c r="C153">
        <v>4</v>
      </c>
    </row>
    <row r="154" spans="2:9" x14ac:dyDescent="0.25">
      <c r="B154">
        <v>4</v>
      </c>
      <c r="C154">
        <v>2</v>
      </c>
    </row>
    <row r="155" spans="2:9" x14ac:dyDescent="0.25">
      <c r="B155">
        <v>5</v>
      </c>
      <c r="C155">
        <v>6</v>
      </c>
    </row>
    <row r="156" spans="2:9" x14ac:dyDescent="0.25">
      <c r="B156">
        <v>1</v>
      </c>
      <c r="C156">
        <v>0</v>
      </c>
    </row>
    <row r="157" spans="2:9" x14ac:dyDescent="0.25">
      <c r="B157">
        <v>6</v>
      </c>
      <c r="C157">
        <v>1</v>
      </c>
    </row>
    <row r="158" spans="2:9" x14ac:dyDescent="0.25">
      <c r="B158">
        <v>0</v>
      </c>
      <c r="C158">
        <v>0</v>
      </c>
    </row>
    <row r="159" spans="2:9" x14ac:dyDescent="0.25">
      <c r="B159">
        <v>3</v>
      </c>
      <c r="C159">
        <v>3</v>
      </c>
    </row>
    <row r="160" spans="2:9" x14ac:dyDescent="0.25">
      <c r="B160">
        <v>2</v>
      </c>
      <c r="C160">
        <v>5</v>
      </c>
    </row>
    <row r="161" spans="2:3" x14ac:dyDescent="0.25">
      <c r="B161">
        <v>6</v>
      </c>
      <c r="C161">
        <v>5</v>
      </c>
    </row>
    <row r="162" spans="2:3" x14ac:dyDescent="0.25">
      <c r="B162">
        <v>3</v>
      </c>
      <c r="C162">
        <v>7</v>
      </c>
    </row>
    <row r="163" spans="2:3" x14ac:dyDescent="0.25">
      <c r="B163">
        <v>2</v>
      </c>
      <c r="C163">
        <v>7</v>
      </c>
    </row>
    <row r="164" spans="2:3" x14ac:dyDescent="0.25">
      <c r="B164">
        <v>1</v>
      </c>
      <c r="C164">
        <v>6</v>
      </c>
    </row>
    <row r="165" spans="2:3" x14ac:dyDescent="0.25">
      <c r="B165">
        <v>0</v>
      </c>
      <c r="C165">
        <v>6</v>
      </c>
    </row>
    <row r="166" spans="2:3" x14ac:dyDescent="0.25">
      <c r="B166">
        <v>6</v>
      </c>
      <c r="C166">
        <v>7</v>
      </c>
    </row>
    <row r="167" spans="2:3" x14ac:dyDescent="0.25">
      <c r="B167">
        <v>4</v>
      </c>
      <c r="C167">
        <v>7</v>
      </c>
    </row>
    <row r="168" spans="2:3" x14ac:dyDescent="0.25">
      <c r="B168">
        <v>5</v>
      </c>
      <c r="C168">
        <v>2</v>
      </c>
    </row>
    <row r="169" spans="2:3" x14ac:dyDescent="0.25">
      <c r="B169">
        <v>5</v>
      </c>
      <c r="C169">
        <v>0</v>
      </c>
    </row>
    <row r="170" spans="2:3" x14ac:dyDescent="0.25">
      <c r="B170">
        <v>6</v>
      </c>
      <c r="C170">
        <v>2</v>
      </c>
    </row>
    <row r="171" spans="2:3" x14ac:dyDescent="0.25">
      <c r="B171">
        <v>2</v>
      </c>
      <c r="C171">
        <v>6</v>
      </c>
    </row>
    <row r="172" spans="2:3" x14ac:dyDescent="0.25">
      <c r="B172">
        <v>2</v>
      </c>
      <c r="C172">
        <v>1</v>
      </c>
    </row>
    <row r="173" spans="2:3" x14ac:dyDescent="0.25">
      <c r="B173">
        <v>0</v>
      </c>
      <c r="C173">
        <v>3</v>
      </c>
    </row>
    <row r="174" spans="2:3" x14ac:dyDescent="0.25">
      <c r="B174">
        <v>3</v>
      </c>
      <c r="C174">
        <v>0</v>
      </c>
    </row>
    <row r="175" spans="2:3" x14ac:dyDescent="0.25">
      <c r="B175">
        <v>0</v>
      </c>
      <c r="C175">
        <v>6</v>
      </c>
    </row>
    <row r="176" spans="2:3" x14ac:dyDescent="0.25">
      <c r="B176">
        <v>1</v>
      </c>
      <c r="C176">
        <v>4</v>
      </c>
    </row>
    <row r="177" spans="2:3" x14ac:dyDescent="0.25">
      <c r="B177">
        <v>1</v>
      </c>
      <c r="C177">
        <v>3</v>
      </c>
    </row>
    <row r="178" spans="2:3" x14ac:dyDescent="0.25">
      <c r="B178">
        <v>1</v>
      </c>
      <c r="C178">
        <v>3</v>
      </c>
    </row>
    <row r="179" spans="2:3" x14ac:dyDescent="0.25">
      <c r="B179">
        <v>3</v>
      </c>
      <c r="C179">
        <v>0</v>
      </c>
    </row>
    <row r="180" spans="2:3" x14ac:dyDescent="0.25">
      <c r="B180">
        <v>0</v>
      </c>
      <c r="C180">
        <v>4</v>
      </c>
    </row>
    <row r="181" spans="2:3" x14ac:dyDescent="0.25">
      <c r="B181">
        <v>4</v>
      </c>
      <c r="C181">
        <v>4</v>
      </c>
    </row>
    <row r="182" spans="2:3" x14ac:dyDescent="0.25">
      <c r="B182">
        <v>4</v>
      </c>
      <c r="C182">
        <v>0</v>
      </c>
    </row>
    <row r="183" spans="2:3" x14ac:dyDescent="0.25">
      <c r="B183">
        <v>1</v>
      </c>
      <c r="C183">
        <v>5</v>
      </c>
    </row>
    <row r="184" spans="2:3" x14ac:dyDescent="0.25">
      <c r="B184">
        <v>1</v>
      </c>
      <c r="C184">
        <v>3</v>
      </c>
    </row>
    <row r="185" spans="2:3" x14ac:dyDescent="0.25">
      <c r="B185">
        <v>5</v>
      </c>
      <c r="C185">
        <v>3</v>
      </c>
    </row>
    <row r="186" spans="2:3" x14ac:dyDescent="0.25">
      <c r="B186">
        <v>0</v>
      </c>
      <c r="C186">
        <v>1</v>
      </c>
    </row>
    <row r="187" spans="2:3" x14ac:dyDescent="0.25">
      <c r="B187">
        <v>1</v>
      </c>
      <c r="C187">
        <v>5</v>
      </c>
    </row>
    <row r="188" spans="2:3" x14ac:dyDescent="0.25">
      <c r="B188">
        <v>4</v>
      </c>
      <c r="C188">
        <v>7</v>
      </c>
    </row>
    <row r="189" spans="2:3" x14ac:dyDescent="0.25">
      <c r="B189">
        <v>3</v>
      </c>
      <c r="C189">
        <v>3</v>
      </c>
    </row>
    <row r="190" spans="2:3" x14ac:dyDescent="0.25">
      <c r="B190">
        <v>1</v>
      </c>
      <c r="C190">
        <v>6</v>
      </c>
    </row>
    <row r="191" spans="2:3" x14ac:dyDescent="0.25">
      <c r="B191">
        <v>4</v>
      </c>
      <c r="C191">
        <v>7</v>
      </c>
    </row>
    <row r="192" spans="2:3" x14ac:dyDescent="0.25">
      <c r="B192">
        <v>5</v>
      </c>
      <c r="C192">
        <v>2</v>
      </c>
    </row>
    <row r="193" spans="2:3" x14ac:dyDescent="0.25">
      <c r="B193">
        <v>4</v>
      </c>
      <c r="C193">
        <v>7</v>
      </c>
    </row>
    <row r="194" spans="2:3" x14ac:dyDescent="0.25">
      <c r="B194">
        <v>6</v>
      </c>
      <c r="C194">
        <v>4</v>
      </c>
    </row>
    <row r="195" spans="2:3" x14ac:dyDescent="0.25">
      <c r="B195">
        <v>2</v>
      </c>
      <c r="C195">
        <v>6</v>
      </c>
    </row>
    <row r="196" spans="2:3" x14ac:dyDescent="0.25">
      <c r="B196">
        <v>3</v>
      </c>
      <c r="C196">
        <v>5</v>
      </c>
    </row>
    <row r="197" spans="2:3" x14ac:dyDescent="0.25">
      <c r="B197">
        <v>7</v>
      </c>
      <c r="C197">
        <v>5</v>
      </c>
    </row>
    <row r="198" spans="2:3" x14ac:dyDescent="0.25">
      <c r="B198">
        <v>4</v>
      </c>
      <c r="C198">
        <v>1</v>
      </c>
    </row>
    <row r="199" spans="2:3" x14ac:dyDescent="0.25">
      <c r="B199">
        <v>1</v>
      </c>
      <c r="C199">
        <v>4</v>
      </c>
    </row>
    <row r="200" spans="2:3" x14ac:dyDescent="0.25">
      <c r="B200">
        <v>1</v>
      </c>
      <c r="C200">
        <v>1</v>
      </c>
    </row>
    <row r="201" spans="2:3" x14ac:dyDescent="0.25">
      <c r="B201">
        <v>2</v>
      </c>
      <c r="C201">
        <v>5</v>
      </c>
    </row>
    <row r="202" spans="2:3" x14ac:dyDescent="0.25">
      <c r="B202">
        <v>0</v>
      </c>
      <c r="C202">
        <v>4</v>
      </c>
    </row>
  </sheetData>
  <sortState xmlns:xlrd2="http://schemas.microsoft.com/office/spreadsheetml/2017/richdata2" ref="I3:I152">
    <sortCondition ref="I3:I152"/>
  </sortState>
  <mergeCells count="1">
    <mergeCell ref="A1:E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990CD-725A-0E49-A453-E6B6F139DF19}">
  <dimension ref="A1:F56"/>
  <sheetViews>
    <sheetView topLeftCell="A16" workbookViewId="0">
      <selection activeCell="C38" sqref="C38"/>
    </sheetView>
  </sheetViews>
  <sheetFormatPr defaultColWidth="11" defaultRowHeight="15.75" x14ac:dyDescent="0.25"/>
  <cols>
    <col min="3" max="3" width="11.375" bestFit="1" customWidth="1"/>
    <col min="6" max="6" width="11.375" bestFit="1" customWidth="1"/>
  </cols>
  <sheetData>
    <row r="1" spans="1:6" x14ac:dyDescent="0.25">
      <c r="A1" t="s">
        <v>4</v>
      </c>
    </row>
    <row r="2" spans="1:6" x14ac:dyDescent="0.25">
      <c r="A2" t="s">
        <v>5</v>
      </c>
    </row>
    <row r="3" spans="1:6" x14ac:dyDescent="0.25">
      <c r="A3" t="s">
        <v>6</v>
      </c>
    </row>
    <row r="4" spans="1:6" x14ac:dyDescent="0.25">
      <c r="A4" t="s">
        <v>7</v>
      </c>
    </row>
    <row r="6" spans="1:6" x14ac:dyDescent="0.25">
      <c r="A6" t="s">
        <v>8</v>
      </c>
      <c r="F6" t="s">
        <v>9</v>
      </c>
    </row>
    <row r="7" spans="1:6" x14ac:dyDescent="0.25">
      <c r="D7" t="s">
        <v>10</v>
      </c>
      <c r="E7" t="s">
        <v>10</v>
      </c>
    </row>
    <row r="8" spans="1:6" x14ac:dyDescent="0.25">
      <c r="A8" t="s">
        <v>11</v>
      </c>
      <c r="B8" t="s">
        <v>12</v>
      </c>
      <c r="C8" t="s">
        <v>13</v>
      </c>
      <c r="D8" t="s">
        <v>14</v>
      </c>
      <c r="E8" t="s">
        <v>15</v>
      </c>
    </row>
    <row r="9" spans="1:6" x14ac:dyDescent="0.25">
      <c r="A9">
        <v>0</v>
      </c>
      <c r="B9" cm="1">
        <f t="array" ref="B9:B17">FREQUENCY('1DC_G3'!B3:B202,'Exercício 1'!A9:A16)</f>
        <v>22</v>
      </c>
      <c r="C9">
        <f>B9/B19</f>
        <v>0.11</v>
      </c>
      <c r="D9">
        <f>B9</f>
        <v>22</v>
      </c>
      <c r="E9">
        <f>C9</f>
        <v>0.11</v>
      </c>
    </row>
    <row r="10" spans="1:6" x14ac:dyDescent="0.25">
      <c r="A10">
        <v>1</v>
      </c>
      <c r="B10">
        <v>37</v>
      </c>
      <c r="C10">
        <f>B10/B19</f>
        <v>0.185</v>
      </c>
      <c r="D10">
        <f>B10+D9</f>
        <v>59</v>
      </c>
      <c r="E10">
        <f>C10+E9</f>
        <v>0.29499999999999998</v>
      </c>
    </row>
    <row r="11" spans="1:6" x14ac:dyDescent="0.25">
      <c r="A11">
        <v>2</v>
      </c>
      <c r="B11">
        <v>27</v>
      </c>
      <c r="C11">
        <f>B11/B19</f>
        <v>0.13500000000000001</v>
      </c>
      <c r="D11">
        <f t="shared" ref="D11:D16" si="0">B11+D10</f>
        <v>86</v>
      </c>
      <c r="E11">
        <f t="shared" ref="E11:E16" si="1">C11+E10</f>
        <v>0.43</v>
      </c>
    </row>
    <row r="12" spans="1:6" x14ac:dyDescent="0.25">
      <c r="A12">
        <v>3</v>
      </c>
      <c r="B12">
        <v>24</v>
      </c>
      <c r="C12">
        <f>B12/B19</f>
        <v>0.12</v>
      </c>
      <c r="D12">
        <f t="shared" si="0"/>
        <v>110</v>
      </c>
      <c r="E12">
        <f t="shared" si="1"/>
        <v>0.55000000000000004</v>
      </c>
    </row>
    <row r="13" spans="1:6" x14ac:dyDescent="0.25">
      <c r="A13">
        <v>4</v>
      </c>
      <c r="B13">
        <v>22</v>
      </c>
      <c r="C13">
        <f>B13/B19</f>
        <v>0.11</v>
      </c>
      <c r="D13">
        <f t="shared" si="0"/>
        <v>132</v>
      </c>
      <c r="E13">
        <f t="shared" si="1"/>
        <v>0.66</v>
      </c>
    </row>
    <row r="14" spans="1:6" x14ac:dyDescent="0.25">
      <c r="A14">
        <v>5</v>
      </c>
      <c r="B14">
        <v>25</v>
      </c>
      <c r="C14">
        <f>B14/B19</f>
        <v>0.125</v>
      </c>
      <c r="D14">
        <f t="shared" si="0"/>
        <v>157</v>
      </c>
      <c r="E14">
        <f t="shared" si="1"/>
        <v>0.78500000000000003</v>
      </c>
    </row>
    <row r="15" spans="1:6" x14ac:dyDescent="0.25">
      <c r="A15">
        <v>6</v>
      </c>
      <c r="B15">
        <v>22</v>
      </c>
      <c r="C15">
        <f>B15/B19</f>
        <v>0.11</v>
      </c>
      <c r="D15">
        <f t="shared" si="0"/>
        <v>179</v>
      </c>
      <c r="E15">
        <f t="shared" si="1"/>
        <v>0.89500000000000002</v>
      </c>
    </row>
    <row r="16" spans="1:6" x14ac:dyDescent="0.25">
      <c r="A16">
        <v>7</v>
      </c>
      <c r="B16">
        <v>21</v>
      </c>
      <c r="C16">
        <f>B16/B19</f>
        <v>0.105</v>
      </c>
      <c r="D16">
        <f t="shared" si="0"/>
        <v>200</v>
      </c>
      <c r="E16">
        <f t="shared" si="1"/>
        <v>1</v>
      </c>
    </row>
    <row r="17" spans="1:5" x14ac:dyDescent="0.25">
      <c r="B17">
        <v>0</v>
      </c>
    </row>
    <row r="19" spans="1:5" x14ac:dyDescent="0.25">
      <c r="A19" t="s">
        <v>16</v>
      </c>
      <c r="B19">
        <f>SUM(B9:B16)</f>
        <v>200</v>
      </c>
      <c r="C19">
        <f>SUM(C9:C16)</f>
        <v>1</v>
      </c>
    </row>
    <row r="21" spans="1:5" x14ac:dyDescent="0.25">
      <c r="A21" t="s">
        <v>17</v>
      </c>
    </row>
    <row r="22" spans="1:5" x14ac:dyDescent="0.25">
      <c r="D22" t="s">
        <v>10</v>
      </c>
      <c r="E22" t="s">
        <v>10</v>
      </c>
    </row>
    <row r="23" spans="1:5" x14ac:dyDescent="0.25">
      <c r="A23" t="s">
        <v>11</v>
      </c>
      <c r="B23" t="s">
        <v>12</v>
      </c>
      <c r="C23" t="s">
        <v>13</v>
      </c>
      <c r="D23" t="s">
        <v>14</v>
      </c>
      <c r="E23" t="s">
        <v>15</v>
      </c>
    </row>
    <row r="24" spans="1:5" x14ac:dyDescent="0.25">
      <c r="A24">
        <v>0</v>
      </c>
      <c r="B24" cm="1">
        <f t="array" ref="B24:B32">FREQUENCY('1DC_G3'!C3:C202,'Exercício 1'!A24:A31)</f>
        <v>19</v>
      </c>
      <c r="C24">
        <f>B24/B34</f>
        <v>9.5000000000000001E-2</v>
      </c>
      <c r="D24">
        <f>B24</f>
        <v>19</v>
      </c>
      <c r="E24">
        <f>C24</f>
        <v>9.5000000000000001E-2</v>
      </c>
    </row>
    <row r="25" spans="1:5" x14ac:dyDescent="0.25">
      <c r="A25">
        <v>1</v>
      </c>
      <c r="B25">
        <v>27</v>
      </c>
      <c r="C25">
        <f>B25/B34</f>
        <v>0.13500000000000001</v>
      </c>
      <c r="D25">
        <f>B25+D24</f>
        <v>46</v>
      </c>
      <c r="E25">
        <f>C25+E24</f>
        <v>0.23</v>
      </c>
    </row>
    <row r="26" spans="1:5" x14ac:dyDescent="0.25">
      <c r="A26">
        <v>2</v>
      </c>
      <c r="B26">
        <v>25</v>
      </c>
      <c r="C26">
        <f>B26/B34</f>
        <v>0.125</v>
      </c>
      <c r="D26">
        <f t="shared" ref="D26:D31" si="2">B26+D25</f>
        <v>71</v>
      </c>
      <c r="E26">
        <f t="shared" ref="E26:E31" si="3">C26+E25</f>
        <v>0.35499999999999998</v>
      </c>
    </row>
    <row r="27" spans="1:5" x14ac:dyDescent="0.25">
      <c r="A27">
        <v>3</v>
      </c>
      <c r="B27">
        <v>25</v>
      </c>
      <c r="C27">
        <f>B27/B34</f>
        <v>0.125</v>
      </c>
      <c r="D27">
        <f t="shared" si="2"/>
        <v>96</v>
      </c>
      <c r="E27">
        <f t="shared" si="3"/>
        <v>0.48</v>
      </c>
    </row>
    <row r="28" spans="1:5" x14ac:dyDescent="0.25">
      <c r="A28">
        <v>4</v>
      </c>
      <c r="B28">
        <v>25</v>
      </c>
      <c r="C28">
        <f>B28/B34</f>
        <v>0.125</v>
      </c>
      <c r="D28">
        <f t="shared" si="2"/>
        <v>121</v>
      </c>
      <c r="E28">
        <f t="shared" si="3"/>
        <v>0.60499999999999998</v>
      </c>
    </row>
    <row r="29" spans="1:5" x14ac:dyDescent="0.25">
      <c r="A29">
        <v>5</v>
      </c>
      <c r="B29">
        <v>31</v>
      </c>
      <c r="C29">
        <f>B29/B34</f>
        <v>0.155</v>
      </c>
      <c r="D29">
        <f t="shared" si="2"/>
        <v>152</v>
      </c>
      <c r="E29">
        <f t="shared" si="3"/>
        <v>0.76</v>
      </c>
    </row>
    <row r="30" spans="1:5" x14ac:dyDescent="0.25">
      <c r="A30">
        <v>6</v>
      </c>
      <c r="B30">
        <v>23</v>
      </c>
      <c r="C30">
        <f>B30/B34</f>
        <v>0.115</v>
      </c>
      <c r="D30">
        <f t="shared" si="2"/>
        <v>175</v>
      </c>
      <c r="E30">
        <f t="shared" si="3"/>
        <v>0.875</v>
      </c>
    </row>
    <row r="31" spans="1:5" x14ac:dyDescent="0.25">
      <c r="A31">
        <v>7</v>
      </c>
      <c r="B31">
        <v>25</v>
      </c>
      <c r="C31">
        <f>B31/B34</f>
        <v>0.125</v>
      </c>
      <c r="D31">
        <f t="shared" si="2"/>
        <v>200</v>
      </c>
      <c r="E31">
        <f t="shared" si="3"/>
        <v>1</v>
      </c>
    </row>
    <row r="32" spans="1:5" x14ac:dyDescent="0.25">
      <c r="B32">
        <v>0</v>
      </c>
    </row>
    <row r="34" spans="1:6" x14ac:dyDescent="0.25">
      <c r="A34" t="s">
        <v>16</v>
      </c>
      <c r="B34">
        <f>SUM(B24:B31)</f>
        <v>200</v>
      </c>
      <c r="C34">
        <f>SUM(C24:C31)</f>
        <v>1</v>
      </c>
    </row>
    <row r="36" spans="1:6" x14ac:dyDescent="0.25">
      <c r="A36" t="s">
        <v>18</v>
      </c>
      <c r="B36" t="s">
        <v>2</v>
      </c>
      <c r="E36" t="s">
        <v>3</v>
      </c>
    </row>
    <row r="38" spans="1:6" x14ac:dyDescent="0.25">
      <c r="B38" t="s">
        <v>19</v>
      </c>
      <c r="C38">
        <f>AVERAGE('1DC_G3'!B3:B202)</f>
        <v>3.2749999999999999</v>
      </c>
      <c r="E38" t="s">
        <v>19</v>
      </c>
      <c r="F38">
        <f>AVERAGE('1DC_G3'!C3:C202)</f>
        <v>3.6</v>
      </c>
    </row>
    <row r="39" spans="1:6" x14ac:dyDescent="0.25">
      <c r="B39" t="s">
        <v>20</v>
      </c>
      <c r="C39">
        <f>MEDIAN('1DC_G3'!B3:B202)</f>
        <v>3</v>
      </c>
      <c r="E39" t="s">
        <v>20</v>
      </c>
      <c r="F39">
        <f>MEDIAN('1DC_G3'!C3:C202)</f>
        <v>4</v>
      </c>
    </row>
    <row r="40" spans="1:6" x14ac:dyDescent="0.25">
      <c r="B40" t="s">
        <v>21</v>
      </c>
      <c r="C40">
        <f>MODE('1DC_G3'!B3:B202)</f>
        <v>1</v>
      </c>
      <c r="E40" t="s">
        <v>21</v>
      </c>
      <c r="F40">
        <f>MODE('1DC_G3'!C3:C202)</f>
        <v>5</v>
      </c>
    </row>
    <row r="43" spans="1:6" x14ac:dyDescent="0.25">
      <c r="A43" t="s">
        <v>22</v>
      </c>
      <c r="B43" t="s">
        <v>2</v>
      </c>
      <c r="E43" t="s">
        <v>3</v>
      </c>
    </row>
    <row r="45" spans="1:6" x14ac:dyDescent="0.25">
      <c r="B45" t="s">
        <v>23</v>
      </c>
      <c r="C45" s="5">
        <f>_xlfn.VAR.S('1DC_G3'!B3:B202)</f>
        <v>5.0948492462311554</v>
      </c>
      <c r="E45" t="s">
        <v>23</v>
      </c>
      <c r="F45" s="5">
        <f>_xlfn.VAR.S('1DC_G3'!C3:C202)</f>
        <v>4.9648241206030148</v>
      </c>
    </row>
    <row r="46" spans="1:6" x14ac:dyDescent="0.25">
      <c r="B46" t="s">
        <v>24</v>
      </c>
      <c r="C46" s="5">
        <f>_xlfn.STDEV.S('1DC_G3'!B3:B202)</f>
        <v>2.2571772739931517</v>
      </c>
      <c r="E46" t="s">
        <v>24</v>
      </c>
      <c r="F46" s="5">
        <f>_xlfn.STDEV.S('1DC_G3'!C3:C202)</f>
        <v>2.2281885289631607</v>
      </c>
    </row>
    <row r="48" spans="1:6" x14ac:dyDescent="0.25">
      <c r="A48" t="s">
        <v>25</v>
      </c>
      <c r="B48" t="s">
        <v>2</v>
      </c>
      <c r="C48" t="s">
        <v>26</v>
      </c>
    </row>
    <row r="50" spans="1:3" x14ac:dyDescent="0.25">
      <c r="B50" t="s">
        <v>3</v>
      </c>
      <c r="C50" t="s">
        <v>27</v>
      </c>
    </row>
    <row r="52" spans="1:3" x14ac:dyDescent="0.25">
      <c r="A52" t="s">
        <v>28</v>
      </c>
      <c r="B52" t="s">
        <v>29</v>
      </c>
    </row>
    <row r="54" spans="1:3" x14ac:dyDescent="0.25">
      <c r="A54" t="s">
        <v>30</v>
      </c>
      <c r="B54" t="s">
        <v>31</v>
      </c>
    </row>
    <row r="56" spans="1:3" x14ac:dyDescent="0.25">
      <c r="A56" t="s">
        <v>32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D9E29-7368-4417-A16D-9391CC64D40A}">
  <dimension ref="A1:R281"/>
  <sheetViews>
    <sheetView topLeftCell="A112" zoomScale="70" zoomScaleNormal="70" workbookViewId="0">
      <selection activeCell="F6" sqref="F6"/>
    </sheetView>
  </sheetViews>
  <sheetFormatPr defaultColWidth="11.25" defaultRowHeight="15.75" x14ac:dyDescent="0.25"/>
  <cols>
    <col min="1" max="1" width="17" customWidth="1"/>
    <col min="2" max="2" width="11.75" customWidth="1"/>
    <col min="3" max="3" width="8.25" customWidth="1"/>
    <col min="4" max="4" width="28.25" customWidth="1"/>
    <col min="5" max="6" width="11.5" bestFit="1" customWidth="1"/>
    <col min="7" max="7" width="15.375" bestFit="1" customWidth="1"/>
    <col min="15" max="15" width="17.5" customWidth="1"/>
  </cols>
  <sheetData>
    <row r="1" spans="1:10" x14ac:dyDescent="0.25">
      <c r="A1" t="s">
        <v>33</v>
      </c>
    </row>
    <row r="2" spans="1:10" x14ac:dyDescent="0.25">
      <c r="A2" t="s">
        <v>34</v>
      </c>
      <c r="B2" t="s">
        <v>35</v>
      </c>
    </row>
    <row r="3" spans="1:10" x14ac:dyDescent="0.25">
      <c r="B3" t="s">
        <v>36</v>
      </c>
    </row>
    <row r="4" spans="1:10" x14ac:dyDescent="0.25">
      <c r="A4" t="s">
        <v>37</v>
      </c>
      <c r="B4" s="31"/>
      <c r="I4" t="s">
        <v>165</v>
      </c>
      <c r="J4" t="s">
        <v>164</v>
      </c>
    </row>
    <row r="5" spans="1:10" x14ac:dyDescent="0.25">
      <c r="I5" t="s">
        <v>2</v>
      </c>
      <c r="J5" t="s">
        <v>3</v>
      </c>
    </row>
    <row r="6" spans="1:10" x14ac:dyDescent="0.25">
      <c r="I6">
        <f>COUNT(A9:A128)</f>
        <v>120</v>
      </c>
      <c r="J6">
        <f>COUNT(A132:A281)</f>
        <v>150</v>
      </c>
    </row>
    <row r="7" spans="1:10" x14ac:dyDescent="0.25">
      <c r="A7" t="s">
        <v>2</v>
      </c>
      <c r="B7" s="32" t="s">
        <v>2</v>
      </c>
    </row>
    <row r="8" spans="1:10" ht="15.6" customHeight="1" x14ac:dyDescent="0.25">
      <c r="A8" t="s">
        <v>38</v>
      </c>
      <c r="B8" s="3"/>
      <c r="C8" s="3"/>
      <c r="D8" s="62" t="s">
        <v>39</v>
      </c>
      <c r="F8" t="s">
        <v>3</v>
      </c>
    </row>
    <row r="9" spans="1:10" ht="15.6" customHeight="1" x14ac:dyDescent="0.25">
      <c r="A9" s="1">
        <v>5.86</v>
      </c>
      <c r="B9" s="3" t="s">
        <v>40</v>
      </c>
      <c r="C9" s="3" t="s">
        <v>41</v>
      </c>
      <c r="D9" s="62"/>
      <c r="F9" s="3"/>
      <c r="G9" s="3"/>
      <c r="H9" s="62" t="s">
        <v>39</v>
      </c>
    </row>
    <row r="10" spans="1:10" x14ac:dyDescent="0.25">
      <c r="A10" s="1">
        <v>6.28</v>
      </c>
      <c r="B10" s="4">
        <f>A9</f>
        <v>5.86</v>
      </c>
      <c r="C10" s="4">
        <f>MAX(A9:A128)</f>
        <v>20.079999999999998</v>
      </c>
      <c r="D10" s="4">
        <f>C10-B10</f>
        <v>14.219999999999999</v>
      </c>
      <c r="F10" s="3" t="s">
        <v>40</v>
      </c>
      <c r="G10" s="3" t="s">
        <v>41</v>
      </c>
      <c r="H10" s="62"/>
    </row>
    <row r="11" spans="1:10" x14ac:dyDescent="0.25">
      <c r="A11" s="1">
        <v>6.63</v>
      </c>
      <c r="F11" s="4">
        <f>MIN('1DC_G3'!I3:I152)</f>
        <v>5.72</v>
      </c>
      <c r="G11" s="4">
        <f>MAX('1DC_G3'!I3:I152)</f>
        <v>19.079999999999998</v>
      </c>
      <c r="H11" s="3">
        <f>G11-F11</f>
        <v>13.36</v>
      </c>
    </row>
    <row r="12" spans="1:10" x14ac:dyDescent="0.25">
      <c r="A12" s="1">
        <v>6.7200000000000006</v>
      </c>
      <c r="B12" t="s">
        <v>166</v>
      </c>
      <c r="D12">
        <f>14.22/7</f>
        <v>2.0314285714285716</v>
      </c>
      <c r="F12" t="s">
        <v>166</v>
      </c>
      <c r="H12">
        <f>H11/8</f>
        <v>1.67</v>
      </c>
    </row>
    <row r="13" spans="1:10" ht="31.5" x14ac:dyDescent="0.25">
      <c r="A13" s="1">
        <v>6.76</v>
      </c>
      <c r="B13" s="6" t="s">
        <v>42</v>
      </c>
      <c r="C13" s="7" t="s">
        <v>43</v>
      </c>
      <c r="D13" s="7" t="s">
        <v>44</v>
      </c>
      <c r="F13" s="6" t="s">
        <v>42</v>
      </c>
      <c r="G13" s="7" t="s">
        <v>43</v>
      </c>
      <c r="H13" s="7" t="s">
        <v>44</v>
      </c>
    </row>
    <row r="14" spans="1:10" x14ac:dyDescent="0.25">
      <c r="A14" s="1">
        <v>6.79</v>
      </c>
      <c r="B14" s="7"/>
      <c r="C14" s="7"/>
      <c r="D14" s="7"/>
      <c r="F14" s="7"/>
      <c r="G14" s="7"/>
      <c r="H14" s="7"/>
    </row>
    <row r="15" spans="1:10" x14ac:dyDescent="0.25">
      <c r="A15" s="1">
        <v>6.96</v>
      </c>
      <c r="B15" s="8" t="s">
        <v>45</v>
      </c>
      <c r="C15" s="59">
        <f>INT(1+3.3*LOG(COUNT(A9:A128),10))</f>
        <v>7</v>
      </c>
      <c r="D15" s="7">
        <f>INT(1+3.3*LOG10(100))</f>
        <v>7</v>
      </c>
      <c r="F15" s="8" t="s">
        <v>45</v>
      </c>
      <c r="G15" s="30">
        <f>INT(1+3.3*LOG(COUNT('1DC_G3'!I3:I152),10))</f>
        <v>8</v>
      </c>
      <c r="H15" s="7"/>
    </row>
    <row r="16" spans="1:10" ht="31.5" x14ac:dyDescent="0.25">
      <c r="A16" s="1">
        <v>7.07</v>
      </c>
      <c r="B16" s="6" t="s">
        <v>46</v>
      </c>
      <c r="C16" s="7">
        <f>INT((C10-B10)/7)+0.1</f>
        <v>2.1</v>
      </c>
      <c r="D16" s="7"/>
      <c r="F16" s="6" t="s">
        <v>46</v>
      </c>
      <c r="G16" s="7">
        <f>INT((G11-F11)/7)+0.7</f>
        <v>1.7</v>
      </c>
      <c r="H16" s="7"/>
    </row>
    <row r="17" spans="1:14" x14ac:dyDescent="0.25">
      <c r="A17" s="1">
        <v>7.13</v>
      </c>
    </row>
    <row r="18" spans="1:14" x14ac:dyDescent="0.25">
      <c r="A18" s="1">
        <v>7.16</v>
      </c>
    </row>
    <row r="19" spans="1:14" x14ac:dyDescent="0.25">
      <c r="A19" s="1">
        <v>7.18</v>
      </c>
    </row>
    <row r="20" spans="1:14" x14ac:dyDescent="0.25">
      <c r="A20" s="1">
        <v>7.26</v>
      </c>
    </row>
    <row r="21" spans="1:14" x14ac:dyDescent="0.25">
      <c r="A21" s="1">
        <v>7.26</v>
      </c>
      <c r="B21" t="s">
        <v>2</v>
      </c>
    </row>
    <row r="22" spans="1:14" ht="16.5" thickBot="1" x14ac:dyDescent="0.3">
      <c r="A22" s="1">
        <v>7.6</v>
      </c>
      <c r="D22" s="63" t="s">
        <v>47</v>
      </c>
      <c r="E22" s="63"/>
      <c r="F22" s="63"/>
      <c r="G22" s="63"/>
      <c r="H22" s="63"/>
      <c r="I22" s="63"/>
      <c r="J22" s="9"/>
      <c r="K22" s="9"/>
      <c r="L22" s="9"/>
      <c r="M22" s="9"/>
      <c r="N22" s="9"/>
    </row>
    <row r="23" spans="1:14" ht="68.45" customHeight="1" x14ac:dyDescent="0.25">
      <c r="A23" s="1">
        <v>7.69</v>
      </c>
      <c r="C23" s="2"/>
      <c r="D23" s="10" t="s">
        <v>48</v>
      </c>
      <c r="E23" s="11"/>
      <c r="F23" s="12" t="s">
        <v>49</v>
      </c>
      <c r="G23" s="13" t="s">
        <v>50</v>
      </c>
      <c r="H23" s="13" t="s">
        <v>51</v>
      </c>
      <c r="I23" s="14" t="s">
        <v>52</v>
      </c>
      <c r="J23" s="15" t="s">
        <v>53</v>
      </c>
      <c r="K23" s="16"/>
      <c r="L23" s="15" t="s">
        <v>54</v>
      </c>
      <c r="M23" s="15" t="s">
        <v>55</v>
      </c>
      <c r="N23" s="15" t="s">
        <v>56</v>
      </c>
    </row>
    <row r="24" spans="1:14" x14ac:dyDescent="0.25">
      <c r="A24" s="1">
        <v>7.71</v>
      </c>
      <c r="C24" s="2">
        <v>0</v>
      </c>
      <c r="D24" s="17" t="s">
        <v>57</v>
      </c>
      <c r="E24" s="18" t="s">
        <v>58</v>
      </c>
      <c r="F24" s="18" t="s">
        <v>59</v>
      </c>
      <c r="G24" s="18" t="s">
        <v>60</v>
      </c>
      <c r="H24" s="18" t="s">
        <v>61</v>
      </c>
      <c r="I24" s="19" t="s">
        <v>62</v>
      </c>
      <c r="J24" s="15" t="s">
        <v>63</v>
      </c>
      <c r="K24" s="20" t="s">
        <v>64</v>
      </c>
      <c r="L24" s="16"/>
      <c r="M24" s="16"/>
      <c r="N24" s="16"/>
    </row>
    <row r="25" spans="1:14" x14ac:dyDescent="0.25">
      <c r="A25" s="1">
        <v>7.83</v>
      </c>
      <c r="C25" s="2">
        <v>1</v>
      </c>
      <c r="D25" s="21" t="str">
        <f>"["&amp;$B$10+C24*$C$16&amp;"   ;    "&amp;$B$10+$C$16*C25&amp;"["</f>
        <v>[5,86   ;    7,96[</v>
      </c>
      <c r="E25" s="18">
        <f t="shared" ref="E25:E31" si="0">($B$10+C24*$C$16+$B$10+$C$16*C25)/2</f>
        <v>6.91</v>
      </c>
      <c r="F25" s="18">
        <f>COUNTIFS($A$9:$A$128,"&gt;="&amp;D37,$A$9:$A$128,"&lt;"&amp;E37)</f>
        <v>20</v>
      </c>
      <c r="G25" s="22">
        <f t="shared" ref="G25:G31" si="1">F25/$F$33</f>
        <v>0.16666666666666666</v>
      </c>
      <c r="H25" s="18">
        <f>F25</f>
        <v>20</v>
      </c>
      <c r="I25" s="23">
        <f>G25</f>
        <v>0.16666666666666666</v>
      </c>
      <c r="J25" s="16">
        <f t="shared" ref="J25:J31" si="2">(E37-D37)</f>
        <v>2.1000000000000005</v>
      </c>
      <c r="K25" s="24">
        <f>F25/J25</f>
        <v>9.5238095238095219</v>
      </c>
      <c r="L25" s="25">
        <f t="shared" ref="L25:L31" si="3">(E25-$E$46)^2</f>
        <v>37.945599999999999</v>
      </c>
      <c r="M25" s="25">
        <f t="shared" ref="M25:M31" si="4">(E25-$E$46)^3</f>
        <v>-233.74489600000001</v>
      </c>
      <c r="N25" s="25">
        <f t="shared" ref="N25:N31" si="5">(E25-$E$46)^4</f>
        <v>1439.8685593599998</v>
      </c>
    </row>
    <row r="26" spans="1:14" x14ac:dyDescent="0.25">
      <c r="A26" s="1">
        <v>7.84</v>
      </c>
      <c r="C26" s="2">
        <v>2</v>
      </c>
      <c r="D26" s="21" t="str">
        <f t="shared" ref="D26:D31" si="6">"["&amp;$B$10+C25*$C$16&amp;"   ;    "&amp;$B$10+$C$16*C26&amp;"["</f>
        <v>[7,96   ;    10,06[</v>
      </c>
      <c r="E26" s="18">
        <f t="shared" si="0"/>
        <v>9.01</v>
      </c>
      <c r="F26" s="18">
        <f t="shared" ref="F26:F31" si="7">COUNTIFS($A$9:$A$128,"&gt;="&amp;D38,$A$9:$A$128,"&lt;"&amp;E38)</f>
        <v>20</v>
      </c>
      <c r="G26" s="22">
        <f t="shared" si="1"/>
        <v>0.16666666666666666</v>
      </c>
      <c r="H26" s="18">
        <f>F26+H25</f>
        <v>40</v>
      </c>
      <c r="I26" s="23">
        <f>G26+I25</f>
        <v>0.33333333333333331</v>
      </c>
      <c r="J26" s="16">
        <f t="shared" si="2"/>
        <v>2.0999999999999996</v>
      </c>
      <c r="K26" s="24">
        <f t="shared" ref="K26:K31" si="8">F26/J26</f>
        <v>9.5238095238095255</v>
      </c>
      <c r="L26" s="25">
        <f t="shared" si="3"/>
        <v>16.483600000000003</v>
      </c>
      <c r="M26" s="25">
        <f t="shared" si="4"/>
        <v>-66.923416000000017</v>
      </c>
      <c r="N26" s="25">
        <f t="shared" si="5"/>
        <v>271.70906896000008</v>
      </c>
    </row>
    <row r="27" spans="1:14" x14ac:dyDescent="0.25">
      <c r="A27" s="1">
        <v>7.86</v>
      </c>
      <c r="C27" s="2">
        <v>3</v>
      </c>
      <c r="D27" s="21" t="str">
        <f t="shared" si="6"/>
        <v>[10,06   ;    12,16[</v>
      </c>
      <c r="E27" s="18">
        <f t="shared" si="0"/>
        <v>11.110000000000001</v>
      </c>
      <c r="F27" s="18">
        <f t="shared" si="7"/>
        <v>13</v>
      </c>
      <c r="G27" s="22">
        <f t="shared" si="1"/>
        <v>0.10833333333333334</v>
      </c>
      <c r="H27" s="18">
        <f t="shared" ref="H27:I31" si="9">F27+H26</f>
        <v>53</v>
      </c>
      <c r="I27" s="23">
        <f t="shared" si="9"/>
        <v>0.44166666666666665</v>
      </c>
      <c r="J27" s="16">
        <f t="shared" si="2"/>
        <v>2.0999999999999996</v>
      </c>
      <c r="K27" s="24">
        <f t="shared" si="8"/>
        <v>6.1904761904761916</v>
      </c>
      <c r="L27" s="25">
        <f t="shared" si="3"/>
        <v>3.8415999999999966</v>
      </c>
      <c r="M27" s="25">
        <f t="shared" si="4"/>
        <v>-7.5295359999999896</v>
      </c>
      <c r="N27" s="25">
        <f t="shared" si="5"/>
        <v>14.757890559999973</v>
      </c>
    </row>
    <row r="28" spans="1:14" x14ac:dyDescent="0.25">
      <c r="A28" s="1">
        <v>7.87</v>
      </c>
      <c r="C28" s="2">
        <v>4</v>
      </c>
      <c r="D28" s="21" t="str">
        <f t="shared" si="6"/>
        <v>[12,16   ;    14,26[</v>
      </c>
      <c r="E28" s="18">
        <f t="shared" si="0"/>
        <v>13.21</v>
      </c>
      <c r="F28" s="18">
        <f t="shared" si="7"/>
        <v>16</v>
      </c>
      <c r="G28" s="22">
        <f t="shared" si="1"/>
        <v>0.13333333333333333</v>
      </c>
      <c r="H28" s="18">
        <f t="shared" si="9"/>
        <v>69</v>
      </c>
      <c r="I28" s="23">
        <f t="shared" si="9"/>
        <v>0.57499999999999996</v>
      </c>
      <c r="J28" s="16">
        <f t="shared" si="2"/>
        <v>2.1000000000000014</v>
      </c>
      <c r="K28" s="24">
        <f t="shared" si="8"/>
        <v>7.6190476190476142</v>
      </c>
      <c r="L28" s="25">
        <f t="shared" si="3"/>
        <v>1.9600000000000159E-2</v>
      </c>
      <c r="M28" s="25">
        <f t="shared" si="4"/>
        <v>2.7440000000000333E-3</v>
      </c>
      <c r="N28" s="25">
        <f t="shared" si="5"/>
        <v>3.8416000000000622E-4</v>
      </c>
    </row>
    <row r="29" spans="1:14" x14ac:dyDescent="0.25">
      <c r="A29" s="1">
        <v>8</v>
      </c>
      <c r="C29" s="2">
        <v>5</v>
      </c>
      <c r="D29" s="21" t="str">
        <f t="shared" si="6"/>
        <v>[14,26   ;    16,36[</v>
      </c>
      <c r="E29" s="18">
        <f t="shared" si="0"/>
        <v>15.31</v>
      </c>
      <c r="F29" s="18">
        <f t="shared" si="7"/>
        <v>15</v>
      </c>
      <c r="G29" s="22">
        <f t="shared" si="1"/>
        <v>0.125</v>
      </c>
      <c r="H29" s="18">
        <f t="shared" si="9"/>
        <v>84</v>
      </c>
      <c r="I29" s="23">
        <f t="shared" si="9"/>
        <v>0.7</v>
      </c>
      <c r="J29" s="16">
        <f t="shared" si="2"/>
        <v>2.0999999999999979</v>
      </c>
      <c r="K29" s="24">
        <f t="shared" si="8"/>
        <v>7.1428571428571503</v>
      </c>
      <c r="L29" s="25">
        <f t="shared" si="3"/>
        <v>5.0176000000000007</v>
      </c>
      <c r="M29" s="25">
        <f t="shared" si="4"/>
        <v>11.239424000000003</v>
      </c>
      <c r="N29" s="25">
        <f t="shared" si="5"/>
        <v>25.176309760000006</v>
      </c>
    </row>
    <row r="30" spans="1:14" ht="16.5" thickBot="1" x14ac:dyDescent="0.3">
      <c r="A30" s="1">
        <v>8.01</v>
      </c>
      <c r="C30" s="2">
        <v>6</v>
      </c>
      <c r="D30" s="26" t="str">
        <f t="shared" si="6"/>
        <v>[16,36   ;    18,46[</v>
      </c>
      <c r="E30" s="27">
        <f t="shared" si="0"/>
        <v>17.41</v>
      </c>
      <c r="F30" s="27">
        <f t="shared" si="7"/>
        <v>18</v>
      </c>
      <c r="G30" s="28">
        <f t="shared" si="1"/>
        <v>0.15</v>
      </c>
      <c r="H30" s="27">
        <f t="shared" si="9"/>
        <v>102</v>
      </c>
      <c r="I30" s="29">
        <f t="shared" si="9"/>
        <v>0.85</v>
      </c>
      <c r="J30" s="16">
        <f t="shared" si="2"/>
        <v>2.1000000000000014</v>
      </c>
      <c r="K30" s="24">
        <f t="shared" si="8"/>
        <v>8.5714285714285658</v>
      </c>
      <c r="L30" s="25">
        <f t="shared" si="3"/>
        <v>18.835599999999999</v>
      </c>
      <c r="M30" s="25">
        <f t="shared" si="4"/>
        <v>81.746504000000002</v>
      </c>
      <c r="N30" s="25">
        <f t="shared" si="5"/>
        <v>354.77982735999996</v>
      </c>
    </row>
    <row r="31" spans="1:14" ht="16.5" thickBot="1" x14ac:dyDescent="0.3">
      <c r="A31" s="1">
        <v>8.0500000000000007</v>
      </c>
      <c r="C31" s="2">
        <v>7</v>
      </c>
      <c r="D31" s="26" t="str">
        <f t="shared" si="6"/>
        <v>[18,46   ;    20,56[</v>
      </c>
      <c r="E31" s="27">
        <f t="shared" si="0"/>
        <v>19.510000000000002</v>
      </c>
      <c r="F31" s="27">
        <f t="shared" si="7"/>
        <v>18</v>
      </c>
      <c r="G31" s="28">
        <f t="shared" si="1"/>
        <v>0.15</v>
      </c>
      <c r="H31" s="27">
        <f t="shared" si="9"/>
        <v>120</v>
      </c>
      <c r="I31" s="29">
        <f t="shared" si="9"/>
        <v>1</v>
      </c>
      <c r="J31" s="16">
        <f t="shared" si="2"/>
        <v>2.1000000000000014</v>
      </c>
      <c r="K31" s="24">
        <f t="shared" si="8"/>
        <v>8.5714285714285658</v>
      </c>
      <c r="L31" s="25">
        <f t="shared" si="3"/>
        <v>41.473600000000019</v>
      </c>
      <c r="M31" s="25">
        <f t="shared" si="4"/>
        <v>267.08998400000019</v>
      </c>
      <c r="N31" s="25">
        <f t="shared" si="5"/>
        <v>1720.0594969600015</v>
      </c>
    </row>
    <row r="32" spans="1:14" x14ac:dyDescent="0.25">
      <c r="A32" s="1">
        <v>8.09</v>
      </c>
    </row>
    <row r="33" spans="1:6" x14ac:dyDescent="0.25">
      <c r="A33" s="1">
        <v>8.1</v>
      </c>
      <c r="E33" t="s">
        <v>65</v>
      </c>
      <c r="F33" s="33">
        <f>SUM(F25:F31)</f>
        <v>120</v>
      </c>
    </row>
    <row r="34" spans="1:6" x14ac:dyDescent="0.25">
      <c r="A34" s="1">
        <v>8.14</v>
      </c>
    </row>
    <row r="35" spans="1:6" x14ac:dyDescent="0.25">
      <c r="A35" s="1">
        <v>8.17</v>
      </c>
      <c r="D35" s="2" t="s">
        <v>66</v>
      </c>
      <c r="E35" s="2"/>
    </row>
    <row r="36" spans="1:6" x14ac:dyDescent="0.25">
      <c r="A36" s="1">
        <v>8.1999999999999993</v>
      </c>
      <c r="D36" s="2" t="s">
        <v>67</v>
      </c>
      <c r="E36" s="2" t="s">
        <v>68</v>
      </c>
    </row>
    <row r="37" spans="1:6" x14ac:dyDescent="0.25">
      <c r="A37" s="1">
        <v>8.4499999999999993</v>
      </c>
      <c r="D37" s="2">
        <f>$B$10+C24*$C$16</f>
        <v>5.86</v>
      </c>
      <c r="E37" s="2">
        <f t="shared" ref="E37:E43" si="10">$B$10+$C$16*C25</f>
        <v>7.9600000000000009</v>
      </c>
    </row>
    <row r="38" spans="1:6" x14ac:dyDescent="0.25">
      <c r="A38" s="1">
        <v>8.7900000000000009</v>
      </c>
      <c r="D38" s="2">
        <f t="shared" ref="D38:D43" si="11">$B$10+C25*$C$16</f>
        <v>7.9600000000000009</v>
      </c>
      <c r="E38" s="2">
        <f t="shared" si="10"/>
        <v>10.06</v>
      </c>
    </row>
    <row r="39" spans="1:6" x14ac:dyDescent="0.25">
      <c r="A39" s="1">
        <v>8.8800000000000008</v>
      </c>
      <c r="D39" s="2">
        <f>$B$10+C26*$C$16</f>
        <v>10.06</v>
      </c>
      <c r="E39" s="2">
        <f t="shared" si="10"/>
        <v>12.16</v>
      </c>
    </row>
    <row r="40" spans="1:6" x14ac:dyDescent="0.25">
      <c r="A40" s="1">
        <v>8.8800000000000008</v>
      </c>
      <c r="D40" s="2">
        <f t="shared" si="11"/>
        <v>12.16</v>
      </c>
      <c r="E40" s="2">
        <f t="shared" si="10"/>
        <v>14.260000000000002</v>
      </c>
    </row>
    <row r="41" spans="1:6" x14ac:dyDescent="0.25">
      <c r="A41" s="1">
        <v>8.89</v>
      </c>
      <c r="D41" s="2">
        <f t="shared" si="11"/>
        <v>14.260000000000002</v>
      </c>
      <c r="E41" s="2">
        <f t="shared" si="10"/>
        <v>16.36</v>
      </c>
    </row>
    <row r="42" spans="1:6" x14ac:dyDescent="0.25">
      <c r="A42" s="1">
        <v>8.98</v>
      </c>
      <c r="D42" s="2">
        <f t="shared" si="11"/>
        <v>16.36</v>
      </c>
      <c r="E42" s="2">
        <f t="shared" si="10"/>
        <v>18.46</v>
      </c>
    </row>
    <row r="43" spans="1:6" x14ac:dyDescent="0.25">
      <c r="A43" s="1">
        <v>9.06</v>
      </c>
      <c r="D43" s="2">
        <f t="shared" si="11"/>
        <v>18.46</v>
      </c>
      <c r="E43" s="2">
        <f t="shared" si="10"/>
        <v>20.560000000000002</v>
      </c>
    </row>
    <row r="44" spans="1:6" x14ac:dyDescent="0.25">
      <c r="A44" s="1">
        <v>9.15</v>
      </c>
    </row>
    <row r="45" spans="1:6" x14ac:dyDescent="0.25">
      <c r="A45" s="1">
        <v>9.17</v>
      </c>
    </row>
    <row r="46" spans="1:6" x14ac:dyDescent="0.25">
      <c r="A46" s="1">
        <v>9.23</v>
      </c>
      <c r="D46" s="34" t="s">
        <v>69</v>
      </c>
      <c r="E46" s="35">
        <f>SUMPRODUCT(E25:E31,F25:F31)/F33</f>
        <v>13.07</v>
      </c>
    </row>
    <row r="47" spans="1:6" x14ac:dyDescent="0.25">
      <c r="A47" s="1">
        <v>9.83</v>
      </c>
      <c r="D47" s="35"/>
      <c r="E47" s="18"/>
    </row>
    <row r="48" spans="1:6" x14ac:dyDescent="0.25">
      <c r="A48" s="1">
        <v>9.8800000000000008</v>
      </c>
      <c r="D48" s="36" t="s">
        <v>70</v>
      </c>
      <c r="E48" s="37" cm="1">
        <f t="array" ref="E48">INDEX(D37:D43,E56,1)</f>
        <v>12.16</v>
      </c>
    </row>
    <row r="49" spans="1:18" x14ac:dyDescent="0.25">
      <c r="A49" s="1">
        <v>10.07</v>
      </c>
      <c r="D49" s="36" t="s">
        <v>71</v>
      </c>
      <c r="E49" s="37">
        <v>0.5</v>
      </c>
    </row>
    <row r="50" spans="1:18" x14ac:dyDescent="0.25">
      <c r="A50" s="1">
        <v>10.15</v>
      </c>
      <c r="D50" s="36" t="s">
        <v>72</v>
      </c>
      <c r="E50" s="47" cm="1">
        <f t="array" ref="E50">IF(E49=I25, 0,INDEX(I25:I31,-1 + E56,1))</f>
        <v>0.44166666666666665</v>
      </c>
    </row>
    <row r="51" spans="1:18" x14ac:dyDescent="0.25">
      <c r="A51" s="1">
        <v>10.18</v>
      </c>
      <c r="D51" s="36" t="s">
        <v>73</v>
      </c>
      <c r="E51" s="47" cm="1">
        <f t="array" ref="E51">INDEX(G25:G31,E56,1)</f>
        <v>0.13333333333333333</v>
      </c>
    </row>
    <row r="52" spans="1:18" x14ac:dyDescent="0.25">
      <c r="A52" s="1">
        <v>10.69</v>
      </c>
      <c r="D52" s="36" t="s">
        <v>74</v>
      </c>
      <c r="E52" s="37">
        <f>C16</f>
        <v>2.1</v>
      </c>
    </row>
    <row r="53" spans="1:18" x14ac:dyDescent="0.25">
      <c r="A53" s="1">
        <v>10.7</v>
      </c>
      <c r="D53" s="35"/>
      <c r="E53" s="35"/>
    </row>
    <row r="54" spans="1:18" x14ac:dyDescent="0.25">
      <c r="A54" s="1">
        <v>10.92</v>
      </c>
      <c r="D54" s="38" t="str">
        <f>IF(E49=0.5,"Mediana","Quantil "&amp;E49*100&amp;"%")</f>
        <v>Mediana</v>
      </c>
      <c r="E54" s="45">
        <f>E48+(E49-E50)*E52/E51</f>
        <v>13.078750000000001</v>
      </c>
    </row>
    <row r="55" spans="1:18" x14ac:dyDescent="0.25">
      <c r="A55" s="1">
        <v>11</v>
      </c>
      <c r="D55" s="35"/>
      <c r="E55" s="35"/>
    </row>
    <row r="56" spans="1:18" x14ac:dyDescent="0.25">
      <c r="A56" s="1">
        <v>11.1</v>
      </c>
      <c r="D56" s="34" t="s">
        <v>75</v>
      </c>
      <c r="E56" s="35">
        <f>IFERROR(MATCH(E49,I25:I31,0),MATCH(E49,I25:I31,1)+1)</f>
        <v>4</v>
      </c>
    </row>
    <row r="57" spans="1:18" x14ac:dyDescent="0.25">
      <c r="A57" s="1">
        <v>11.120000000000001</v>
      </c>
    </row>
    <row r="58" spans="1:18" x14ac:dyDescent="0.25">
      <c r="A58" s="1">
        <v>11.45</v>
      </c>
    </row>
    <row r="59" spans="1:18" x14ac:dyDescent="0.25">
      <c r="A59" s="1">
        <v>11.56</v>
      </c>
      <c r="D59" s="40" t="s">
        <v>76</v>
      </c>
      <c r="E59" s="41">
        <f>SUMPRODUCT(F25:F31,L25:L31)/(F33-1)</f>
        <v>19.324941176470588</v>
      </c>
    </row>
    <row r="60" spans="1:18" x14ac:dyDescent="0.25">
      <c r="A60" s="1">
        <v>11.78</v>
      </c>
      <c r="D60" s="40" t="s">
        <v>77</v>
      </c>
      <c r="E60" s="41">
        <f>SQRT(E59)</f>
        <v>4.3960142375190951</v>
      </c>
    </row>
    <row r="61" spans="1:18" x14ac:dyDescent="0.25">
      <c r="A61" s="1">
        <v>12.1</v>
      </c>
    </row>
    <row r="62" spans="1:18" x14ac:dyDescent="0.25">
      <c r="A62" s="1">
        <v>12.18</v>
      </c>
      <c r="D62" t="s">
        <v>3</v>
      </c>
    </row>
    <row r="63" spans="1:18" x14ac:dyDescent="0.25">
      <c r="A63" s="1">
        <v>12.290000000000001</v>
      </c>
    </row>
    <row r="64" spans="1:18" ht="16.5" thickBot="1" x14ac:dyDescent="0.3">
      <c r="A64" s="1">
        <v>12.43</v>
      </c>
      <c r="E64" s="63" t="s">
        <v>47</v>
      </c>
      <c r="F64" s="63"/>
      <c r="G64" s="63"/>
      <c r="H64" s="63"/>
      <c r="I64" s="63"/>
      <c r="J64" s="63"/>
      <c r="K64" s="9"/>
      <c r="L64" s="9"/>
      <c r="M64" s="9"/>
      <c r="N64" s="9"/>
      <c r="O64" s="9"/>
      <c r="P64" s="9"/>
      <c r="Q64" s="9"/>
      <c r="R64" s="9"/>
    </row>
    <row r="65" spans="1:18" ht="63" x14ac:dyDescent="0.25">
      <c r="A65" s="1">
        <v>12.56</v>
      </c>
      <c r="D65" s="2"/>
      <c r="E65" s="10" t="s">
        <v>78</v>
      </c>
      <c r="F65" s="11"/>
      <c r="G65" s="12" t="s">
        <v>49</v>
      </c>
      <c r="H65" s="13" t="s">
        <v>50</v>
      </c>
      <c r="I65" s="13" t="s">
        <v>51</v>
      </c>
      <c r="J65" s="14" t="s">
        <v>52</v>
      </c>
      <c r="K65" s="15" t="s">
        <v>53</v>
      </c>
      <c r="L65" s="16"/>
      <c r="M65" s="15" t="s">
        <v>54</v>
      </c>
      <c r="N65" s="15" t="s">
        <v>55</v>
      </c>
      <c r="O65" s="15" t="s">
        <v>56</v>
      </c>
      <c r="P65" s="9"/>
      <c r="Q65" s="9"/>
      <c r="R65" s="9"/>
    </row>
    <row r="66" spans="1:18" x14ac:dyDescent="0.25">
      <c r="A66" s="1">
        <v>13.01</v>
      </c>
      <c r="D66" s="2"/>
      <c r="E66" s="17" t="s">
        <v>57</v>
      </c>
      <c r="F66" s="18" t="s">
        <v>58</v>
      </c>
      <c r="G66" s="18" t="s">
        <v>59</v>
      </c>
      <c r="H66" s="18" t="s">
        <v>60</v>
      </c>
      <c r="I66" s="18" t="s">
        <v>61</v>
      </c>
      <c r="J66" s="19" t="s">
        <v>62</v>
      </c>
      <c r="K66" s="15" t="s">
        <v>63</v>
      </c>
      <c r="L66" s="20" t="s">
        <v>64</v>
      </c>
      <c r="M66" s="16"/>
      <c r="N66" s="16"/>
      <c r="O66" s="16"/>
      <c r="P66" s="9"/>
      <c r="Q66" s="9"/>
      <c r="R66" s="9"/>
    </row>
    <row r="67" spans="1:18" x14ac:dyDescent="0.25">
      <c r="A67" s="1">
        <v>13.14</v>
      </c>
      <c r="D67" s="2">
        <v>1</v>
      </c>
      <c r="E67" s="21" t="str">
        <f t="shared" ref="E67:E74" si="12">"["&amp;$F$11+D66*$G$16&amp;" ; "&amp;$F$11+$G$16*D67&amp;"["</f>
        <v>[5,72 ; 7,42[</v>
      </c>
      <c r="F67" s="18">
        <f t="shared" ref="F67:F74" si="13">($F$11+D66*$G$16+$F$11+$G$16*D67)/2</f>
        <v>6.5699999999999994</v>
      </c>
      <c r="G67" s="18">
        <f>COUNTIFS($A$132:$A$281,"&gt;="&amp;E82,$A$132:$A$281,"&lt;"&amp;F82)</f>
        <v>20</v>
      </c>
      <c r="H67" s="22">
        <f>G67/$G$78</f>
        <v>0.13333333333333333</v>
      </c>
      <c r="I67" s="18">
        <f>G67</f>
        <v>20</v>
      </c>
      <c r="J67" s="23">
        <f>H67</f>
        <v>0.13333333333333333</v>
      </c>
      <c r="K67" s="16">
        <f>(F82-E82)</f>
        <v>1.7000000000000002</v>
      </c>
      <c r="L67" s="24">
        <f>G67/K67</f>
        <v>11.76470588235294</v>
      </c>
      <c r="M67" s="25">
        <f>(F67-$F$90)^2</f>
        <v>32.368513777777792</v>
      </c>
      <c r="N67" s="25">
        <f>(F67-$F$90)^3</f>
        <v>-184.1552643863705</v>
      </c>
      <c r="O67" s="25">
        <f>(F67-$F$90)^4</f>
        <v>1047.7206841821908</v>
      </c>
      <c r="P67" s="9"/>
      <c r="Q67" s="9"/>
      <c r="R67" s="9"/>
    </row>
    <row r="68" spans="1:18" x14ac:dyDescent="0.25">
      <c r="A68" s="1">
        <v>13.48</v>
      </c>
      <c r="D68" s="2">
        <v>2</v>
      </c>
      <c r="E68" s="21" t="str">
        <f t="shared" si="12"/>
        <v>[7,42 ; 9,12[</v>
      </c>
      <c r="F68" s="18">
        <f t="shared" si="13"/>
        <v>8.27</v>
      </c>
      <c r="G68" s="18">
        <f t="shared" ref="G68:G74" si="14">COUNTIFS($A$132:$A$281,"&gt;="&amp;E83,$A$132:$A$281,"&lt;"&amp;F83)</f>
        <v>24</v>
      </c>
      <c r="H68" s="22">
        <f t="shared" ref="H68:H74" si="15">G68/$G$78</f>
        <v>0.16</v>
      </c>
      <c r="I68" s="18">
        <f>G68+I67</f>
        <v>44</v>
      </c>
      <c r="J68" s="23">
        <f>H68+J67</f>
        <v>0.29333333333333333</v>
      </c>
      <c r="K68" s="16">
        <f t="shared" ref="K68:K74" si="16">(F83-E83)</f>
        <v>1.6999999999999993</v>
      </c>
      <c r="L68" s="24">
        <f t="shared" ref="L68:L74" si="17">G68/K68</f>
        <v>14.117647058823536</v>
      </c>
      <c r="M68" s="25">
        <f t="shared" ref="M68:M74" si="18">(F68-$F$90)^2</f>
        <v>15.914780444444453</v>
      </c>
      <c r="N68" s="25">
        <f t="shared" ref="N68:N74" si="19">(F68-$F$90)^3</f>
        <v>-63.489364119703758</v>
      </c>
      <c r="O68" s="25">
        <f t="shared" ref="O68:O74" si="20">(F68-$F$90)^4</f>
        <v>253.28023659487158</v>
      </c>
      <c r="P68" s="9"/>
      <c r="Q68" s="9"/>
      <c r="R68" s="9"/>
    </row>
    <row r="69" spans="1:18" x14ac:dyDescent="0.25">
      <c r="A69" s="1">
        <v>13.48</v>
      </c>
      <c r="D69" s="2">
        <v>3</v>
      </c>
      <c r="E69" s="21" t="str">
        <f t="shared" si="12"/>
        <v>[9,12 ; 10,82[</v>
      </c>
      <c r="F69" s="18">
        <f t="shared" si="13"/>
        <v>9.9699999999999989</v>
      </c>
      <c r="G69" s="18">
        <f t="shared" si="14"/>
        <v>15</v>
      </c>
      <c r="H69" s="22">
        <f t="shared" si="15"/>
        <v>0.1</v>
      </c>
      <c r="I69" s="18">
        <f t="shared" ref="I69:J72" si="21">G69+I68</f>
        <v>59</v>
      </c>
      <c r="J69" s="23">
        <f t="shared" si="21"/>
        <v>0.39333333333333331</v>
      </c>
      <c r="K69" s="16">
        <f t="shared" si="16"/>
        <v>1.7000000000000011</v>
      </c>
      <c r="L69" s="24">
        <f t="shared" si="17"/>
        <v>8.8235294117647012</v>
      </c>
      <c r="M69" s="25">
        <f t="shared" si="18"/>
        <v>5.2410471111111194</v>
      </c>
      <c r="N69" s="25">
        <f t="shared" si="19"/>
        <v>-11.998503853037066</v>
      </c>
      <c r="O69" s="25">
        <f t="shared" si="20"/>
        <v>27.468574820886211</v>
      </c>
      <c r="P69" s="9"/>
      <c r="Q69" s="9"/>
      <c r="R69" s="9"/>
    </row>
    <row r="70" spans="1:18" x14ac:dyDescent="0.25">
      <c r="A70" s="1">
        <v>13.629999999999999</v>
      </c>
      <c r="D70" s="2">
        <v>4</v>
      </c>
      <c r="E70" s="21" t="str">
        <f t="shared" si="12"/>
        <v>[10,82 ; 12,52[</v>
      </c>
      <c r="F70" s="18">
        <f t="shared" si="13"/>
        <v>11.67</v>
      </c>
      <c r="G70" s="18">
        <f t="shared" si="14"/>
        <v>17</v>
      </c>
      <c r="H70" s="22">
        <f t="shared" si="15"/>
        <v>0.11333333333333333</v>
      </c>
      <c r="I70" s="18">
        <f t="shared" si="21"/>
        <v>76</v>
      </c>
      <c r="J70" s="23">
        <f t="shared" si="21"/>
        <v>0.5066666666666666</v>
      </c>
      <c r="K70" s="16">
        <f t="shared" si="16"/>
        <v>1.6999999999999993</v>
      </c>
      <c r="L70" s="24">
        <f t="shared" si="17"/>
        <v>10.000000000000004</v>
      </c>
      <c r="M70" s="25">
        <f t="shared" si="18"/>
        <v>0.34731377777777872</v>
      </c>
      <c r="N70" s="25">
        <f t="shared" si="19"/>
        <v>-0.20468358637037121</v>
      </c>
      <c r="O70" s="25">
        <f t="shared" si="20"/>
        <v>0.12062686023427226</v>
      </c>
      <c r="P70" s="9"/>
      <c r="Q70" s="9"/>
      <c r="R70" s="9"/>
    </row>
    <row r="71" spans="1:18" x14ac:dyDescent="0.25">
      <c r="A71" s="1">
        <v>13.73</v>
      </c>
      <c r="D71" s="2">
        <v>5</v>
      </c>
      <c r="E71" s="21" t="str">
        <f t="shared" si="12"/>
        <v>[12,52 ; 14,22[</v>
      </c>
      <c r="F71" s="18">
        <f t="shared" si="13"/>
        <v>13.37</v>
      </c>
      <c r="G71" s="18">
        <f t="shared" si="14"/>
        <v>23</v>
      </c>
      <c r="H71" s="22">
        <f t="shared" si="15"/>
        <v>0.15333333333333332</v>
      </c>
      <c r="I71" s="18">
        <f t="shared" si="21"/>
        <v>99</v>
      </c>
      <c r="J71" s="23">
        <f t="shared" si="21"/>
        <v>0.65999999999999992</v>
      </c>
      <c r="K71" s="16">
        <f t="shared" si="16"/>
        <v>1.6999999999999993</v>
      </c>
      <c r="L71" s="24">
        <f t="shared" si="17"/>
        <v>13.529411764705888</v>
      </c>
      <c r="M71" s="25">
        <f t="shared" si="18"/>
        <v>1.2335804444444411</v>
      </c>
      <c r="N71" s="25">
        <f t="shared" si="19"/>
        <v>1.3700966802962908</v>
      </c>
      <c r="O71" s="25">
        <f t="shared" si="20"/>
        <v>1.5217207129157451</v>
      </c>
      <c r="P71" s="9"/>
      <c r="Q71" s="9"/>
      <c r="R71" s="9"/>
    </row>
    <row r="72" spans="1:18" ht="16.5" thickBot="1" x14ac:dyDescent="0.3">
      <c r="A72" s="1">
        <v>13.74</v>
      </c>
      <c r="D72" s="2">
        <v>6</v>
      </c>
      <c r="E72" s="21" t="str">
        <f t="shared" si="12"/>
        <v>[14,22 ; 15,92[</v>
      </c>
      <c r="F72" s="18">
        <f t="shared" si="13"/>
        <v>15.069999999999999</v>
      </c>
      <c r="G72" s="18">
        <f t="shared" si="14"/>
        <v>17</v>
      </c>
      <c r="H72" s="22">
        <f t="shared" si="15"/>
        <v>0.11333333333333333</v>
      </c>
      <c r="I72" s="27">
        <f t="shared" si="21"/>
        <v>116</v>
      </c>
      <c r="J72" s="29">
        <f t="shared" si="21"/>
        <v>0.77333333333333321</v>
      </c>
      <c r="K72" s="16">
        <f t="shared" si="16"/>
        <v>1.6999999999999993</v>
      </c>
      <c r="L72" s="24">
        <f t="shared" si="17"/>
        <v>10.000000000000004</v>
      </c>
      <c r="M72" s="25">
        <f t="shared" si="18"/>
        <v>7.8998471111110984</v>
      </c>
      <c r="N72" s="25">
        <f t="shared" si="19"/>
        <v>22.203836946962909</v>
      </c>
      <c r="O72" s="25">
        <f t="shared" si="20"/>
        <v>62.407584378930366</v>
      </c>
      <c r="P72" s="9"/>
      <c r="Q72" s="9"/>
      <c r="R72" s="9"/>
    </row>
    <row r="73" spans="1:18" x14ac:dyDescent="0.25">
      <c r="A73" s="1">
        <v>13.81</v>
      </c>
      <c r="D73" s="2">
        <v>7</v>
      </c>
      <c r="E73" s="21" t="str">
        <f t="shared" si="12"/>
        <v>[15,92 ; 17,62[</v>
      </c>
      <c r="F73" s="18">
        <f t="shared" si="13"/>
        <v>16.77</v>
      </c>
      <c r="G73" s="18">
        <f t="shared" si="14"/>
        <v>18</v>
      </c>
      <c r="H73" s="22">
        <f t="shared" si="15"/>
        <v>0.12</v>
      </c>
      <c r="I73" s="18">
        <f t="shared" ref="I73:I74" si="22">G73+I72</f>
        <v>134</v>
      </c>
      <c r="J73" s="23">
        <f t="shared" ref="J73:J74" si="23">H73+J72</f>
        <v>0.8933333333333332</v>
      </c>
      <c r="K73" s="16">
        <f t="shared" si="16"/>
        <v>1.7000000000000028</v>
      </c>
      <c r="L73" s="24">
        <f t="shared" si="17"/>
        <v>10.588235294117629</v>
      </c>
      <c r="M73" s="25">
        <f t="shared" si="18"/>
        <v>20.346113777777767</v>
      </c>
      <c r="N73" s="25">
        <f t="shared" si="19"/>
        <v>91.774537213629557</v>
      </c>
      <c r="O73" s="25">
        <f t="shared" si="20"/>
        <v>413.96434585827825</v>
      </c>
      <c r="Q73" s="9"/>
      <c r="R73" s="9"/>
    </row>
    <row r="74" spans="1:18" ht="16.5" thickBot="1" x14ac:dyDescent="0.3">
      <c r="A74" s="1">
        <v>13.9</v>
      </c>
      <c r="D74" s="2">
        <v>8</v>
      </c>
      <c r="E74" s="21" t="str">
        <f t="shared" si="12"/>
        <v>[17,62 ; 19,32[</v>
      </c>
      <c r="F74" s="18">
        <f t="shared" si="13"/>
        <v>18.47</v>
      </c>
      <c r="G74" s="18">
        <f t="shared" si="14"/>
        <v>16</v>
      </c>
      <c r="H74" s="22">
        <f t="shared" si="15"/>
        <v>0.10666666666666667</v>
      </c>
      <c r="I74" s="27">
        <f t="shared" si="22"/>
        <v>150</v>
      </c>
      <c r="J74" s="29">
        <f t="shared" si="23"/>
        <v>0.99999999999999989</v>
      </c>
      <c r="K74" s="16">
        <f t="shared" si="16"/>
        <v>1.6999999999999993</v>
      </c>
      <c r="L74" s="24">
        <f t="shared" si="17"/>
        <v>9.4117647058823568</v>
      </c>
      <c r="M74" s="25">
        <f t="shared" si="18"/>
        <v>38.57238044444442</v>
      </c>
      <c r="N74" s="25">
        <f t="shared" si="19"/>
        <v>239.56019748029607</v>
      </c>
      <c r="O74" s="25">
        <f t="shared" si="20"/>
        <v>1487.8285331509583</v>
      </c>
      <c r="Q74" s="9"/>
      <c r="R74" s="9"/>
    </row>
    <row r="75" spans="1:18" x14ac:dyDescent="0.25">
      <c r="A75" s="1">
        <v>13.96</v>
      </c>
    </row>
    <row r="76" spans="1:18" x14ac:dyDescent="0.25">
      <c r="A76" s="1">
        <v>14.03</v>
      </c>
    </row>
    <row r="77" spans="1:18" x14ac:dyDescent="0.25">
      <c r="A77" s="1">
        <v>14.129999999999999</v>
      </c>
      <c r="O77" s="42"/>
      <c r="P77" s="42"/>
    </row>
    <row r="78" spans="1:18" x14ac:dyDescent="0.25">
      <c r="A78" s="1">
        <v>14.27</v>
      </c>
      <c r="F78" t="s">
        <v>65</v>
      </c>
      <c r="G78" s="33">
        <f>SUM(G67:G74)</f>
        <v>150</v>
      </c>
      <c r="O78" s="1"/>
    </row>
    <row r="79" spans="1:18" x14ac:dyDescent="0.25">
      <c r="A79" s="1">
        <v>14.56</v>
      </c>
      <c r="O79" s="1"/>
    </row>
    <row r="80" spans="1:18" x14ac:dyDescent="0.25">
      <c r="A80" s="1">
        <v>14.64</v>
      </c>
      <c r="E80" s="2" t="s">
        <v>66</v>
      </c>
      <c r="F80" s="2"/>
    </row>
    <row r="81" spans="1:18" x14ac:dyDescent="0.25">
      <c r="A81" s="1">
        <v>14.68</v>
      </c>
      <c r="E81" s="2" t="s">
        <v>67</v>
      </c>
      <c r="F81" s="2" t="s">
        <v>68</v>
      </c>
      <c r="K81" s="1"/>
    </row>
    <row r="82" spans="1:18" x14ac:dyDescent="0.25">
      <c r="A82" s="1">
        <v>14.76</v>
      </c>
      <c r="E82" s="2">
        <f>$F$11+D66*$G$16</f>
        <v>5.72</v>
      </c>
      <c r="F82" s="2">
        <f>$F$11+$G$16*D67</f>
        <v>7.42</v>
      </c>
      <c r="K82" s="1"/>
    </row>
    <row r="83" spans="1:18" x14ac:dyDescent="0.25">
      <c r="A83" s="1">
        <v>14.85</v>
      </c>
      <c r="E83" s="2">
        <f t="shared" ref="E83:E89" si="24">$F$11+D67*$G$16</f>
        <v>7.42</v>
      </c>
      <c r="F83" s="2">
        <f t="shared" ref="F83:F89" si="25">$F$11+$G$16*D68</f>
        <v>9.1199999999999992</v>
      </c>
      <c r="K83" s="1"/>
    </row>
    <row r="84" spans="1:18" x14ac:dyDescent="0.25">
      <c r="A84" s="1">
        <v>14.97</v>
      </c>
      <c r="E84" s="2">
        <f t="shared" si="24"/>
        <v>9.1199999999999992</v>
      </c>
      <c r="F84" s="2">
        <f t="shared" si="25"/>
        <v>10.82</v>
      </c>
      <c r="K84" s="1"/>
    </row>
    <row r="85" spans="1:18" x14ac:dyDescent="0.25">
      <c r="A85" s="1">
        <v>14.99</v>
      </c>
      <c r="E85" s="2">
        <f t="shared" si="24"/>
        <v>10.82</v>
      </c>
      <c r="F85" s="2">
        <f t="shared" si="25"/>
        <v>12.52</v>
      </c>
      <c r="K85" s="1"/>
      <c r="Q85" s="43"/>
      <c r="R85" s="43"/>
    </row>
    <row r="86" spans="1:18" x14ac:dyDescent="0.25">
      <c r="A86" s="1">
        <v>15.1</v>
      </c>
      <c r="E86" s="2">
        <f t="shared" si="24"/>
        <v>12.52</v>
      </c>
      <c r="F86" s="2">
        <f t="shared" si="25"/>
        <v>14.219999999999999</v>
      </c>
      <c r="K86" s="1"/>
      <c r="Q86" s="43"/>
      <c r="R86" s="44"/>
    </row>
    <row r="87" spans="1:18" x14ac:dyDescent="0.25">
      <c r="A87" s="1">
        <v>15.26</v>
      </c>
      <c r="E87" s="2">
        <f t="shared" si="24"/>
        <v>14.219999999999999</v>
      </c>
      <c r="F87" s="2">
        <f t="shared" si="25"/>
        <v>15.919999999999998</v>
      </c>
      <c r="K87" s="1"/>
      <c r="Q87" s="43"/>
      <c r="R87" s="44"/>
    </row>
    <row r="88" spans="1:18" x14ac:dyDescent="0.25">
      <c r="A88" s="1">
        <v>15.31</v>
      </c>
      <c r="E88" s="2">
        <f t="shared" si="24"/>
        <v>15.919999999999998</v>
      </c>
      <c r="F88" s="2">
        <f t="shared" si="25"/>
        <v>17.62</v>
      </c>
      <c r="Q88" s="43"/>
      <c r="R88" s="44"/>
    </row>
    <row r="89" spans="1:18" x14ac:dyDescent="0.25">
      <c r="A89" s="1">
        <v>15.370000000000001</v>
      </c>
      <c r="E89" s="2">
        <f t="shared" si="24"/>
        <v>17.62</v>
      </c>
      <c r="F89" s="2">
        <f t="shared" si="25"/>
        <v>19.32</v>
      </c>
      <c r="Q89" s="43"/>
      <c r="R89" s="44"/>
    </row>
    <row r="90" spans="1:18" x14ac:dyDescent="0.25">
      <c r="A90" s="1">
        <v>15.59</v>
      </c>
      <c r="D90" s="2"/>
      <c r="E90" s="34" t="s">
        <v>69</v>
      </c>
      <c r="F90" s="46">
        <f>SUMPRODUCT(F67:F74,G67:G74)/G78</f>
        <v>12.259333333333334</v>
      </c>
      <c r="Q90" s="43"/>
      <c r="R90" s="44"/>
    </row>
    <row r="91" spans="1:18" x14ac:dyDescent="0.25">
      <c r="A91" s="1">
        <v>15.97</v>
      </c>
      <c r="D91" s="2"/>
      <c r="E91" s="35"/>
      <c r="F91" s="18"/>
      <c r="Q91" s="43"/>
      <c r="R91" s="44"/>
    </row>
    <row r="92" spans="1:18" x14ac:dyDescent="0.25">
      <c r="A92" s="1">
        <v>16.03</v>
      </c>
      <c r="D92" s="2"/>
      <c r="E92" s="36" t="s">
        <v>70</v>
      </c>
      <c r="F92" s="37" cm="1">
        <f t="array" ref="F92">INDEX(E82:E89,F100,1)</f>
        <v>10.82</v>
      </c>
      <c r="Q92" s="43"/>
      <c r="R92" s="44"/>
    </row>
    <row r="93" spans="1:18" x14ac:dyDescent="0.25">
      <c r="A93" s="1">
        <v>16.45</v>
      </c>
      <c r="D93" s="2"/>
      <c r="E93" s="36" t="s">
        <v>71</v>
      </c>
      <c r="F93" s="37">
        <v>0.5</v>
      </c>
    </row>
    <row r="94" spans="1:18" x14ac:dyDescent="0.25">
      <c r="A94" s="1">
        <v>16.5</v>
      </c>
      <c r="D94" s="2"/>
      <c r="E94" s="36" t="s">
        <v>72</v>
      </c>
      <c r="F94" s="47" cm="1">
        <f t="array" ref="F94">IF(F93=J63, 0,INDEX(J67:J74,-1 + F100,1))</f>
        <v>0.39333333333333331</v>
      </c>
    </row>
    <row r="95" spans="1:18" x14ac:dyDescent="0.25">
      <c r="A95" s="1">
        <v>16.72</v>
      </c>
      <c r="D95" s="2"/>
      <c r="E95" s="36" t="s">
        <v>73</v>
      </c>
      <c r="F95" s="47" cm="1">
        <f t="array" ref="F95">INDEX(H67:H74,F100,1)</f>
        <v>0.11333333333333333</v>
      </c>
    </row>
    <row r="96" spans="1:18" x14ac:dyDescent="0.25">
      <c r="A96" s="1">
        <v>16.760000000000002</v>
      </c>
      <c r="D96" s="2"/>
      <c r="E96" s="36" t="s">
        <v>74</v>
      </c>
      <c r="F96" s="37">
        <f>G16</f>
        <v>1.7</v>
      </c>
    </row>
    <row r="97" spans="1:9" x14ac:dyDescent="0.25">
      <c r="A97" s="1">
        <v>16.97</v>
      </c>
      <c r="D97" s="2"/>
      <c r="E97" s="35"/>
      <c r="F97" s="35"/>
    </row>
    <row r="98" spans="1:9" x14ac:dyDescent="0.25">
      <c r="A98" s="1">
        <v>17</v>
      </c>
      <c r="D98" s="2"/>
      <c r="E98" s="38" t="str">
        <f>IF(F93=0.5,"Mediana","Quantil "&amp;F93*100&amp;"%")</f>
        <v>Mediana</v>
      </c>
      <c r="F98" s="39">
        <f>F92+(F93-F94)*F96/F95</f>
        <v>12.420000000000002</v>
      </c>
    </row>
    <row r="99" spans="1:9" x14ac:dyDescent="0.25">
      <c r="A99" s="1">
        <v>17.29</v>
      </c>
      <c r="D99" s="2"/>
      <c r="E99" s="35"/>
      <c r="F99" s="35"/>
    </row>
    <row r="100" spans="1:9" x14ac:dyDescent="0.25">
      <c r="A100" s="1">
        <v>17.41</v>
      </c>
      <c r="D100" s="2"/>
      <c r="E100" s="34" t="s">
        <v>75</v>
      </c>
      <c r="F100" s="35">
        <f>IFERROR(MATCH(F93,J67:J74,0),MATCH(F93,J67:J74,1)+1)</f>
        <v>4</v>
      </c>
    </row>
    <row r="101" spans="1:9" x14ac:dyDescent="0.25">
      <c r="A101" s="1">
        <v>17.66</v>
      </c>
    </row>
    <row r="102" spans="1:9" x14ac:dyDescent="0.25">
      <c r="A102" s="1">
        <v>17.84</v>
      </c>
    </row>
    <row r="103" spans="1:9" x14ac:dyDescent="0.25">
      <c r="A103" s="1">
        <v>17.97</v>
      </c>
    </row>
    <row r="104" spans="1:9" x14ac:dyDescent="0.25">
      <c r="A104" s="1">
        <v>18.03</v>
      </c>
      <c r="E104" s="40" t="s">
        <v>76</v>
      </c>
      <c r="F104" s="41">
        <f>SUMPRODUCT(G67:G74,M67:M74)/(G78-1)</f>
        <v>15.167133780760624</v>
      </c>
    </row>
    <row r="105" spans="1:9" x14ac:dyDescent="0.25">
      <c r="A105" s="1">
        <v>18.079999999999998</v>
      </c>
      <c r="E105" s="40" t="s">
        <v>77</v>
      </c>
      <c r="F105" s="41">
        <f>SQRT(F104)</f>
        <v>3.8945004533008625</v>
      </c>
    </row>
    <row r="106" spans="1:9" x14ac:dyDescent="0.25">
      <c r="A106" s="1">
        <v>18.09</v>
      </c>
    </row>
    <row r="107" spans="1:9" x14ac:dyDescent="0.25">
      <c r="A107" s="1">
        <v>18.12</v>
      </c>
      <c r="D107" t="s">
        <v>9</v>
      </c>
    </row>
    <row r="108" spans="1:9" x14ac:dyDescent="0.25">
      <c r="A108" s="1">
        <v>18.18</v>
      </c>
      <c r="D108" t="s">
        <v>2</v>
      </c>
      <c r="I108" t="s">
        <v>3</v>
      </c>
    </row>
    <row r="109" spans="1:9" x14ac:dyDescent="0.25">
      <c r="A109" s="1">
        <v>18.18</v>
      </c>
    </row>
    <row r="110" spans="1:9" x14ac:dyDescent="0.25">
      <c r="A110" s="1">
        <v>18.39</v>
      </c>
    </row>
    <row r="111" spans="1:9" x14ac:dyDescent="0.25">
      <c r="A111" s="1">
        <v>18.579999999999998</v>
      </c>
    </row>
    <row r="112" spans="1:9" x14ac:dyDescent="0.25">
      <c r="A112" s="1">
        <v>18.86</v>
      </c>
    </row>
    <row r="113" spans="1:8" x14ac:dyDescent="0.25">
      <c r="A113" s="1">
        <v>18.88</v>
      </c>
    </row>
    <row r="114" spans="1:8" x14ac:dyDescent="0.25">
      <c r="A114" s="1">
        <v>18.899999999999999</v>
      </c>
    </row>
    <row r="115" spans="1:8" x14ac:dyDescent="0.25">
      <c r="A115" s="1">
        <v>18.899999999999999</v>
      </c>
    </row>
    <row r="116" spans="1:8" x14ac:dyDescent="0.25">
      <c r="A116" s="1">
        <v>19.03</v>
      </c>
    </row>
    <row r="117" spans="1:8" x14ac:dyDescent="0.25">
      <c r="A117" s="1">
        <v>19.079999999999998</v>
      </c>
    </row>
    <row r="118" spans="1:8" x14ac:dyDescent="0.25">
      <c r="A118" s="1">
        <v>19.18</v>
      </c>
    </row>
    <row r="119" spans="1:8" x14ac:dyDescent="0.25">
      <c r="A119" s="1">
        <v>19.309999999999999</v>
      </c>
    </row>
    <row r="120" spans="1:8" x14ac:dyDescent="0.25">
      <c r="A120" s="1">
        <v>19.36</v>
      </c>
    </row>
    <row r="121" spans="1:8" x14ac:dyDescent="0.25">
      <c r="A121" s="1">
        <v>19.45</v>
      </c>
    </row>
    <row r="122" spans="1:8" x14ac:dyDescent="0.25">
      <c r="A122" s="1">
        <v>19.490000000000002</v>
      </c>
    </row>
    <row r="123" spans="1:8" x14ac:dyDescent="0.25">
      <c r="A123" s="1">
        <v>19.690000000000001</v>
      </c>
    </row>
    <row r="124" spans="1:8" x14ac:dyDescent="0.25">
      <c r="A124" s="1">
        <v>19.7</v>
      </c>
      <c r="D124" t="s">
        <v>18</v>
      </c>
    </row>
    <row r="125" spans="1:8" x14ac:dyDescent="0.25">
      <c r="A125" s="1">
        <v>19.75</v>
      </c>
      <c r="D125" t="s">
        <v>2</v>
      </c>
      <c r="G125" t="s">
        <v>3</v>
      </c>
    </row>
    <row r="126" spans="1:8" x14ac:dyDescent="0.25">
      <c r="A126" s="1">
        <v>19.8</v>
      </c>
      <c r="D126" s="34" t="s">
        <v>69</v>
      </c>
      <c r="E126" s="46">
        <f>E46</f>
        <v>13.07</v>
      </c>
      <c r="G126" s="34" t="s">
        <v>69</v>
      </c>
      <c r="H126" s="46">
        <f>F90</f>
        <v>12.259333333333334</v>
      </c>
    </row>
    <row r="127" spans="1:8" x14ac:dyDescent="0.25">
      <c r="A127" s="1">
        <v>19.899999999999999</v>
      </c>
      <c r="D127" s="38" t="s">
        <v>79</v>
      </c>
      <c r="E127" s="45">
        <f>E54</f>
        <v>13.078750000000001</v>
      </c>
      <c r="G127" s="38" t="s">
        <v>79</v>
      </c>
      <c r="H127" s="45">
        <f>F98</f>
        <v>12.420000000000002</v>
      </c>
    </row>
    <row r="128" spans="1:8" x14ac:dyDescent="0.25">
      <c r="A128" s="1">
        <v>20.079999999999998</v>
      </c>
    </row>
    <row r="130" spans="1:8" x14ac:dyDescent="0.25">
      <c r="A130" t="s">
        <v>80</v>
      </c>
      <c r="D130" t="s">
        <v>30</v>
      </c>
    </row>
    <row r="131" spans="1:8" x14ac:dyDescent="0.25">
      <c r="D131" t="s">
        <v>151</v>
      </c>
      <c r="G131" t="s">
        <v>153</v>
      </c>
    </row>
    <row r="132" spans="1:8" x14ac:dyDescent="0.25">
      <c r="A132" s="1">
        <v>5.72</v>
      </c>
      <c r="D132" t="s">
        <v>155</v>
      </c>
      <c r="E132" s="5">
        <f>7.96+((0.2-0.1667)/0.3333)</f>
        <v>8.0599099909991008</v>
      </c>
      <c r="G132" t="s">
        <v>156</v>
      </c>
      <c r="H132" s="5">
        <f>7.42+((0.2-0.1333)/0.2933)</f>
        <v>7.6474122059324925</v>
      </c>
    </row>
    <row r="133" spans="1:8" x14ac:dyDescent="0.25">
      <c r="A133" s="1">
        <v>5.77</v>
      </c>
    </row>
    <row r="134" spans="1:8" x14ac:dyDescent="0.25">
      <c r="A134" s="1">
        <v>5.87</v>
      </c>
      <c r="D134" t="s">
        <v>152</v>
      </c>
      <c r="G134" t="s">
        <v>154</v>
      </c>
    </row>
    <row r="135" spans="1:8" x14ac:dyDescent="0.25">
      <c r="A135" s="1">
        <v>6.04</v>
      </c>
      <c r="D135" t="s">
        <v>156</v>
      </c>
      <c r="E135" s="5">
        <f>12.16+((0.45-0.4417)/0.575)</f>
        <v>12.174434782608696</v>
      </c>
      <c r="G135" t="s">
        <v>156</v>
      </c>
      <c r="H135" s="5">
        <f>10.82+((0.45-0.3933)/0.5067)</f>
        <v>10.931900532859681</v>
      </c>
    </row>
    <row r="136" spans="1:8" x14ac:dyDescent="0.25">
      <c r="A136" s="1">
        <v>6.0600000000000005</v>
      </c>
    </row>
    <row r="137" spans="1:8" x14ac:dyDescent="0.25">
      <c r="A137" s="1">
        <v>6.07</v>
      </c>
      <c r="D137" t="s">
        <v>81</v>
      </c>
    </row>
    <row r="138" spans="1:8" x14ac:dyDescent="0.25">
      <c r="A138" s="1">
        <v>6.3000000000000007</v>
      </c>
      <c r="D138" t="s">
        <v>2</v>
      </c>
      <c r="G138" t="s">
        <v>3</v>
      </c>
    </row>
    <row r="139" spans="1:8" x14ac:dyDescent="0.25">
      <c r="A139" s="1">
        <v>6.3000000000000007</v>
      </c>
      <c r="D139" s="40" t="s">
        <v>76</v>
      </c>
      <c r="E139" s="41">
        <f>E59</f>
        <v>19.324941176470588</v>
      </c>
      <c r="G139" s="40" t="s">
        <v>76</v>
      </c>
      <c r="H139" s="41">
        <f>SUMPRODUCT(G67:G74,M67:M74)/(G78-1)</f>
        <v>15.167133780760624</v>
      </c>
    </row>
    <row r="140" spans="1:8" x14ac:dyDescent="0.25">
      <c r="A140" s="1">
        <v>6.4399999999999995</v>
      </c>
      <c r="D140" s="40" t="s">
        <v>77</v>
      </c>
      <c r="E140" s="41">
        <f>SQRT(E139)</f>
        <v>4.3960142375190951</v>
      </c>
      <c r="G140" s="40" t="s">
        <v>77</v>
      </c>
      <c r="H140" s="41">
        <f>SQRT(H139)</f>
        <v>3.8945004533008625</v>
      </c>
    </row>
    <row r="141" spans="1:8" x14ac:dyDescent="0.25">
      <c r="A141" s="1">
        <v>6.5600000000000005</v>
      </c>
    </row>
    <row r="142" spans="1:8" x14ac:dyDescent="0.25">
      <c r="A142" s="1">
        <v>6.65</v>
      </c>
      <c r="D142" t="s">
        <v>82</v>
      </c>
    </row>
    <row r="143" spans="1:8" x14ac:dyDescent="0.25">
      <c r="A143" s="1">
        <v>6.75</v>
      </c>
      <c r="D143" t="s">
        <v>22</v>
      </c>
    </row>
    <row r="144" spans="1:8" x14ac:dyDescent="0.25">
      <c r="A144" s="1">
        <v>6.79</v>
      </c>
      <c r="D144" t="s">
        <v>2</v>
      </c>
    </row>
    <row r="145" spans="1:6" x14ac:dyDescent="0.25">
      <c r="A145" s="1">
        <v>6.86</v>
      </c>
      <c r="D145" s="48" t="s">
        <v>83</v>
      </c>
      <c r="E145" s="24">
        <f>(SUMPRODUCT(F25:F31,M25:M31)/F33)/(E60^3)</f>
        <v>3.3002852808331443E-2</v>
      </c>
      <c r="F145" t="s">
        <v>84</v>
      </c>
    </row>
    <row r="146" spans="1:6" x14ac:dyDescent="0.25">
      <c r="A146" s="1">
        <v>6.88</v>
      </c>
      <c r="D146" s="48" t="s">
        <v>85</v>
      </c>
      <c r="E146" s="24">
        <f>(SUMPRODUCT(F25:F31,N25:N31)/F33)/(E60^4)</f>
        <v>1.6099325277089669</v>
      </c>
      <c r="F146" t="s">
        <v>86</v>
      </c>
    </row>
    <row r="147" spans="1:6" x14ac:dyDescent="0.25">
      <c r="A147" s="1">
        <v>7.15</v>
      </c>
    </row>
    <row r="148" spans="1:6" x14ac:dyDescent="0.25">
      <c r="A148" s="1">
        <v>7.26</v>
      </c>
      <c r="D148" t="s">
        <v>3</v>
      </c>
    </row>
    <row r="149" spans="1:6" x14ac:dyDescent="0.25">
      <c r="A149" s="1">
        <v>7.2700000000000005</v>
      </c>
      <c r="D149" s="48" t="s">
        <v>83</v>
      </c>
      <c r="E149" s="24">
        <f>(SUMPRODUCT(G67:G74,N67:N74)/G78)/(F105^3)</f>
        <v>5.6835239135872601E-2</v>
      </c>
      <c r="F149" t="s">
        <v>84</v>
      </c>
    </row>
    <row r="150" spans="1:6" x14ac:dyDescent="0.25">
      <c r="A150" s="1">
        <v>7.35</v>
      </c>
      <c r="D150" s="48" t="s">
        <v>85</v>
      </c>
      <c r="E150" s="24">
        <f>(SUMPRODUCT(G67:G74,O67:O74)/G78)/(F105^4)</f>
        <v>1.7330103677558077</v>
      </c>
      <c r="F150" t="s">
        <v>86</v>
      </c>
    </row>
    <row r="151" spans="1:6" x14ac:dyDescent="0.25">
      <c r="A151" s="1">
        <v>7.37</v>
      </c>
    </row>
    <row r="152" spans="1:6" x14ac:dyDescent="0.25">
      <c r="A152" s="1">
        <v>7.46</v>
      </c>
    </row>
    <row r="153" spans="1:6" x14ac:dyDescent="0.25">
      <c r="A153" s="1">
        <v>7.71</v>
      </c>
    </row>
    <row r="154" spans="1:6" x14ac:dyDescent="0.25">
      <c r="A154" s="1">
        <v>7.73</v>
      </c>
      <c r="D154" t="s">
        <v>25</v>
      </c>
    </row>
    <row r="155" spans="1:6" x14ac:dyDescent="0.25">
      <c r="A155" s="1">
        <v>7.78</v>
      </c>
      <c r="D155" t="s">
        <v>87</v>
      </c>
    </row>
    <row r="156" spans="1:6" x14ac:dyDescent="0.25">
      <c r="A156" s="1">
        <v>7.85</v>
      </c>
      <c r="D156" t="s">
        <v>88</v>
      </c>
    </row>
    <row r="157" spans="1:6" x14ac:dyDescent="0.25">
      <c r="A157" s="1">
        <v>7.86</v>
      </c>
      <c r="D157" t="s">
        <v>89</v>
      </c>
    </row>
    <row r="158" spans="1:6" x14ac:dyDescent="0.25">
      <c r="A158" s="1">
        <v>8</v>
      </c>
    </row>
    <row r="159" spans="1:6" x14ac:dyDescent="0.25">
      <c r="A159" s="1">
        <v>8.1</v>
      </c>
    </row>
    <row r="160" spans="1:6" x14ac:dyDescent="0.25">
      <c r="A160" s="1">
        <v>8.1</v>
      </c>
    </row>
    <row r="161" spans="1:1" x14ac:dyDescent="0.25">
      <c r="A161" s="1">
        <v>8.18</v>
      </c>
    </row>
    <row r="162" spans="1:1" x14ac:dyDescent="0.25">
      <c r="A162" s="1">
        <v>8.2200000000000006</v>
      </c>
    </row>
    <row r="163" spans="1:1" x14ac:dyDescent="0.25">
      <c r="A163" s="1">
        <v>8.26</v>
      </c>
    </row>
    <row r="164" spans="1:1" x14ac:dyDescent="0.25">
      <c r="A164" s="1">
        <v>8.4600000000000009</v>
      </c>
    </row>
    <row r="165" spans="1:1" x14ac:dyDescent="0.25">
      <c r="A165" s="1">
        <v>8.84</v>
      </c>
    </row>
    <row r="166" spans="1:1" x14ac:dyDescent="0.25">
      <c r="A166" s="1">
        <v>8.84</v>
      </c>
    </row>
    <row r="167" spans="1:1" x14ac:dyDescent="0.25">
      <c r="A167" s="1">
        <v>8.85</v>
      </c>
    </row>
    <row r="168" spans="1:1" x14ac:dyDescent="0.25">
      <c r="A168" s="1">
        <v>8.8800000000000008</v>
      </c>
    </row>
    <row r="169" spans="1:1" x14ac:dyDescent="0.25">
      <c r="A169" s="1">
        <v>8.8800000000000008</v>
      </c>
    </row>
    <row r="170" spans="1:1" x14ac:dyDescent="0.25">
      <c r="A170" s="1">
        <v>8.9</v>
      </c>
    </row>
    <row r="171" spans="1:1" x14ac:dyDescent="0.25">
      <c r="A171" s="1">
        <v>8.94</v>
      </c>
    </row>
    <row r="172" spans="1:1" x14ac:dyDescent="0.25">
      <c r="A172" s="1">
        <v>8.9600000000000009</v>
      </c>
    </row>
    <row r="173" spans="1:1" x14ac:dyDescent="0.25">
      <c r="A173" s="1">
        <v>8.9700000000000006</v>
      </c>
    </row>
    <row r="174" spans="1:1" x14ac:dyDescent="0.25">
      <c r="A174" s="1">
        <v>9.0500000000000007</v>
      </c>
    </row>
    <row r="175" spans="1:1" x14ac:dyDescent="0.25">
      <c r="A175" s="1">
        <v>9.06</v>
      </c>
    </row>
    <row r="176" spans="1:1" x14ac:dyDescent="0.25">
      <c r="A176" s="1">
        <v>9.120000000000001</v>
      </c>
    </row>
    <row r="177" spans="1:1" x14ac:dyDescent="0.25">
      <c r="A177" s="1">
        <v>9.14</v>
      </c>
    </row>
    <row r="178" spans="1:1" x14ac:dyDescent="0.25">
      <c r="A178" s="1">
        <v>9.25</v>
      </c>
    </row>
    <row r="179" spans="1:1" x14ac:dyDescent="0.25">
      <c r="A179" s="1">
        <v>9.31</v>
      </c>
    </row>
    <row r="180" spans="1:1" x14ac:dyDescent="0.25">
      <c r="A180" s="1">
        <v>9.67</v>
      </c>
    </row>
    <row r="181" spans="1:1" x14ac:dyDescent="0.25">
      <c r="A181" s="1">
        <v>9.69</v>
      </c>
    </row>
    <row r="182" spans="1:1" x14ac:dyDescent="0.25">
      <c r="A182" s="1">
        <v>9.74</v>
      </c>
    </row>
    <row r="183" spans="1:1" x14ac:dyDescent="0.25">
      <c r="A183" s="1">
        <v>9.77</v>
      </c>
    </row>
    <row r="184" spans="1:1" x14ac:dyDescent="0.25">
      <c r="A184" s="1">
        <v>9.84</v>
      </c>
    </row>
    <row r="185" spans="1:1" x14ac:dyDescent="0.25">
      <c r="A185" s="1">
        <v>9.9700000000000006</v>
      </c>
    </row>
    <row r="186" spans="1:1" x14ac:dyDescent="0.25">
      <c r="A186" s="1">
        <v>10.01</v>
      </c>
    </row>
    <row r="187" spans="1:1" x14ac:dyDescent="0.25">
      <c r="A187" s="1">
        <v>10.1</v>
      </c>
    </row>
    <row r="188" spans="1:1" x14ac:dyDescent="0.25">
      <c r="A188" s="1">
        <v>10.56</v>
      </c>
    </row>
    <row r="189" spans="1:1" x14ac:dyDescent="0.25">
      <c r="A189" s="1">
        <v>10.58</v>
      </c>
    </row>
    <row r="190" spans="1:1" x14ac:dyDescent="0.25">
      <c r="A190" s="1">
        <v>10.78</v>
      </c>
    </row>
    <row r="191" spans="1:1" x14ac:dyDescent="0.25">
      <c r="A191" s="1">
        <v>10.83</v>
      </c>
    </row>
    <row r="192" spans="1:1" x14ac:dyDescent="0.25">
      <c r="A192" s="1">
        <v>10.870000000000001</v>
      </c>
    </row>
    <row r="193" spans="1:1" x14ac:dyDescent="0.25">
      <c r="A193" s="1">
        <v>11.06</v>
      </c>
    </row>
    <row r="194" spans="1:1" x14ac:dyDescent="0.25">
      <c r="A194" s="1">
        <v>11.34</v>
      </c>
    </row>
    <row r="195" spans="1:1" x14ac:dyDescent="0.25">
      <c r="A195" s="1">
        <v>11.39</v>
      </c>
    </row>
    <row r="196" spans="1:1" x14ac:dyDescent="0.25">
      <c r="A196" s="1">
        <v>11.61</v>
      </c>
    </row>
    <row r="197" spans="1:1" x14ac:dyDescent="0.25">
      <c r="A197" s="1">
        <v>11.71</v>
      </c>
    </row>
    <row r="198" spans="1:1" x14ac:dyDescent="0.25">
      <c r="A198" s="1">
        <v>11.75</v>
      </c>
    </row>
    <row r="199" spans="1:1" x14ac:dyDescent="0.25">
      <c r="A199" s="1">
        <v>11.76</v>
      </c>
    </row>
    <row r="200" spans="1:1" x14ac:dyDescent="0.25">
      <c r="A200" s="1">
        <v>11.79</v>
      </c>
    </row>
    <row r="201" spans="1:1" x14ac:dyDescent="0.25">
      <c r="A201" s="1">
        <v>11.88</v>
      </c>
    </row>
    <row r="202" spans="1:1" x14ac:dyDescent="0.25">
      <c r="A202" s="1">
        <v>11.9</v>
      </c>
    </row>
    <row r="203" spans="1:1" x14ac:dyDescent="0.25">
      <c r="A203" s="1">
        <v>11.96</v>
      </c>
    </row>
    <row r="204" spans="1:1" x14ac:dyDescent="0.25">
      <c r="A204" s="1">
        <v>12.01</v>
      </c>
    </row>
    <row r="205" spans="1:1" x14ac:dyDescent="0.25">
      <c r="A205" s="1">
        <v>12.07</v>
      </c>
    </row>
    <row r="206" spans="1:1" x14ac:dyDescent="0.25">
      <c r="A206" s="1">
        <v>12.26</v>
      </c>
    </row>
    <row r="207" spans="1:1" x14ac:dyDescent="0.25">
      <c r="A207" s="1">
        <v>12.280000000000001</v>
      </c>
    </row>
    <row r="208" spans="1:1" x14ac:dyDescent="0.25">
      <c r="A208" s="1">
        <v>12.69</v>
      </c>
    </row>
    <row r="209" spans="1:1" x14ac:dyDescent="0.25">
      <c r="A209" s="1">
        <v>12.76</v>
      </c>
    </row>
    <row r="210" spans="1:1" x14ac:dyDescent="0.25">
      <c r="A210" s="1">
        <v>12.76</v>
      </c>
    </row>
    <row r="211" spans="1:1" x14ac:dyDescent="0.25">
      <c r="A211" s="1">
        <v>12.77</v>
      </c>
    </row>
    <row r="212" spans="1:1" x14ac:dyDescent="0.25">
      <c r="A212" s="1">
        <v>12.91</v>
      </c>
    </row>
    <row r="213" spans="1:1" x14ac:dyDescent="0.25">
      <c r="A213" s="1">
        <v>12.93</v>
      </c>
    </row>
    <row r="214" spans="1:1" x14ac:dyDescent="0.25">
      <c r="A214" s="1">
        <v>12.95</v>
      </c>
    </row>
    <row r="215" spans="1:1" x14ac:dyDescent="0.25">
      <c r="A215" s="1">
        <v>13.04</v>
      </c>
    </row>
    <row r="216" spans="1:1" x14ac:dyDescent="0.25">
      <c r="A216" s="1">
        <v>13.06</v>
      </c>
    </row>
    <row r="217" spans="1:1" x14ac:dyDescent="0.25">
      <c r="A217" s="1">
        <v>13.09</v>
      </c>
    </row>
    <row r="218" spans="1:1" x14ac:dyDescent="0.25">
      <c r="A218" s="1">
        <v>13.09</v>
      </c>
    </row>
    <row r="219" spans="1:1" x14ac:dyDescent="0.25">
      <c r="A219" s="1">
        <v>13.11</v>
      </c>
    </row>
    <row r="220" spans="1:1" x14ac:dyDescent="0.25">
      <c r="A220" s="1">
        <v>13.18</v>
      </c>
    </row>
    <row r="221" spans="1:1" x14ac:dyDescent="0.25">
      <c r="A221" s="1">
        <v>13.67</v>
      </c>
    </row>
    <row r="222" spans="1:1" x14ac:dyDescent="0.25">
      <c r="A222" s="1">
        <v>13.71</v>
      </c>
    </row>
    <row r="223" spans="1:1" x14ac:dyDescent="0.25">
      <c r="A223" s="1">
        <v>13.77</v>
      </c>
    </row>
    <row r="224" spans="1:1" x14ac:dyDescent="0.25">
      <c r="A224" s="1">
        <v>13.780000000000001</v>
      </c>
    </row>
    <row r="225" spans="1:1" x14ac:dyDescent="0.25">
      <c r="A225" s="1">
        <v>13.79</v>
      </c>
    </row>
    <row r="226" spans="1:1" x14ac:dyDescent="0.25">
      <c r="A226" s="1">
        <v>13.89</v>
      </c>
    </row>
    <row r="227" spans="1:1" x14ac:dyDescent="0.25">
      <c r="A227" s="1">
        <v>13.96</v>
      </c>
    </row>
    <row r="228" spans="1:1" x14ac:dyDescent="0.25">
      <c r="A228" s="1">
        <v>14.05</v>
      </c>
    </row>
    <row r="229" spans="1:1" x14ac:dyDescent="0.25">
      <c r="A229" s="1">
        <v>14.07</v>
      </c>
    </row>
    <row r="230" spans="1:1" x14ac:dyDescent="0.25">
      <c r="A230" s="1">
        <v>14.18</v>
      </c>
    </row>
    <row r="231" spans="1:1" x14ac:dyDescent="0.25">
      <c r="A231" s="1">
        <v>14.24</v>
      </c>
    </row>
    <row r="232" spans="1:1" x14ac:dyDescent="0.25">
      <c r="A232" s="1">
        <v>14.33</v>
      </c>
    </row>
    <row r="233" spans="1:1" x14ac:dyDescent="0.25">
      <c r="A233" s="1">
        <v>14.36</v>
      </c>
    </row>
    <row r="234" spans="1:1" x14ac:dyDescent="0.25">
      <c r="A234" s="1">
        <v>14.39</v>
      </c>
    </row>
    <row r="235" spans="1:1" x14ac:dyDescent="0.25">
      <c r="A235" s="1">
        <v>14.4</v>
      </c>
    </row>
    <row r="236" spans="1:1" x14ac:dyDescent="0.25">
      <c r="A236" s="1">
        <v>14.41</v>
      </c>
    </row>
    <row r="237" spans="1:1" x14ac:dyDescent="0.25">
      <c r="A237" s="1">
        <v>14.5</v>
      </c>
    </row>
    <row r="238" spans="1:1" x14ac:dyDescent="0.25">
      <c r="A238" s="1">
        <v>14.65</v>
      </c>
    </row>
    <row r="239" spans="1:1" x14ac:dyDescent="0.25">
      <c r="A239" s="1">
        <v>14.78</v>
      </c>
    </row>
    <row r="240" spans="1:1" x14ac:dyDescent="0.25">
      <c r="A240" s="1">
        <v>14.88</v>
      </c>
    </row>
    <row r="241" spans="1:1" x14ac:dyDescent="0.25">
      <c r="A241" s="1">
        <v>14.9</v>
      </c>
    </row>
    <row r="242" spans="1:1" x14ac:dyDescent="0.25">
      <c r="A242" s="1">
        <v>15</v>
      </c>
    </row>
    <row r="243" spans="1:1" x14ac:dyDescent="0.25">
      <c r="A243" s="1">
        <v>15.26</v>
      </c>
    </row>
    <row r="244" spans="1:1" x14ac:dyDescent="0.25">
      <c r="A244" s="1">
        <v>15.36</v>
      </c>
    </row>
    <row r="245" spans="1:1" x14ac:dyDescent="0.25">
      <c r="A245" s="1">
        <v>15.41</v>
      </c>
    </row>
    <row r="246" spans="1:1" x14ac:dyDescent="0.25">
      <c r="A246" s="1">
        <v>15.51</v>
      </c>
    </row>
    <row r="247" spans="1:1" x14ac:dyDescent="0.25">
      <c r="A247" s="1">
        <v>15.57</v>
      </c>
    </row>
    <row r="248" spans="1:1" x14ac:dyDescent="0.25">
      <c r="A248" s="1">
        <v>15.97</v>
      </c>
    </row>
    <row r="249" spans="1:1" x14ac:dyDescent="0.25">
      <c r="A249" s="1">
        <v>16.03</v>
      </c>
    </row>
    <row r="250" spans="1:1" x14ac:dyDescent="0.25">
      <c r="A250" s="1">
        <v>16.22</v>
      </c>
    </row>
    <row r="251" spans="1:1" x14ac:dyDescent="0.25">
      <c r="A251" s="1">
        <v>16.23</v>
      </c>
    </row>
    <row r="252" spans="1:1" x14ac:dyDescent="0.25">
      <c r="A252" s="1">
        <v>16.38</v>
      </c>
    </row>
    <row r="253" spans="1:1" x14ac:dyDescent="0.25">
      <c r="A253" s="1">
        <v>16.47</v>
      </c>
    </row>
    <row r="254" spans="1:1" x14ac:dyDescent="0.25">
      <c r="A254" s="1">
        <v>16.670000000000002</v>
      </c>
    </row>
    <row r="255" spans="1:1" x14ac:dyDescent="0.25">
      <c r="A255" s="1">
        <v>16.72</v>
      </c>
    </row>
    <row r="256" spans="1:1" x14ac:dyDescent="0.25">
      <c r="A256" s="1">
        <v>16.78</v>
      </c>
    </row>
    <row r="257" spans="1:1" x14ac:dyDescent="0.25">
      <c r="A257" s="1">
        <v>16.79</v>
      </c>
    </row>
    <row r="258" spans="1:1" x14ac:dyDescent="0.25">
      <c r="A258" s="1">
        <v>16.809999999999999</v>
      </c>
    </row>
    <row r="259" spans="1:1" x14ac:dyDescent="0.25">
      <c r="A259" s="1">
        <v>16.86</v>
      </c>
    </row>
    <row r="260" spans="1:1" x14ac:dyDescent="0.25">
      <c r="A260" s="1">
        <v>16.87</v>
      </c>
    </row>
    <row r="261" spans="1:1" x14ac:dyDescent="0.25">
      <c r="A261" s="1">
        <v>17.05</v>
      </c>
    </row>
    <row r="262" spans="1:1" x14ac:dyDescent="0.25">
      <c r="A262" s="1">
        <v>17.29</v>
      </c>
    </row>
    <row r="263" spans="1:1" x14ac:dyDescent="0.25">
      <c r="A263" s="1">
        <v>17.37</v>
      </c>
    </row>
    <row r="264" spans="1:1" x14ac:dyDescent="0.25">
      <c r="A264" s="1">
        <v>17.52</v>
      </c>
    </row>
    <row r="265" spans="1:1" x14ac:dyDescent="0.25">
      <c r="A265" s="1">
        <v>17.59</v>
      </c>
    </row>
    <row r="266" spans="1:1" x14ac:dyDescent="0.25">
      <c r="A266" s="1">
        <v>17.670000000000002</v>
      </c>
    </row>
    <row r="267" spans="1:1" x14ac:dyDescent="0.25">
      <c r="A267" s="1">
        <v>17.760000000000002</v>
      </c>
    </row>
    <row r="268" spans="1:1" x14ac:dyDescent="0.25">
      <c r="A268" s="1">
        <v>17.760000000000002</v>
      </c>
    </row>
    <row r="269" spans="1:1" x14ac:dyDescent="0.25">
      <c r="A269" s="1">
        <v>17.78</v>
      </c>
    </row>
    <row r="270" spans="1:1" x14ac:dyDescent="0.25">
      <c r="A270" s="1">
        <v>18.03</v>
      </c>
    </row>
    <row r="271" spans="1:1" x14ac:dyDescent="0.25">
      <c r="A271" s="1">
        <v>18.05</v>
      </c>
    </row>
    <row r="272" spans="1:1" x14ac:dyDescent="0.25">
      <c r="A272" s="1">
        <v>18.079999999999998</v>
      </c>
    </row>
    <row r="273" spans="1:1" x14ac:dyDescent="0.25">
      <c r="A273" s="1">
        <v>18.16</v>
      </c>
    </row>
    <row r="274" spans="1:1" x14ac:dyDescent="0.25">
      <c r="A274" s="1">
        <v>18.68</v>
      </c>
    </row>
    <row r="275" spans="1:1" x14ac:dyDescent="0.25">
      <c r="A275" s="1">
        <v>18.78</v>
      </c>
    </row>
    <row r="276" spans="1:1" x14ac:dyDescent="0.25">
      <c r="A276" s="1">
        <v>18.78</v>
      </c>
    </row>
    <row r="277" spans="1:1" x14ac:dyDescent="0.25">
      <c r="A277" s="1">
        <v>18.78</v>
      </c>
    </row>
    <row r="278" spans="1:1" x14ac:dyDescent="0.25">
      <c r="A278" s="1">
        <v>18.809999999999999</v>
      </c>
    </row>
    <row r="279" spans="1:1" x14ac:dyDescent="0.25">
      <c r="A279" s="1">
        <v>18.88</v>
      </c>
    </row>
    <row r="280" spans="1:1" x14ac:dyDescent="0.25">
      <c r="A280" s="1">
        <v>18.97</v>
      </c>
    </row>
    <row r="281" spans="1:1" x14ac:dyDescent="0.25">
      <c r="A281" s="1">
        <v>19.079999999999998</v>
      </c>
    </row>
  </sheetData>
  <mergeCells count="4">
    <mergeCell ref="D8:D9"/>
    <mergeCell ref="D22:I22"/>
    <mergeCell ref="H9:H10"/>
    <mergeCell ref="E64:J64"/>
  </mergeCells>
  <phoneticPr fontId="4" type="noConversion"/>
  <pageMargins left="0.7" right="0.7" top="0.75" bottom="0.75" header="0.3" footer="0.3"/>
  <pageSetup paperSize="9" orientation="portrait" r:id="rId1"/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125A5-FAE3-374C-9F53-323ACE2E7519}">
  <dimension ref="A1:D14"/>
  <sheetViews>
    <sheetView workbookViewId="0">
      <selection activeCell="B14" sqref="B14"/>
    </sheetView>
  </sheetViews>
  <sheetFormatPr defaultColWidth="11" defaultRowHeight="15.75" x14ac:dyDescent="0.25"/>
  <sheetData>
    <row r="1" spans="1:4" x14ac:dyDescent="0.25">
      <c r="A1" t="s">
        <v>90</v>
      </c>
    </row>
    <row r="3" spans="1:4" x14ac:dyDescent="0.25">
      <c r="A3" t="s">
        <v>91</v>
      </c>
    </row>
    <row r="4" spans="1:4" x14ac:dyDescent="0.25">
      <c r="A4" s="49" t="s">
        <v>92</v>
      </c>
      <c r="B4">
        <v>0.92</v>
      </c>
      <c r="C4" s="49" t="s">
        <v>93</v>
      </c>
      <c r="D4" s="5">
        <f>_xlfn.NORM.S.INV((1+0.92)/2)</f>
        <v>1.7506860712521695</v>
      </c>
    </row>
    <row r="6" spans="1:4" x14ac:dyDescent="0.25">
      <c r="A6" s="49" t="s">
        <v>94</v>
      </c>
      <c r="B6" s="5">
        <f>'Exercício 1'!C46*D4/SQRT('Exercício 1'!B34)</f>
        <v>0.27942093889241365</v>
      </c>
      <c r="C6" s="54" t="s">
        <v>95</v>
      </c>
      <c r="D6" s="54" t="s">
        <v>96</v>
      </c>
    </row>
    <row r="7" spans="1:4" x14ac:dyDescent="0.25">
      <c r="A7" s="49" t="s">
        <v>19</v>
      </c>
      <c r="B7" s="5">
        <f>'Exercício 1'!C38</f>
        <v>3.2749999999999999</v>
      </c>
      <c r="C7" s="5">
        <f>B7-B6</f>
        <v>2.9955790611075863</v>
      </c>
      <c r="D7" s="5">
        <f>B7+B6</f>
        <v>3.5544209388924135</v>
      </c>
    </row>
    <row r="8" spans="1:4" x14ac:dyDescent="0.25">
      <c r="B8" s="5"/>
      <c r="C8" s="5"/>
      <c r="D8" s="5"/>
    </row>
    <row r="9" spans="1:4" x14ac:dyDescent="0.25">
      <c r="B9" s="5"/>
      <c r="C9" s="5"/>
      <c r="D9" s="5"/>
    </row>
    <row r="10" spans="1:4" x14ac:dyDescent="0.25">
      <c r="A10" t="s">
        <v>97</v>
      </c>
      <c r="B10" s="5"/>
      <c r="C10" s="5"/>
      <c r="D10" s="5"/>
    </row>
    <row r="11" spans="1:4" x14ac:dyDescent="0.25">
      <c r="A11" s="49" t="s">
        <v>92</v>
      </c>
      <c r="B11" s="1">
        <v>0.92</v>
      </c>
      <c r="C11" s="54" t="s">
        <v>93</v>
      </c>
      <c r="D11" s="5">
        <f>_xlfn.NORM.S.INV((1+0.92)/2)</f>
        <v>1.7506860712521695</v>
      </c>
    </row>
    <row r="12" spans="1:4" x14ac:dyDescent="0.25">
      <c r="B12" s="5"/>
      <c r="C12" s="5"/>
      <c r="D12" s="5"/>
    </row>
    <row r="13" spans="1:4" x14ac:dyDescent="0.25">
      <c r="A13" s="49" t="s">
        <v>94</v>
      </c>
      <c r="B13" s="5">
        <f>'Exercício 1'!F46*D11/SQRT('Exercício 1'!B34)</f>
        <v>0.2758323583910412</v>
      </c>
      <c r="C13" s="54" t="s">
        <v>95</v>
      </c>
      <c r="D13" s="54" t="s">
        <v>96</v>
      </c>
    </row>
    <row r="14" spans="1:4" x14ac:dyDescent="0.25">
      <c r="A14" s="49" t="s">
        <v>19</v>
      </c>
      <c r="B14" s="55">
        <f>'Exercício 1'!F38</f>
        <v>3.6</v>
      </c>
      <c r="C14" s="5">
        <f>B14-B13</f>
        <v>3.3241676416089589</v>
      </c>
      <c r="D14" s="5">
        <f>B14+B13</f>
        <v>3.8758323583910412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F51D5-8380-0F48-877F-DE2EAF8A2270}">
  <dimension ref="A1:J28"/>
  <sheetViews>
    <sheetView tabSelected="1" workbookViewId="0">
      <selection activeCell="L15" sqref="L15"/>
    </sheetView>
  </sheetViews>
  <sheetFormatPr defaultColWidth="11" defaultRowHeight="15.75" x14ac:dyDescent="0.25"/>
  <cols>
    <col min="2" max="4" width="12.375" bestFit="1" customWidth="1"/>
  </cols>
  <sheetData>
    <row r="1" spans="1:10" x14ac:dyDescent="0.25">
      <c r="A1" t="s">
        <v>98</v>
      </c>
      <c r="E1" t="s">
        <v>98</v>
      </c>
    </row>
    <row r="3" spans="1:10" x14ac:dyDescent="0.25">
      <c r="A3" t="s">
        <v>99</v>
      </c>
      <c r="C3" t="s">
        <v>167</v>
      </c>
      <c r="J3" s="53" t="s">
        <v>102</v>
      </c>
    </row>
    <row r="4" spans="1:10" x14ac:dyDescent="0.25">
      <c r="A4" t="s">
        <v>106</v>
      </c>
      <c r="C4" t="s">
        <v>167</v>
      </c>
      <c r="J4" s="53" t="s">
        <v>102</v>
      </c>
    </row>
    <row r="5" spans="1:10" ht="15.6" customHeight="1" x14ac:dyDescent="0.25">
      <c r="B5" s="56" t="s">
        <v>100</v>
      </c>
      <c r="C5" s="56" t="s">
        <v>101</v>
      </c>
      <c r="D5" s="53" t="s">
        <v>102</v>
      </c>
      <c r="E5" s="56" t="s">
        <v>103</v>
      </c>
      <c r="F5" s="31"/>
      <c r="G5" s="31"/>
      <c r="H5" s="31"/>
    </row>
    <row r="6" spans="1:10" ht="15.6" customHeight="1" x14ac:dyDescent="0.25">
      <c r="A6" t="s">
        <v>2</v>
      </c>
      <c r="B6" s="57">
        <v>0.97</v>
      </c>
      <c r="C6" s="58">
        <f>_xlfn.NORM.S.INV((1+B6)/2)</f>
        <v>2.1700903775845601</v>
      </c>
      <c r="D6" s="5">
        <f>SUM('Exercício 2 '!E25:E31)/'Exercício 2 '!F33</f>
        <v>0.7705833333333334</v>
      </c>
      <c r="E6" s="58">
        <f>C6*SQRT(D6*(1-D6)/'Exercício 2 '!F33+D7*(1-D7)/'Exercício 2 '!G78)</f>
        <v>0.11791219612618842</v>
      </c>
      <c r="H6" s="31"/>
    </row>
    <row r="7" spans="1:10" x14ac:dyDescent="0.25">
      <c r="A7" t="s">
        <v>3</v>
      </c>
      <c r="B7" s="57">
        <v>0.97</v>
      </c>
      <c r="C7" s="58">
        <f>_xlfn.NORM.S.INV((1+B7)/2)</f>
        <v>2.1700903775845601</v>
      </c>
      <c r="D7" s="5">
        <f>SUM('Exercício 2 '!F67:F74)/'Exercício 2 '!G78</f>
        <v>0.66773333333333318</v>
      </c>
      <c r="E7" s="58">
        <f>E6</f>
        <v>0.11791219612618842</v>
      </c>
    </row>
    <row r="9" spans="1:10" x14ac:dyDescent="0.25">
      <c r="B9" s="57" t="s">
        <v>104</v>
      </c>
      <c r="C9" s="57" t="s">
        <v>105</v>
      </c>
    </row>
    <row r="10" spans="1:10" x14ac:dyDescent="0.25">
      <c r="B10" s="58">
        <f>D6-D7-E6</f>
        <v>-1.5062196126188199E-2</v>
      </c>
      <c r="C10" s="58">
        <f>D6-D7+E6</f>
        <v>0.22076219612618864</v>
      </c>
    </row>
    <row r="12" spans="1:10" x14ac:dyDescent="0.25">
      <c r="A12" t="s">
        <v>163</v>
      </c>
    </row>
    <row r="28" spans="7:7" x14ac:dyDescent="0.25">
      <c r="G28" s="6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90045-DBCD-9A4F-B6D4-3FC3C61DA7D0}">
  <dimension ref="A2:F26"/>
  <sheetViews>
    <sheetView workbookViewId="0">
      <selection activeCell="C20" sqref="C20"/>
    </sheetView>
  </sheetViews>
  <sheetFormatPr defaultColWidth="11" defaultRowHeight="15.75" x14ac:dyDescent="0.25"/>
  <sheetData>
    <row r="2" spans="1:6" x14ac:dyDescent="0.25">
      <c r="A2" t="s">
        <v>107</v>
      </c>
    </row>
    <row r="3" spans="1:6" x14ac:dyDescent="0.25">
      <c r="B3" t="s">
        <v>108</v>
      </c>
    </row>
    <row r="4" spans="1:6" x14ac:dyDescent="0.25">
      <c r="B4" t="s">
        <v>109</v>
      </c>
      <c r="C4">
        <v>120</v>
      </c>
      <c r="E4" s="50" t="s">
        <v>110</v>
      </c>
      <c r="F4">
        <v>0.05</v>
      </c>
    </row>
    <row r="5" spans="1:6" x14ac:dyDescent="0.25">
      <c r="B5" t="s">
        <v>111</v>
      </c>
      <c r="C5">
        <v>13.07</v>
      </c>
      <c r="E5" s="51" t="s">
        <v>112</v>
      </c>
      <c r="F5">
        <v>4.4000000000000004</v>
      </c>
    </row>
    <row r="7" spans="1:6" x14ac:dyDescent="0.25">
      <c r="B7" t="s">
        <v>111</v>
      </c>
      <c r="C7" t="s">
        <v>113</v>
      </c>
    </row>
    <row r="9" spans="1:6" x14ac:dyDescent="0.25">
      <c r="B9" t="s">
        <v>111</v>
      </c>
      <c r="C9" t="s">
        <v>158</v>
      </c>
    </row>
    <row r="11" spans="1:6" x14ac:dyDescent="0.25">
      <c r="B11" t="s">
        <v>114</v>
      </c>
    </row>
    <row r="12" spans="1:6" x14ac:dyDescent="0.25">
      <c r="B12" t="s">
        <v>115</v>
      </c>
    </row>
    <row r="14" spans="1:6" x14ac:dyDescent="0.25">
      <c r="B14" t="s">
        <v>157</v>
      </c>
    </row>
    <row r="16" spans="1:6" x14ac:dyDescent="0.25">
      <c r="B16" t="s">
        <v>116</v>
      </c>
      <c r="D16" t="s">
        <v>150</v>
      </c>
    </row>
    <row r="18" spans="2:3" x14ac:dyDescent="0.25">
      <c r="B18" t="s">
        <v>117</v>
      </c>
      <c r="C18">
        <f>1-F4</f>
        <v>0.95</v>
      </c>
    </row>
    <row r="20" spans="2:3" x14ac:dyDescent="0.25">
      <c r="B20" t="s">
        <v>118</v>
      </c>
      <c r="C20">
        <f>_xlfn.NORM.INV(C18,0,1)</f>
        <v>1.6448536269514715</v>
      </c>
    </row>
    <row r="22" spans="2:3" x14ac:dyDescent="0.25">
      <c r="B22" t="s">
        <v>119</v>
      </c>
      <c r="C22" t="s">
        <v>120</v>
      </c>
    </row>
    <row r="24" spans="2:3" x14ac:dyDescent="0.25">
      <c r="B24" t="s">
        <v>121</v>
      </c>
      <c r="C24">
        <f>(C5-F4)/SQRT(120)</f>
        <v>1.1885579497862104</v>
      </c>
    </row>
    <row r="26" spans="2:3" x14ac:dyDescent="0.25">
      <c r="B26" t="s">
        <v>122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37CE98-22DA-E84B-9F51-85CE09BC9D98}">
  <dimension ref="A2:N40"/>
  <sheetViews>
    <sheetView workbookViewId="0">
      <selection activeCell="Q13" sqref="Q13"/>
    </sheetView>
  </sheetViews>
  <sheetFormatPr defaultColWidth="11" defaultRowHeight="15.75" x14ac:dyDescent="0.25"/>
  <sheetData>
    <row r="2" spans="1:14" x14ac:dyDescent="0.25">
      <c r="A2" t="s">
        <v>123</v>
      </c>
    </row>
    <row r="3" spans="1:14" x14ac:dyDescent="0.25">
      <c r="J3" t="s">
        <v>124</v>
      </c>
    </row>
    <row r="4" spans="1:14" x14ac:dyDescent="0.25">
      <c r="B4" t="s">
        <v>125</v>
      </c>
      <c r="J4" t="s">
        <v>108</v>
      </c>
    </row>
    <row r="5" spans="1:14" x14ac:dyDescent="0.25">
      <c r="B5" t="s">
        <v>126</v>
      </c>
      <c r="J5" t="s">
        <v>109</v>
      </c>
      <c r="K5">
        <v>120</v>
      </c>
      <c r="M5" s="50" t="s">
        <v>110</v>
      </c>
      <c r="N5">
        <v>7.0000000000000007E-2</v>
      </c>
    </row>
    <row r="6" spans="1:14" x14ac:dyDescent="0.25">
      <c r="J6" t="s">
        <v>111</v>
      </c>
      <c r="K6">
        <v>13.07</v>
      </c>
      <c r="M6" s="51" t="s">
        <v>112</v>
      </c>
      <c r="N6">
        <v>4.4000000000000004</v>
      </c>
    </row>
    <row r="7" spans="1:14" x14ac:dyDescent="0.25">
      <c r="B7" t="s">
        <v>127</v>
      </c>
    </row>
    <row r="8" spans="1:14" x14ac:dyDescent="0.25">
      <c r="B8" t="s">
        <v>128</v>
      </c>
      <c r="J8" t="s">
        <v>3</v>
      </c>
    </row>
    <row r="9" spans="1:14" x14ac:dyDescent="0.25">
      <c r="J9" t="s">
        <v>109</v>
      </c>
      <c r="K9">
        <v>150</v>
      </c>
      <c r="M9" s="50" t="s">
        <v>110</v>
      </c>
      <c r="N9">
        <v>7.0000000000000007E-2</v>
      </c>
    </row>
    <row r="10" spans="1:14" x14ac:dyDescent="0.25">
      <c r="J10" t="s">
        <v>111</v>
      </c>
      <c r="K10">
        <v>12.2593</v>
      </c>
      <c r="M10" s="51" t="s">
        <v>112</v>
      </c>
      <c r="N10">
        <v>3.89</v>
      </c>
    </row>
    <row r="13" spans="1:14" x14ac:dyDescent="0.25">
      <c r="B13" t="s">
        <v>129</v>
      </c>
      <c r="C13" t="s">
        <v>130</v>
      </c>
    </row>
    <row r="14" spans="1:14" x14ac:dyDescent="0.25">
      <c r="B14" t="s">
        <v>131</v>
      </c>
      <c r="C14" t="s">
        <v>132</v>
      </c>
    </row>
    <row r="16" spans="1:14" x14ac:dyDescent="0.25">
      <c r="B16" t="s">
        <v>129</v>
      </c>
      <c r="C16" t="s">
        <v>159</v>
      </c>
      <c r="F16" s="52" t="s">
        <v>133</v>
      </c>
      <c r="G16" t="s">
        <v>134</v>
      </c>
      <c r="I16" t="s">
        <v>135</v>
      </c>
    </row>
    <row r="18" spans="2:9" x14ac:dyDescent="0.25">
      <c r="B18" t="s">
        <v>131</v>
      </c>
      <c r="C18" t="s">
        <v>160</v>
      </c>
      <c r="F18" s="52" t="s">
        <v>133</v>
      </c>
      <c r="G18" t="s">
        <v>136</v>
      </c>
      <c r="I18" t="s">
        <v>135</v>
      </c>
    </row>
    <row r="20" spans="2:9" x14ac:dyDescent="0.25">
      <c r="B20" t="s">
        <v>137</v>
      </c>
    </row>
    <row r="22" spans="2:9" x14ac:dyDescent="0.25">
      <c r="B22" t="s">
        <v>138</v>
      </c>
    </row>
    <row r="23" spans="2:9" x14ac:dyDescent="0.25">
      <c r="B23" t="s">
        <v>139</v>
      </c>
    </row>
    <row r="25" spans="2:9" x14ac:dyDescent="0.25">
      <c r="B25" t="s">
        <v>140</v>
      </c>
    </row>
    <row r="27" spans="2:9" x14ac:dyDescent="0.25">
      <c r="B27" t="s">
        <v>161</v>
      </c>
    </row>
    <row r="29" spans="2:9" x14ac:dyDescent="0.25">
      <c r="B29" s="31"/>
    </row>
    <row r="30" spans="2:9" x14ac:dyDescent="0.25">
      <c r="B30" t="s">
        <v>162</v>
      </c>
      <c r="F30" t="s">
        <v>135</v>
      </c>
    </row>
    <row r="32" spans="2:9" x14ac:dyDescent="0.25">
      <c r="B32" t="s">
        <v>141</v>
      </c>
    </row>
    <row r="34" spans="2:13" x14ac:dyDescent="0.25">
      <c r="B34" t="s">
        <v>142</v>
      </c>
      <c r="C34">
        <f>N5/2</f>
        <v>3.5000000000000003E-2</v>
      </c>
      <c r="D34" s="53" t="s">
        <v>133</v>
      </c>
      <c r="E34" t="s">
        <v>143</v>
      </c>
      <c r="F34">
        <f>1-C34</f>
        <v>0.96499999999999997</v>
      </c>
      <c r="G34" s="53" t="s">
        <v>133</v>
      </c>
      <c r="H34" t="s">
        <v>144</v>
      </c>
      <c r="I34">
        <f>_xlfn.NORM.INV(F34,0,1)</f>
        <v>1.8119106729525971</v>
      </c>
      <c r="L34" t="s">
        <v>145</v>
      </c>
      <c r="M34" t="s">
        <v>146</v>
      </c>
    </row>
    <row r="36" spans="2:13" x14ac:dyDescent="0.25">
      <c r="B36" t="s">
        <v>147</v>
      </c>
    </row>
    <row r="38" spans="2:13" x14ac:dyDescent="0.25">
      <c r="B38" t="s">
        <v>148</v>
      </c>
      <c r="C38">
        <f>K6 - K10 / SQRT((N6^2)/120+(N10^2)/150)</f>
        <v>-10.870749091003251</v>
      </c>
    </row>
    <row r="40" spans="2:13" x14ac:dyDescent="0.25">
      <c r="B40" t="s">
        <v>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7</vt:i4>
      </vt:variant>
    </vt:vector>
  </HeadingPairs>
  <TitlesOfParts>
    <vt:vector size="7" baseType="lpstr">
      <vt:lpstr>1DC_G3</vt:lpstr>
      <vt:lpstr>Exercício 1</vt:lpstr>
      <vt:lpstr>Exercício 2 </vt:lpstr>
      <vt:lpstr>Exercício 3</vt:lpstr>
      <vt:lpstr>Exercício 4</vt:lpstr>
      <vt:lpstr>Exercício 5</vt:lpstr>
      <vt:lpstr>Exercício 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Utilizador do Microsoft Office</dc:creator>
  <cp:keywords/>
  <dc:description/>
  <cp:lastModifiedBy>Jorge Cunha</cp:lastModifiedBy>
  <cp:revision/>
  <dcterms:created xsi:type="dcterms:W3CDTF">2021-03-21T23:58:51Z</dcterms:created>
  <dcterms:modified xsi:type="dcterms:W3CDTF">2021-05-28T08:40:27Z</dcterms:modified>
  <cp:category/>
  <cp:contentStatus/>
</cp:coreProperties>
</file>