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autoCompressPictures="0"/>
  <bookViews>
    <workbookView xWindow="360" yWindow="75" windowWidth="11340" windowHeight="6735"/>
  </bookViews>
  <sheets>
    <sheet name="Calendario" sheetId="1" r:id="rId1"/>
  </sheets>
  <definedNames>
    <definedName name="AprSun1">DATE(TheYear,4,1)-WEEKDAY(DATE(TheYear,4,1),2)+1</definedName>
    <definedName name="_xlnm.Print_Area" localSheetId="0">Calendario!$B$2:$AJ$34</definedName>
    <definedName name="AugSun1">DATE(TheYear,8,1)-WEEKDAY(DATE(TheYear,8,1),2)+1</definedName>
    <definedName name="DecSun1">DATE(TheYear,12,1)-WEEKDAY(DATE(TheYear,12,1),2)+1</definedName>
    <definedName name="FebSun1">DATE(TheYear,2,1)-WEEKDAY(DATE(TheYear,2,1),2)+1</definedName>
    <definedName name="JanSun1">DATE(TheYear,1,1)-WEEKDAY(DATE(TheYear,1,1),2)+1</definedName>
    <definedName name="JulSun1">DATE(TheYear,7,1)-WEEKDAY(DATE(TheYear,7,1),2)+1</definedName>
    <definedName name="JunSun1">DATE(TheYear,6,1)-WEEKDAY(DATE(TheYear,6,1),2)+1</definedName>
    <definedName name="MarSun1">DATE(TheYear,3,1)-WEEKDAY(DATE(TheYear,3,1),2)+1</definedName>
    <definedName name="MaySun1">DATE(TheYear,5,1)-WEEKDAY(DATE(TheYear,5,1),2)+1</definedName>
    <definedName name="NovSun1">DATE(TheYear,11,1)-WEEKDAY(DATE(TheYear,11,1),2)+1</definedName>
    <definedName name="OctSun1">DATE(TheYear,10,1)-WEEKDAY(DATE(TheYear,10,1),2)+1</definedName>
    <definedName name="SepSun1">DATE(TheYear,9,1)-WEEKDAY(DATE(TheYear,9,1),2)+1</definedName>
    <definedName name="TheYear">Calendario!$Z$2</definedName>
  </definedNames>
  <calcPr calcId="144525"/>
</workbook>
</file>

<file path=xl/calcChain.xml><?xml version="1.0" encoding="utf-8"?>
<calcChain xmlns="http://schemas.openxmlformats.org/spreadsheetml/2006/main">
  <c r="J21" i="1" l="1"/>
  <c r="I21" i="1"/>
  <c r="H21" i="1"/>
  <c r="G21" i="1"/>
  <c r="F21" i="1"/>
  <c r="E21" i="1"/>
  <c r="D21" i="1"/>
  <c r="J16" i="1"/>
  <c r="I16" i="1"/>
  <c r="H16" i="1"/>
  <c r="G16" i="1"/>
  <c r="F16" i="1"/>
  <c r="E16" i="1"/>
  <c r="D16" i="1"/>
  <c r="I7" i="1" l="1"/>
  <c r="D7" i="1"/>
  <c r="E7" i="1"/>
  <c r="F7" i="1"/>
  <c r="G7" i="1"/>
  <c r="H7" i="1"/>
  <c r="J7" i="1"/>
  <c r="AH30" i="1" l="1"/>
  <c r="AG30" i="1"/>
  <c r="AF30" i="1"/>
  <c r="AE30" i="1"/>
  <c r="AD30" i="1"/>
  <c r="AC30" i="1"/>
  <c r="AB30" i="1"/>
  <c r="Z30" i="1"/>
  <c r="Y30" i="1"/>
  <c r="X30" i="1"/>
  <c r="W30" i="1"/>
  <c r="V30" i="1"/>
  <c r="U30" i="1"/>
  <c r="T30" i="1"/>
  <c r="R30" i="1"/>
  <c r="Q30" i="1"/>
  <c r="P30" i="1"/>
  <c r="O30" i="1"/>
  <c r="N30" i="1"/>
  <c r="M30" i="1"/>
  <c r="L30" i="1"/>
  <c r="J30" i="1"/>
  <c r="I30" i="1"/>
  <c r="H30" i="1"/>
  <c r="G30" i="1"/>
  <c r="F30" i="1"/>
  <c r="E30" i="1"/>
  <c r="D30" i="1"/>
  <c r="AH29" i="1"/>
  <c r="AG29" i="1"/>
  <c r="AF29" i="1"/>
  <c r="AE29" i="1"/>
  <c r="AD29" i="1"/>
  <c r="AC29" i="1"/>
  <c r="AB29" i="1"/>
  <c r="Z29" i="1"/>
  <c r="Y29" i="1"/>
  <c r="X29" i="1"/>
  <c r="W29" i="1"/>
  <c r="V29" i="1"/>
  <c r="U29" i="1"/>
  <c r="T29" i="1"/>
  <c r="R29" i="1"/>
  <c r="Q29" i="1"/>
  <c r="P29" i="1"/>
  <c r="O29" i="1"/>
  <c r="N29" i="1"/>
  <c r="M29" i="1"/>
  <c r="L29" i="1"/>
  <c r="J29" i="1"/>
  <c r="I29" i="1"/>
  <c r="H29" i="1"/>
  <c r="G29" i="1"/>
  <c r="F29" i="1"/>
  <c r="E29" i="1"/>
  <c r="D29" i="1"/>
  <c r="AH28" i="1"/>
  <c r="AG28" i="1"/>
  <c r="AF28" i="1"/>
  <c r="AE28" i="1"/>
  <c r="AD28" i="1"/>
  <c r="AC28" i="1"/>
  <c r="AB28" i="1"/>
  <c r="Z28" i="1"/>
  <c r="Y28" i="1"/>
  <c r="X28" i="1"/>
  <c r="W28" i="1"/>
  <c r="V28" i="1"/>
  <c r="U28" i="1"/>
  <c r="T28" i="1"/>
  <c r="R28" i="1"/>
  <c r="Q28" i="1"/>
  <c r="P28" i="1"/>
  <c r="O28" i="1"/>
  <c r="N28" i="1"/>
  <c r="M28" i="1"/>
  <c r="L28" i="1"/>
  <c r="J28" i="1"/>
  <c r="I28" i="1"/>
  <c r="H28" i="1"/>
  <c r="G28" i="1"/>
  <c r="F28" i="1"/>
  <c r="E28" i="1"/>
  <c r="D28" i="1"/>
  <c r="AH27" i="1"/>
  <c r="AG27" i="1"/>
  <c r="AF27" i="1"/>
  <c r="AE27" i="1"/>
  <c r="AD27" i="1"/>
  <c r="AC27" i="1"/>
  <c r="AB27" i="1"/>
  <c r="Z27" i="1"/>
  <c r="Y27" i="1"/>
  <c r="X27" i="1"/>
  <c r="W27" i="1"/>
  <c r="V27" i="1"/>
  <c r="U27" i="1"/>
  <c r="T27" i="1"/>
  <c r="R27" i="1"/>
  <c r="Q27" i="1"/>
  <c r="P27" i="1"/>
  <c r="O27" i="1"/>
  <c r="N27" i="1"/>
  <c r="M27" i="1"/>
  <c r="L27" i="1"/>
  <c r="J27" i="1"/>
  <c r="I27" i="1"/>
  <c r="H27" i="1"/>
  <c r="G27" i="1"/>
  <c r="F27" i="1"/>
  <c r="E27" i="1"/>
  <c r="D27" i="1"/>
  <c r="AH26" i="1"/>
  <c r="AG26" i="1"/>
  <c r="AF26" i="1"/>
  <c r="AE26" i="1"/>
  <c r="AD26" i="1"/>
  <c r="AC26" i="1"/>
  <c r="AB26" i="1"/>
  <c r="Z26" i="1"/>
  <c r="Y26" i="1"/>
  <c r="X26" i="1"/>
  <c r="W26" i="1"/>
  <c r="V26" i="1"/>
  <c r="U26" i="1"/>
  <c r="T26" i="1"/>
  <c r="R26" i="1"/>
  <c r="Q26" i="1"/>
  <c r="P26" i="1"/>
  <c r="O26" i="1"/>
  <c r="N26" i="1"/>
  <c r="M26" i="1"/>
  <c r="L26" i="1"/>
  <c r="J26" i="1"/>
  <c r="I26" i="1"/>
  <c r="H26" i="1"/>
  <c r="G26" i="1"/>
  <c r="F26" i="1"/>
  <c r="E26" i="1"/>
  <c r="D26" i="1"/>
  <c r="AH25" i="1"/>
  <c r="AG25" i="1"/>
  <c r="AF25" i="1"/>
  <c r="AE25" i="1"/>
  <c r="AD25" i="1"/>
  <c r="AC25" i="1"/>
  <c r="AB25" i="1"/>
  <c r="Z25" i="1"/>
  <c r="Y25" i="1"/>
  <c r="X25" i="1"/>
  <c r="W25" i="1"/>
  <c r="V25" i="1"/>
  <c r="U25" i="1"/>
  <c r="T25" i="1"/>
  <c r="R25" i="1"/>
  <c r="Q25" i="1"/>
  <c r="P25" i="1"/>
  <c r="O25" i="1"/>
  <c r="N25" i="1"/>
  <c r="M25" i="1"/>
  <c r="L25" i="1"/>
  <c r="J25" i="1"/>
  <c r="I25" i="1"/>
  <c r="H25" i="1"/>
  <c r="G25" i="1"/>
  <c r="F25" i="1"/>
  <c r="E25" i="1"/>
  <c r="D25" i="1"/>
  <c r="AH21" i="1"/>
  <c r="AG21" i="1"/>
  <c r="AF21" i="1"/>
  <c r="AE21" i="1"/>
  <c r="AD21" i="1"/>
  <c r="AC21" i="1"/>
  <c r="AB21" i="1"/>
  <c r="Z21" i="1"/>
  <c r="Y21" i="1"/>
  <c r="X21" i="1"/>
  <c r="W21" i="1"/>
  <c r="V21" i="1"/>
  <c r="U21" i="1"/>
  <c r="T21" i="1"/>
  <c r="R21" i="1"/>
  <c r="Q21" i="1"/>
  <c r="P21" i="1"/>
  <c r="O21" i="1"/>
  <c r="N21" i="1"/>
  <c r="M21" i="1"/>
  <c r="L21" i="1"/>
  <c r="AH20" i="1"/>
  <c r="AG20" i="1"/>
  <c r="AF20" i="1"/>
  <c r="AE20" i="1"/>
  <c r="AD20" i="1"/>
  <c r="AC20" i="1"/>
  <c r="AB20" i="1"/>
  <c r="Z20" i="1"/>
  <c r="Y20" i="1"/>
  <c r="X20" i="1"/>
  <c r="W20" i="1"/>
  <c r="V20" i="1"/>
  <c r="U20" i="1"/>
  <c r="T20" i="1"/>
  <c r="R20" i="1"/>
  <c r="Q20" i="1"/>
  <c r="P20" i="1"/>
  <c r="O20" i="1"/>
  <c r="N20" i="1"/>
  <c r="M20" i="1"/>
  <c r="L20" i="1"/>
  <c r="J20" i="1"/>
  <c r="I20" i="1"/>
  <c r="H20" i="1"/>
  <c r="G20" i="1"/>
  <c r="F20" i="1"/>
  <c r="E20" i="1"/>
  <c r="D20" i="1"/>
  <c r="AH19" i="1"/>
  <c r="AG19" i="1"/>
  <c r="AF19" i="1"/>
  <c r="AE19" i="1"/>
  <c r="AD19" i="1"/>
  <c r="AC19" i="1"/>
  <c r="AB19" i="1"/>
  <c r="Z19" i="1"/>
  <c r="Y19" i="1"/>
  <c r="X19" i="1"/>
  <c r="W19" i="1"/>
  <c r="V19" i="1"/>
  <c r="U19" i="1"/>
  <c r="T19" i="1"/>
  <c r="R19" i="1"/>
  <c r="Q19" i="1"/>
  <c r="P19" i="1"/>
  <c r="O19" i="1"/>
  <c r="N19" i="1"/>
  <c r="M19" i="1"/>
  <c r="L19" i="1"/>
  <c r="J19" i="1"/>
  <c r="I19" i="1"/>
  <c r="H19" i="1"/>
  <c r="G19" i="1"/>
  <c r="F19" i="1"/>
  <c r="E19" i="1"/>
  <c r="D19" i="1"/>
  <c r="AH18" i="1"/>
  <c r="AG18" i="1"/>
  <c r="AF18" i="1"/>
  <c r="AE18" i="1"/>
  <c r="AD18" i="1"/>
  <c r="AC18" i="1"/>
  <c r="AB18" i="1"/>
  <c r="Z18" i="1"/>
  <c r="Y18" i="1"/>
  <c r="X18" i="1"/>
  <c r="W18" i="1"/>
  <c r="V18" i="1"/>
  <c r="U18" i="1"/>
  <c r="T18" i="1"/>
  <c r="R18" i="1"/>
  <c r="Q18" i="1"/>
  <c r="P18" i="1"/>
  <c r="O18" i="1"/>
  <c r="N18" i="1"/>
  <c r="M18" i="1"/>
  <c r="L18" i="1"/>
  <c r="J18" i="1"/>
  <c r="I18" i="1"/>
  <c r="H18" i="1"/>
  <c r="G18" i="1"/>
  <c r="F18" i="1"/>
  <c r="E18" i="1"/>
  <c r="D18" i="1"/>
  <c r="AH17" i="1"/>
  <c r="AG17" i="1"/>
  <c r="AF17" i="1"/>
  <c r="AE17" i="1"/>
  <c r="AD17" i="1"/>
  <c r="AC17" i="1"/>
  <c r="AB17" i="1"/>
  <c r="Z17" i="1"/>
  <c r="Y17" i="1"/>
  <c r="X17" i="1"/>
  <c r="W17" i="1"/>
  <c r="V17" i="1"/>
  <c r="U17" i="1"/>
  <c r="T17" i="1"/>
  <c r="R17" i="1"/>
  <c r="Q17" i="1"/>
  <c r="P17" i="1"/>
  <c r="O17" i="1"/>
  <c r="N17" i="1"/>
  <c r="M17" i="1"/>
  <c r="L17" i="1"/>
  <c r="J17" i="1"/>
  <c r="I17" i="1"/>
  <c r="H17" i="1"/>
  <c r="G17" i="1"/>
  <c r="F17" i="1"/>
  <c r="E17" i="1"/>
  <c r="D17" i="1"/>
  <c r="AH16" i="1"/>
  <c r="AG16" i="1"/>
  <c r="AF16" i="1"/>
  <c r="AE16" i="1"/>
  <c r="AD16" i="1"/>
  <c r="AC16" i="1"/>
  <c r="AB16" i="1"/>
  <c r="Z16" i="1"/>
  <c r="Y16" i="1"/>
  <c r="X16" i="1"/>
  <c r="W16" i="1"/>
  <c r="V16" i="1"/>
  <c r="U16" i="1"/>
  <c r="T16" i="1"/>
  <c r="R16" i="1"/>
  <c r="Q16" i="1"/>
  <c r="P16" i="1"/>
  <c r="O16" i="1"/>
  <c r="N16" i="1"/>
  <c r="M16" i="1"/>
  <c r="L16" i="1"/>
  <c r="AH12" i="1"/>
  <c r="AG12" i="1"/>
  <c r="AF12" i="1"/>
  <c r="AE12" i="1"/>
  <c r="AD12" i="1"/>
  <c r="AC12" i="1"/>
  <c r="AB12" i="1"/>
  <c r="Z12" i="1"/>
  <c r="Y12" i="1"/>
  <c r="X12" i="1"/>
  <c r="W12" i="1"/>
  <c r="V12" i="1"/>
  <c r="U12" i="1"/>
  <c r="T12" i="1"/>
  <c r="R12" i="1"/>
  <c r="Q12" i="1"/>
  <c r="P12" i="1"/>
  <c r="O12" i="1"/>
  <c r="N12" i="1"/>
  <c r="M12" i="1"/>
  <c r="L12" i="1"/>
  <c r="J12" i="1"/>
  <c r="I12" i="1"/>
  <c r="H12" i="1"/>
  <c r="G12" i="1"/>
  <c r="F12" i="1"/>
  <c r="E12" i="1"/>
  <c r="D12" i="1"/>
  <c r="AH11" i="1"/>
  <c r="AG11" i="1"/>
  <c r="AF11" i="1"/>
  <c r="AE11" i="1"/>
  <c r="AD11" i="1"/>
  <c r="AC11" i="1"/>
  <c r="AB11" i="1"/>
  <c r="Z11" i="1"/>
  <c r="Y11" i="1"/>
  <c r="X11" i="1"/>
  <c r="W11" i="1"/>
  <c r="V11" i="1"/>
  <c r="U11" i="1"/>
  <c r="T11" i="1"/>
  <c r="R11" i="1"/>
  <c r="Q11" i="1"/>
  <c r="P11" i="1"/>
  <c r="O11" i="1"/>
  <c r="N11" i="1"/>
  <c r="M11" i="1"/>
  <c r="L11" i="1"/>
  <c r="J11" i="1"/>
  <c r="I11" i="1"/>
  <c r="H11" i="1"/>
  <c r="G11" i="1"/>
  <c r="F11" i="1"/>
  <c r="E11" i="1"/>
  <c r="D11" i="1"/>
  <c r="AH10" i="1"/>
  <c r="AG10" i="1"/>
  <c r="AF10" i="1"/>
  <c r="AE10" i="1"/>
  <c r="AD10" i="1"/>
  <c r="AC10" i="1"/>
  <c r="AB10" i="1"/>
  <c r="Z10" i="1"/>
  <c r="Y10" i="1"/>
  <c r="X10" i="1"/>
  <c r="W10" i="1"/>
  <c r="V10" i="1"/>
  <c r="U10" i="1"/>
  <c r="T10" i="1"/>
  <c r="R10" i="1"/>
  <c r="Q10" i="1"/>
  <c r="P10" i="1"/>
  <c r="O10" i="1"/>
  <c r="N10" i="1"/>
  <c r="M10" i="1"/>
  <c r="L10" i="1"/>
  <c r="J10" i="1"/>
  <c r="I10" i="1"/>
  <c r="H10" i="1"/>
  <c r="G10" i="1"/>
  <c r="F10" i="1"/>
  <c r="E10" i="1"/>
  <c r="D10" i="1"/>
  <c r="AH9" i="1"/>
  <c r="AG9" i="1"/>
  <c r="AF9" i="1"/>
  <c r="AE9" i="1"/>
  <c r="AD9" i="1"/>
  <c r="AC9" i="1"/>
  <c r="AB9" i="1"/>
  <c r="Z9" i="1"/>
  <c r="Y9" i="1"/>
  <c r="X9" i="1"/>
  <c r="W9" i="1"/>
  <c r="V9" i="1"/>
  <c r="U9" i="1"/>
  <c r="T9" i="1"/>
  <c r="R9" i="1"/>
  <c r="Q9" i="1"/>
  <c r="P9" i="1"/>
  <c r="O9" i="1"/>
  <c r="N9" i="1"/>
  <c r="M9" i="1"/>
  <c r="L9" i="1"/>
  <c r="J9" i="1"/>
  <c r="I9" i="1"/>
  <c r="H9" i="1"/>
  <c r="G9" i="1"/>
  <c r="F9" i="1"/>
  <c r="E9" i="1"/>
  <c r="D9" i="1"/>
  <c r="AH8" i="1"/>
  <c r="AG8" i="1"/>
  <c r="AF8" i="1"/>
  <c r="AE8" i="1"/>
  <c r="AD8" i="1"/>
  <c r="AC8" i="1"/>
  <c r="AB8" i="1"/>
  <c r="Z8" i="1"/>
  <c r="Y8" i="1"/>
  <c r="X8" i="1"/>
  <c r="W8" i="1"/>
  <c r="V8" i="1"/>
  <c r="U8" i="1"/>
  <c r="T8" i="1"/>
  <c r="R8" i="1"/>
  <c r="Q8" i="1"/>
  <c r="P8" i="1"/>
  <c r="O8" i="1"/>
  <c r="N8" i="1"/>
  <c r="M8" i="1"/>
  <c r="L8" i="1"/>
  <c r="J8" i="1"/>
  <c r="I8" i="1"/>
  <c r="H8" i="1"/>
  <c r="G8" i="1"/>
  <c r="F8" i="1"/>
  <c r="E8" i="1"/>
  <c r="D8" i="1"/>
  <c r="AH7" i="1"/>
  <c r="AG7" i="1"/>
  <c r="AF7" i="1"/>
  <c r="AE7" i="1"/>
  <c r="AD7" i="1"/>
  <c r="AC7" i="1"/>
  <c r="AB7" i="1"/>
  <c r="Z7" i="1"/>
  <c r="Y7" i="1"/>
  <c r="X7" i="1"/>
  <c r="W7" i="1"/>
  <c r="V7" i="1"/>
  <c r="U7" i="1"/>
  <c r="T7" i="1"/>
  <c r="R7" i="1"/>
  <c r="Q7" i="1"/>
  <c r="P7" i="1"/>
  <c r="O7" i="1"/>
  <c r="N7" i="1"/>
  <c r="M7" i="1"/>
  <c r="L7" i="1"/>
</calcChain>
</file>

<file path=xl/sharedStrings.xml><?xml version="1.0" encoding="utf-8"?>
<sst xmlns="http://schemas.openxmlformats.org/spreadsheetml/2006/main" count="102" uniqueCount="24">
  <si>
    <t>d</t>
  </si>
  <si>
    <t>l</t>
  </si>
  <si>
    <t>m</t>
  </si>
  <si>
    <t>v</t>
  </si>
  <si>
    <t xml:space="preserve"> febrero</t>
  </si>
  <si>
    <t xml:space="preserve"> enero</t>
  </si>
  <si>
    <t xml:space="preserve"> abril</t>
  </si>
  <si>
    <t xml:space="preserve"> julio</t>
  </si>
  <si>
    <t xml:space="preserve"> octubre</t>
  </si>
  <si>
    <t xml:space="preserve"> noviembre</t>
  </si>
  <si>
    <t xml:space="preserve"> agosto</t>
  </si>
  <si>
    <t xml:space="preserve"> mayo</t>
  </si>
  <si>
    <t xml:space="preserve"> marzo</t>
  </si>
  <si>
    <t xml:space="preserve"> junio</t>
  </si>
  <si>
    <t xml:space="preserve"> septiembre</t>
  </si>
  <si>
    <t xml:space="preserve"> diciembre</t>
  </si>
  <si>
    <t>j</t>
  </si>
  <si>
    <t>s</t>
  </si>
  <si>
    <t>U1</t>
  </si>
  <si>
    <t>U2</t>
  </si>
  <si>
    <t>U3</t>
  </si>
  <si>
    <t>U4</t>
  </si>
  <si>
    <t>U5</t>
  </si>
  <si>
    <t>Tópicos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</si>
</sst>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"/>
    <numFmt numFmtId="165" formatCode="d"/>
  </numFmts>
  <fonts count="12" x14ac:knownFonts="1">
    <font>
      <sz val="10"/>
      <name val="Arial"/>
    </font>
    <font>
      <sz val="8"/>
      <name val="Arial"/>
      <family val="2"/>
    </font>
    <font>
      <sz val="10"/>
      <name val="Segoe UI"/>
      <family val="2"/>
      <scheme val="minor"/>
    </font>
    <font>
      <sz val="16"/>
      <name val="Segoe UI Light"/>
      <family val="1"/>
      <scheme val="major"/>
    </font>
    <font>
      <sz val="12"/>
      <name val="Segoe UI Light"/>
      <family val="2"/>
      <scheme val="major"/>
    </font>
    <font>
      <sz val="48"/>
      <name val="Segoe UI Light"/>
      <family val="1"/>
      <scheme val="major"/>
    </font>
    <font>
      <i/>
      <sz val="14"/>
      <color theme="1"/>
      <name val="Segoe UI Light"/>
      <family val="2"/>
      <scheme val="major"/>
    </font>
    <font>
      <sz val="10"/>
      <color theme="1"/>
      <name val="Segoe UI"/>
      <family val="2"/>
      <scheme val="minor"/>
    </font>
    <font>
      <sz val="44"/>
      <color theme="9" tint="-0.24994659260841701"/>
      <name val="Segoe UI Light"/>
      <family val="2"/>
      <scheme val="major"/>
    </font>
    <font>
      <sz val="14"/>
      <color theme="9" tint="-0.24994659260841701"/>
      <name val="Segoe UI Light"/>
      <family val="2"/>
      <scheme val="major"/>
    </font>
    <font>
      <sz val="10"/>
      <color theme="9" tint="-0.24994659260841701"/>
      <name val="Segoe UI Light"/>
      <family val="2"/>
      <scheme val="major"/>
    </font>
    <font>
      <sz val="8"/>
      <color theme="1" tint="0.24994659260841701"/>
      <name val="Segoe UI"/>
      <family val="2"/>
      <scheme val="minor"/>
    </font>
  </fonts>
  <fills count="13">
    <fill>
      <patternFill patternType="none"/>
    </fill>
    <fill>
      <patternFill patternType="gray125"/>
    </fill>
    <fill>
      <gradientFill degree="90">
        <stop position="0">
          <color theme="6" tint="0.40000610370189521"/>
        </stop>
        <stop position="1">
          <color rgb="FFFFFFFF"/>
        </stop>
      </gradientFill>
    </fill>
    <fill>
      <patternFill patternType="solid">
        <fgColor theme="0"/>
        <bgColor indexed="64"/>
      </patternFill>
    </fill>
    <fill>
      <patternFill patternType="solid">
        <fgColor theme="0"/>
        <bgColor auto="1"/>
      </pattern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9" fillId="3" borderId="0">
      <alignment horizontal="left"/>
    </xf>
    <xf numFmtId="0" fontId="10" fillId="4" borderId="0">
      <alignment horizontal="center" vertical="center"/>
    </xf>
    <xf numFmtId="165" fontId="11" fillId="3" borderId="0">
      <alignment horizontal="center" vertical="center"/>
    </xf>
    <xf numFmtId="1" fontId="8" fillId="0" borderId="0">
      <alignment horizontal="center" vertical="center"/>
    </xf>
  </cellStyleXfs>
  <cellXfs count="39">
    <xf numFmtId="0" fontId="0" fillId="0" borderId="0" xfId="0"/>
    <xf numFmtId="0" fontId="10" fillId="4" borderId="0" xfId="2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vertical="top"/>
    </xf>
    <xf numFmtId="0" fontId="2" fillId="3" borderId="0" xfId="0" applyFont="1" applyFill="1" applyBorder="1" applyAlignment="1">
      <alignment vertical="top"/>
    </xf>
    <xf numFmtId="0" fontId="2" fillId="3" borderId="0" xfId="0" applyFont="1" applyFill="1" applyAlignment="1">
      <alignment horizontal="center"/>
    </xf>
    <xf numFmtId="0" fontId="2" fillId="3" borderId="0" xfId="0" applyFont="1" applyFill="1" applyBorder="1"/>
    <xf numFmtId="165" fontId="11" fillId="3" borderId="0" xfId="3" applyFill="1" applyBorder="1">
      <alignment horizontal="center" vertical="center"/>
    </xf>
    <xf numFmtId="165" fontId="2" fillId="3" borderId="0" xfId="0" applyNumberFormat="1" applyFont="1" applyFill="1" applyBorder="1"/>
    <xf numFmtId="164" fontId="2" fillId="3" borderId="0" xfId="0" applyNumberFormat="1" applyFont="1" applyFill="1"/>
    <xf numFmtId="164" fontId="2" fillId="3" borderId="0" xfId="0" applyNumberFormat="1" applyFont="1" applyFill="1" applyAlignment="1"/>
    <xf numFmtId="0" fontId="4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1" fontId="5" fillId="3" borderId="0" xfId="4" applyFont="1" applyFill="1" applyAlignment="1">
      <alignment vertical="top"/>
    </xf>
    <xf numFmtId="0" fontId="0" fillId="3" borderId="0" xfId="0" applyFill="1"/>
    <xf numFmtId="164" fontId="7" fillId="3" borderId="0" xfId="0" applyNumberFormat="1" applyFont="1" applyFill="1" applyAlignment="1"/>
    <xf numFmtId="164" fontId="6" fillId="3" borderId="0" xfId="0" applyNumberFormat="1" applyFont="1" applyFill="1" applyAlignment="1"/>
    <xf numFmtId="1" fontId="8" fillId="4" borderId="0" xfId="4" applyFill="1" applyAlignment="1">
      <alignment vertical="center"/>
    </xf>
    <xf numFmtId="0" fontId="9" fillId="3" borderId="0" xfId="1">
      <alignment horizontal="left"/>
    </xf>
    <xf numFmtId="165" fontId="11" fillId="3" borderId="0" xfId="3">
      <alignment horizontal="center" vertical="center"/>
    </xf>
    <xf numFmtId="1" fontId="8" fillId="4" borderId="0" xfId="4" applyFill="1" applyAlignment="1">
      <alignment vertical="top"/>
    </xf>
    <xf numFmtId="0" fontId="9" fillId="3" borderId="0" xfId="1">
      <alignment horizontal="left"/>
    </xf>
    <xf numFmtId="1" fontId="8" fillId="2" borderId="0" xfId="4" applyFill="1" applyAlignment="1">
      <alignment horizontal="center" vertical="top"/>
    </xf>
    <xf numFmtId="164" fontId="2" fillId="5" borderId="0" xfId="0" applyNumberFormat="1" applyFont="1" applyFill="1" applyAlignment="1">
      <alignment horizontal="left"/>
    </xf>
    <xf numFmtId="1" fontId="8" fillId="2" borderId="0" xfId="4" applyFill="1" applyAlignment="1">
      <alignment horizontal="right" vertical="center" indent="2"/>
    </xf>
    <xf numFmtId="1" fontId="4" fillId="2" borderId="0" xfId="4" applyFont="1" applyFill="1" applyAlignment="1">
      <alignment horizontal="left" vertical="top"/>
    </xf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165" fontId="11" fillId="6" borderId="0" xfId="3" applyFill="1">
      <alignment horizontal="center" vertical="center"/>
    </xf>
    <xf numFmtId="165" fontId="11" fillId="11" borderId="0" xfId="3" applyFill="1">
      <alignment horizontal="center" vertical="center"/>
    </xf>
    <xf numFmtId="165" fontId="11" fillId="10" borderId="0" xfId="3" applyFill="1">
      <alignment horizontal="center" vertical="center"/>
    </xf>
    <xf numFmtId="165" fontId="11" fillId="9" borderId="0" xfId="3" applyFill="1">
      <alignment horizontal="center" vertical="center"/>
    </xf>
    <xf numFmtId="165" fontId="11" fillId="8" borderId="0" xfId="3" applyFill="1">
      <alignment horizontal="center" vertical="center"/>
    </xf>
    <xf numFmtId="165" fontId="11" fillId="7" borderId="0" xfId="3" applyFill="1">
      <alignment horizontal="center" vertical="center"/>
    </xf>
    <xf numFmtId="165" fontId="11" fillId="12" borderId="0" xfId="3" applyFill="1">
      <alignment horizontal="center" vertical="center"/>
    </xf>
    <xf numFmtId="0" fontId="2" fillId="12" borderId="0" xfId="0" applyFont="1" applyFill="1" applyAlignment="1">
      <alignment vertical="top"/>
    </xf>
  </cellXfs>
  <cellStyles count="5">
    <cellStyle name="Año" xfId="4"/>
    <cellStyle name="Día de la semana" xfId="2"/>
    <cellStyle name="Fecha" xfId="3"/>
    <cellStyle name="Mes" xfId="1"/>
    <cellStyle name="Normal" xfId="0" builtinId="0"/>
  </cellStyles>
  <dxfs count="0"/>
  <tableStyles count="0" defaultTableStyle="TableStyleMedium9" defaultPivotStyle="PivotStyleLight16"/>
  <colors>
    <mruColors>
      <color rgb="FFE8FCF9"/>
      <color rgb="FFE5FBF8"/>
      <color rgb="FFFFFFFF"/>
      <color rgb="FF007D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5" fmlaLink="$Z$2" max="9999" min="1900" page="10" val="2017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315540</xdr:colOff>
      <xdr:row>0</xdr:row>
      <xdr:rowOff>277811</xdr:rowOff>
    </xdr:from>
    <xdr:to>
      <xdr:col>36</xdr:col>
      <xdr:colOff>73775</xdr:colOff>
      <xdr:row>33</xdr:row>
      <xdr:rowOff>344489</xdr:rowOff>
    </xdr:to>
    <xdr:grpSp>
      <xdr:nvGrpSpPr>
        <xdr:cNvPr id="2" name="Grupo 1"/>
        <xdr:cNvGrpSpPr/>
      </xdr:nvGrpSpPr>
      <xdr:grpSpPr>
        <a:xfrm>
          <a:off x="315540" y="277811"/>
          <a:ext cx="8349785" cy="6905628"/>
          <a:chOff x="315540" y="277811"/>
          <a:chExt cx="8349785" cy="6905628"/>
        </a:xfrm>
      </xdr:grpSpPr>
      <xdr:sp macro="" textlink="">
        <xdr:nvSpPr>
          <xdr:cNvPr id="31" name="Forma libre 30"/>
          <xdr:cNvSpPr/>
        </xdr:nvSpPr>
        <xdr:spPr>
          <a:xfrm>
            <a:off x="341437" y="6165850"/>
            <a:ext cx="8306878" cy="824155"/>
          </a:xfrm>
          <a:custGeom>
            <a:avLst/>
            <a:gdLst>
              <a:gd name="connsiteX0" fmla="*/ 38100 w 8248650"/>
              <a:gd name="connsiteY0" fmla="*/ 0 h 3686175"/>
              <a:gd name="connsiteX1" fmla="*/ 4857750 w 8248650"/>
              <a:gd name="connsiteY1" fmla="*/ 962025 h 3686175"/>
              <a:gd name="connsiteX2" fmla="*/ 8248650 w 8248650"/>
              <a:gd name="connsiteY2" fmla="*/ 190500 h 3686175"/>
              <a:gd name="connsiteX3" fmla="*/ 8248650 w 8248650"/>
              <a:gd name="connsiteY3" fmla="*/ 3686175 h 3686175"/>
              <a:gd name="connsiteX4" fmla="*/ 0 w 8248650"/>
              <a:gd name="connsiteY4" fmla="*/ 3667125 h 3686175"/>
              <a:gd name="connsiteX5" fmla="*/ 38100 w 8248650"/>
              <a:gd name="connsiteY5" fmla="*/ 0 h 3686175"/>
              <a:gd name="connsiteX0" fmla="*/ 38100 w 8248650"/>
              <a:gd name="connsiteY0" fmla="*/ 90366 h 3776541"/>
              <a:gd name="connsiteX1" fmla="*/ 4857750 w 8248650"/>
              <a:gd name="connsiteY1" fmla="*/ 1052391 h 3776541"/>
              <a:gd name="connsiteX2" fmla="*/ 8248650 w 8248650"/>
              <a:gd name="connsiteY2" fmla="*/ 280866 h 3776541"/>
              <a:gd name="connsiteX3" fmla="*/ 8248650 w 8248650"/>
              <a:gd name="connsiteY3" fmla="*/ 3776541 h 3776541"/>
              <a:gd name="connsiteX4" fmla="*/ 0 w 8248650"/>
              <a:gd name="connsiteY4" fmla="*/ 3757491 h 3776541"/>
              <a:gd name="connsiteX5" fmla="*/ 38100 w 8248650"/>
              <a:gd name="connsiteY5" fmla="*/ 90366 h 3776541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204054 h 3890229"/>
              <a:gd name="connsiteX1" fmla="*/ 4857750 w 8248650"/>
              <a:gd name="connsiteY1" fmla="*/ 1166079 h 3890229"/>
              <a:gd name="connsiteX2" fmla="*/ 8248650 w 8248650"/>
              <a:gd name="connsiteY2" fmla="*/ 1994754 h 3890229"/>
              <a:gd name="connsiteX3" fmla="*/ 8248650 w 8248650"/>
              <a:gd name="connsiteY3" fmla="*/ 3890229 h 3890229"/>
              <a:gd name="connsiteX4" fmla="*/ 0 w 8248650"/>
              <a:gd name="connsiteY4" fmla="*/ 3871179 h 3890229"/>
              <a:gd name="connsiteX5" fmla="*/ 38100 w 8248650"/>
              <a:gd name="connsiteY5" fmla="*/ 204054 h 3890229"/>
              <a:gd name="connsiteX0" fmla="*/ 38100 w 9029700"/>
              <a:gd name="connsiteY0" fmla="*/ 89570 h 3775745"/>
              <a:gd name="connsiteX1" fmla="*/ 4857750 w 9029700"/>
              <a:gd name="connsiteY1" fmla="*/ 1051595 h 3775745"/>
              <a:gd name="connsiteX2" fmla="*/ 9029700 w 9029700"/>
              <a:gd name="connsiteY2" fmla="*/ 184820 h 3775745"/>
              <a:gd name="connsiteX3" fmla="*/ 8248650 w 9029700"/>
              <a:gd name="connsiteY3" fmla="*/ 3775745 h 3775745"/>
              <a:gd name="connsiteX4" fmla="*/ 0 w 9029700"/>
              <a:gd name="connsiteY4" fmla="*/ 3756695 h 3775745"/>
              <a:gd name="connsiteX5" fmla="*/ 38100 w 9029700"/>
              <a:gd name="connsiteY5" fmla="*/ 89570 h 3775745"/>
              <a:gd name="connsiteX0" fmla="*/ 38100 w 9077325"/>
              <a:gd name="connsiteY0" fmla="*/ 89570 h 3775745"/>
              <a:gd name="connsiteX1" fmla="*/ 4857750 w 9077325"/>
              <a:gd name="connsiteY1" fmla="*/ 1051595 h 3775745"/>
              <a:gd name="connsiteX2" fmla="*/ 9029700 w 9077325"/>
              <a:gd name="connsiteY2" fmla="*/ 184820 h 3775745"/>
              <a:gd name="connsiteX3" fmla="*/ 9077325 w 9077325"/>
              <a:gd name="connsiteY3" fmla="*/ 3775745 h 3775745"/>
              <a:gd name="connsiteX4" fmla="*/ 0 w 9077325"/>
              <a:gd name="connsiteY4" fmla="*/ 3756695 h 3775745"/>
              <a:gd name="connsiteX5" fmla="*/ 38100 w 9077325"/>
              <a:gd name="connsiteY5" fmla="*/ 89570 h 3775745"/>
              <a:gd name="connsiteX0" fmla="*/ 38100 w 9913498"/>
              <a:gd name="connsiteY0" fmla="*/ 89570 h 3775745"/>
              <a:gd name="connsiteX1" fmla="*/ 4857750 w 9913498"/>
              <a:gd name="connsiteY1" fmla="*/ 1051595 h 3775745"/>
              <a:gd name="connsiteX2" fmla="*/ 9029700 w 9913498"/>
              <a:gd name="connsiteY2" fmla="*/ 184820 h 3775745"/>
              <a:gd name="connsiteX3" fmla="*/ 9077325 w 9913498"/>
              <a:gd name="connsiteY3" fmla="*/ 3775745 h 3775745"/>
              <a:gd name="connsiteX4" fmla="*/ 0 w 9913498"/>
              <a:gd name="connsiteY4" fmla="*/ 3756695 h 3775745"/>
              <a:gd name="connsiteX5" fmla="*/ 38100 w 9913498"/>
              <a:gd name="connsiteY5" fmla="*/ 89570 h 3775745"/>
              <a:gd name="connsiteX0" fmla="*/ 38100 w 9077325"/>
              <a:gd name="connsiteY0" fmla="*/ 89570 h 3775745"/>
              <a:gd name="connsiteX1" fmla="*/ 4857750 w 9077325"/>
              <a:gd name="connsiteY1" fmla="*/ 1051595 h 3775745"/>
              <a:gd name="connsiteX2" fmla="*/ 9029700 w 9077325"/>
              <a:gd name="connsiteY2" fmla="*/ 184820 h 3775745"/>
              <a:gd name="connsiteX3" fmla="*/ 9077325 w 9077325"/>
              <a:gd name="connsiteY3" fmla="*/ 3775745 h 3775745"/>
              <a:gd name="connsiteX4" fmla="*/ 0 w 9077325"/>
              <a:gd name="connsiteY4" fmla="*/ 3756695 h 3775745"/>
              <a:gd name="connsiteX5" fmla="*/ 38100 w 9077325"/>
              <a:gd name="connsiteY5" fmla="*/ 89570 h 3775745"/>
              <a:gd name="connsiteX0" fmla="*/ 38100 w 9077325"/>
              <a:gd name="connsiteY0" fmla="*/ 89727 h 3775902"/>
              <a:gd name="connsiteX1" fmla="*/ 4857750 w 9077325"/>
              <a:gd name="connsiteY1" fmla="*/ 1051752 h 3775902"/>
              <a:gd name="connsiteX2" fmla="*/ 9058275 w 9077325"/>
              <a:gd name="connsiteY2" fmla="*/ 204027 h 3775902"/>
              <a:gd name="connsiteX3" fmla="*/ 9077325 w 9077325"/>
              <a:gd name="connsiteY3" fmla="*/ 3775902 h 3775902"/>
              <a:gd name="connsiteX4" fmla="*/ 0 w 9077325"/>
              <a:gd name="connsiteY4" fmla="*/ 3756852 h 3775902"/>
              <a:gd name="connsiteX5" fmla="*/ 38100 w 9077325"/>
              <a:gd name="connsiteY5" fmla="*/ 89727 h 3775902"/>
              <a:gd name="connsiteX0" fmla="*/ 38100 w 9077325"/>
              <a:gd name="connsiteY0" fmla="*/ 125431 h 3811606"/>
              <a:gd name="connsiteX1" fmla="*/ 5438775 w 9077325"/>
              <a:gd name="connsiteY1" fmla="*/ 601681 h 3811606"/>
              <a:gd name="connsiteX2" fmla="*/ 9058275 w 9077325"/>
              <a:gd name="connsiteY2" fmla="*/ 239731 h 3811606"/>
              <a:gd name="connsiteX3" fmla="*/ 9077325 w 9077325"/>
              <a:gd name="connsiteY3" fmla="*/ 3811606 h 3811606"/>
              <a:gd name="connsiteX4" fmla="*/ 0 w 9077325"/>
              <a:gd name="connsiteY4" fmla="*/ 3792556 h 3811606"/>
              <a:gd name="connsiteX5" fmla="*/ 38100 w 9077325"/>
              <a:gd name="connsiteY5" fmla="*/ 125431 h 3811606"/>
              <a:gd name="connsiteX0" fmla="*/ 38100 w 9077325"/>
              <a:gd name="connsiteY0" fmla="*/ 398584 h 4084759"/>
              <a:gd name="connsiteX1" fmla="*/ 9058275 w 9077325"/>
              <a:gd name="connsiteY1" fmla="*/ 512884 h 4084759"/>
              <a:gd name="connsiteX2" fmla="*/ 9077325 w 9077325"/>
              <a:gd name="connsiteY2" fmla="*/ 4084759 h 4084759"/>
              <a:gd name="connsiteX3" fmla="*/ 0 w 9077325"/>
              <a:gd name="connsiteY3" fmla="*/ 4065709 h 4084759"/>
              <a:gd name="connsiteX4" fmla="*/ 38100 w 9077325"/>
              <a:gd name="connsiteY4" fmla="*/ 398584 h 4084759"/>
              <a:gd name="connsiteX0" fmla="*/ 38100 w 9077325"/>
              <a:gd name="connsiteY0" fmla="*/ 160220 h 3846395"/>
              <a:gd name="connsiteX1" fmla="*/ 9058275 w 9077325"/>
              <a:gd name="connsiteY1" fmla="*/ 274520 h 3846395"/>
              <a:gd name="connsiteX2" fmla="*/ 9077325 w 9077325"/>
              <a:gd name="connsiteY2" fmla="*/ 3846395 h 3846395"/>
              <a:gd name="connsiteX3" fmla="*/ 0 w 9077325"/>
              <a:gd name="connsiteY3" fmla="*/ 3827345 h 3846395"/>
              <a:gd name="connsiteX4" fmla="*/ 38100 w 9077325"/>
              <a:gd name="connsiteY4" fmla="*/ 160220 h 3846395"/>
              <a:gd name="connsiteX0" fmla="*/ 38100 w 9077325"/>
              <a:gd name="connsiteY0" fmla="*/ 372009 h 4058184"/>
              <a:gd name="connsiteX1" fmla="*/ 9058275 w 9077325"/>
              <a:gd name="connsiteY1" fmla="*/ 486309 h 4058184"/>
              <a:gd name="connsiteX2" fmla="*/ 9077325 w 9077325"/>
              <a:gd name="connsiteY2" fmla="*/ 4058184 h 4058184"/>
              <a:gd name="connsiteX3" fmla="*/ 0 w 9077325"/>
              <a:gd name="connsiteY3" fmla="*/ 4039134 h 4058184"/>
              <a:gd name="connsiteX4" fmla="*/ 38100 w 9077325"/>
              <a:gd name="connsiteY4" fmla="*/ 372009 h 4058184"/>
              <a:gd name="connsiteX0" fmla="*/ 38100 w 9077325"/>
              <a:gd name="connsiteY0" fmla="*/ 184727 h 3870902"/>
              <a:gd name="connsiteX1" fmla="*/ 5343525 w 9077325"/>
              <a:gd name="connsiteY1" fmla="*/ 637899 h 3870902"/>
              <a:gd name="connsiteX2" fmla="*/ 9058275 w 9077325"/>
              <a:gd name="connsiteY2" fmla="*/ 299027 h 3870902"/>
              <a:gd name="connsiteX3" fmla="*/ 9077325 w 9077325"/>
              <a:gd name="connsiteY3" fmla="*/ 3870902 h 3870902"/>
              <a:gd name="connsiteX4" fmla="*/ 0 w 9077325"/>
              <a:gd name="connsiteY4" fmla="*/ 3851852 h 3870902"/>
              <a:gd name="connsiteX5" fmla="*/ 38100 w 9077325"/>
              <a:gd name="connsiteY5" fmla="*/ 184727 h 3870902"/>
              <a:gd name="connsiteX0" fmla="*/ 38100 w 9077325"/>
              <a:gd name="connsiteY0" fmla="*/ 88662 h 3774837"/>
              <a:gd name="connsiteX1" fmla="*/ 5343525 w 9077325"/>
              <a:gd name="connsiteY1" fmla="*/ 541834 h 3774837"/>
              <a:gd name="connsiteX2" fmla="*/ 9058275 w 9077325"/>
              <a:gd name="connsiteY2" fmla="*/ 202962 h 3774837"/>
              <a:gd name="connsiteX3" fmla="*/ 9077325 w 9077325"/>
              <a:gd name="connsiteY3" fmla="*/ 3774837 h 3774837"/>
              <a:gd name="connsiteX4" fmla="*/ 0 w 9077325"/>
              <a:gd name="connsiteY4" fmla="*/ 3755787 h 3774837"/>
              <a:gd name="connsiteX5" fmla="*/ 38100 w 9077325"/>
              <a:gd name="connsiteY5" fmla="*/ 88662 h 3774837"/>
              <a:gd name="connsiteX0" fmla="*/ 38100 w 9077325"/>
              <a:gd name="connsiteY0" fmla="*/ 136905 h 3823080"/>
              <a:gd name="connsiteX1" fmla="*/ 5343525 w 9077325"/>
              <a:gd name="connsiteY1" fmla="*/ 590077 h 3823080"/>
              <a:gd name="connsiteX2" fmla="*/ 9058275 w 9077325"/>
              <a:gd name="connsiteY2" fmla="*/ 251205 h 3823080"/>
              <a:gd name="connsiteX3" fmla="*/ 9077325 w 9077325"/>
              <a:gd name="connsiteY3" fmla="*/ 3823080 h 3823080"/>
              <a:gd name="connsiteX4" fmla="*/ 0 w 9077325"/>
              <a:gd name="connsiteY4" fmla="*/ 3804030 h 3823080"/>
              <a:gd name="connsiteX5" fmla="*/ 38100 w 9077325"/>
              <a:gd name="connsiteY5" fmla="*/ 136905 h 3823080"/>
              <a:gd name="connsiteX0" fmla="*/ 38100 w 9077325"/>
              <a:gd name="connsiteY0" fmla="*/ 161146 h 3847321"/>
              <a:gd name="connsiteX1" fmla="*/ 5343525 w 9077325"/>
              <a:gd name="connsiteY1" fmla="*/ 614318 h 3847321"/>
              <a:gd name="connsiteX2" fmla="*/ 9058275 w 9077325"/>
              <a:gd name="connsiteY2" fmla="*/ 275446 h 3847321"/>
              <a:gd name="connsiteX3" fmla="*/ 9077325 w 9077325"/>
              <a:gd name="connsiteY3" fmla="*/ 3847321 h 3847321"/>
              <a:gd name="connsiteX4" fmla="*/ 0 w 9077325"/>
              <a:gd name="connsiteY4" fmla="*/ 3828271 h 3847321"/>
              <a:gd name="connsiteX5" fmla="*/ 38100 w 9077325"/>
              <a:gd name="connsiteY5" fmla="*/ 161146 h 3847321"/>
              <a:gd name="connsiteX0" fmla="*/ 38100 w 9077325"/>
              <a:gd name="connsiteY0" fmla="*/ 161146 h 3847321"/>
              <a:gd name="connsiteX1" fmla="*/ 5343525 w 9077325"/>
              <a:gd name="connsiteY1" fmla="*/ 614318 h 3847321"/>
              <a:gd name="connsiteX2" fmla="*/ 9058275 w 9077325"/>
              <a:gd name="connsiteY2" fmla="*/ 275446 h 3847321"/>
              <a:gd name="connsiteX3" fmla="*/ 9077325 w 9077325"/>
              <a:gd name="connsiteY3" fmla="*/ 3847321 h 3847321"/>
              <a:gd name="connsiteX4" fmla="*/ 0 w 9077325"/>
              <a:gd name="connsiteY4" fmla="*/ 3828271 h 3847321"/>
              <a:gd name="connsiteX5" fmla="*/ 38100 w 9077325"/>
              <a:gd name="connsiteY5" fmla="*/ 161146 h 3847321"/>
              <a:gd name="connsiteX0" fmla="*/ 38100 w 9077325"/>
              <a:gd name="connsiteY0" fmla="*/ 173396 h 3859571"/>
              <a:gd name="connsiteX1" fmla="*/ 5343525 w 9077325"/>
              <a:gd name="connsiteY1" fmla="*/ 626568 h 3859571"/>
              <a:gd name="connsiteX2" fmla="*/ 9058275 w 9077325"/>
              <a:gd name="connsiteY2" fmla="*/ 287696 h 3859571"/>
              <a:gd name="connsiteX3" fmla="*/ 9077325 w 9077325"/>
              <a:gd name="connsiteY3" fmla="*/ 3859571 h 3859571"/>
              <a:gd name="connsiteX4" fmla="*/ 0 w 9077325"/>
              <a:gd name="connsiteY4" fmla="*/ 3840521 h 3859571"/>
              <a:gd name="connsiteX5" fmla="*/ 38100 w 9077325"/>
              <a:gd name="connsiteY5" fmla="*/ 173396 h 3859571"/>
              <a:gd name="connsiteX0" fmla="*/ 38100 w 9077325"/>
              <a:gd name="connsiteY0" fmla="*/ 100967 h 3787142"/>
              <a:gd name="connsiteX1" fmla="*/ 5343525 w 9077325"/>
              <a:gd name="connsiteY1" fmla="*/ 554139 h 3787142"/>
              <a:gd name="connsiteX2" fmla="*/ 9058275 w 9077325"/>
              <a:gd name="connsiteY2" fmla="*/ 215267 h 3787142"/>
              <a:gd name="connsiteX3" fmla="*/ 9077325 w 9077325"/>
              <a:gd name="connsiteY3" fmla="*/ 3787142 h 3787142"/>
              <a:gd name="connsiteX4" fmla="*/ 0 w 9077325"/>
              <a:gd name="connsiteY4" fmla="*/ 3768092 h 3787142"/>
              <a:gd name="connsiteX5" fmla="*/ 38100 w 9077325"/>
              <a:gd name="connsiteY5" fmla="*/ 100967 h 3787142"/>
              <a:gd name="connsiteX0" fmla="*/ 38100 w 9077325"/>
              <a:gd name="connsiteY0" fmla="*/ 128441 h 3814616"/>
              <a:gd name="connsiteX1" fmla="*/ 5343525 w 9077325"/>
              <a:gd name="connsiteY1" fmla="*/ 581613 h 3814616"/>
              <a:gd name="connsiteX2" fmla="*/ 9058275 w 9077325"/>
              <a:gd name="connsiteY2" fmla="*/ 242741 h 3814616"/>
              <a:gd name="connsiteX3" fmla="*/ 9077325 w 9077325"/>
              <a:gd name="connsiteY3" fmla="*/ 3814616 h 3814616"/>
              <a:gd name="connsiteX4" fmla="*/ 0 w 9077325"/>
              <a:gd name="connsiteY4" fmla="*/ 3795566 h 3814616"/>
              <a:gd name="connsiteX5" fmla="*/ 38100 w 9077325"/>
              <a:gd name="connsiteY5" fmla="*/ 128441 h 3814616"/>
              <a:gd name="connsiteX0" fmla="*/ 38100 w 9077325"/>
              <a:gd name="connsiteY0" fmla="*/ 118031 h 3804206"/>
              <a:gd name="connsiteX1" fmla="*/ 5343525 w 9077325"/>
              <a:gd name="connsiteY1" fmla="*/ 571203 h 3804206"/>
              <a:gd name="connsiteX2" fmla="*/ 9058275 w 9077325"/>
              <a:gd name="connsiteY2" fmla="*/ 232331 h 3804206"/>
              <a:gd name="connsiteX3" fmla="*/ 9077325 w 9077325"/>
              <a:gd name="connsiteY3" fmla="*/ 3804206 h 3804206"/>
              <a:gd name="connsiteX4" fmla="*/ 0 w 9077325"/>
              <a:gd name="connsiteY4" fmla="*/ 3785156 h 3804206"/>
              <a:gd name="connsiteX5" fmla="*/ 38100 w 9077325"/>
              <a:gd name="connsiteY5" fmla="*/ 118031 h 3804206"/>
              <a:gd name="connsiteX0" fmla="*/ 38100 w 9077325"/>
              <a:gd name="connsiteY0" fmla="*/ 118031 h 3804206"/>
              <a:gd name="connsiteX1" fmla="*/ 5343525 w 9077325"/>
              <a:gd name="connsiteY1" fmla="*/ 571203 h 3804206"/>
              <a:gd name="connsiteX2" fmla="*/ 9058275 w 9077325"/>
              <a:gd name="connsiteY2" fmla="*/ 232331 h 3804206"/>
              <a:gd name="connsiteX3" fmla="*/ 9077325 w 9077325"/>
              <a:gd name="connsiteY3" fmla="*/ 3804206 h 3804206"/>
              <a:gd name="connsiteX4" fmla="*/ 0 w 9077325"/>
              <a:gd name="connsiteY4" fmla="*/ 3785156 h 3804206"/>
              <a:gd name="connsiteX5" fmla="*/ 38100 w 9077325"/>
              <a:gd name="connsiteY5" fmla="*/ 118031 h 3804206"/>
              <a:gd name="connsiteX0" fmla="*/ 38100 w 9077325"/>
              <a:gd name="connsiteY0" fmla="*/ 112890 h 3799065"/>
              <a:gd name="connsiteX1" fmla="*/ 5553075 w 9077325"/>
              <a:gd name="connsiteY1" fmla="*/ 604162 h 3799065"/>
              <a:gd name="connsiteX2" fmla="*/ 9058275 w 9077325"/>
              <a:gd name="connsiteY2" fmla="*/ 227190 h 3799065"/>
              <a:gd name="connsiteX3" fmla="*/ 9077325 w 9077325"/>
              <a:gd name="connsiteY3" fmla="*/ 3799065 h 3799065"/>
              <a:gd name="connsiteX4" fmla="*/ 0 w 9077325"/>
              <a:gd name="connsiteY4" fmla="*/ 3780015 h 3799065"/>
              <a:gd name="connsiteX5" fmla="*/ 38100 w 9077325"/>
              <a:gd name="connsiteY5" fmla="*/ 112890 h 3799065"/>
              <a:gd name="connsiteX0" fmla="*/ 38100 w 9077325"/>
              <a:gd name="connsiteY0" fmla="*/ 98837 h 3785012"/>
              <a:gd name="connsiteX1" fmla="*/ 5553075 w 9077325"/>
              <a:gd name="connsiteY1" fmla="*/ 590109 h 3785012"/>
              <a:gd name="connsiteX2" fmla="*/ 9058275 w 9077325"/>
              <a:gd name="connsiteY2" fmla="*/ 213137 h 3785012"/>
              <a:gd name="connsiteX3" fmla="*/ 9077325 w 9077325"/>
              <a:gd name="connsiteY3" fmla="*/ 3785012 h 3785012"/>
              <a:gd name="connsiteX4" fmla="*/ 0 w 9077325"/>
              <a:gd name="connsiteY4" fmla="*/ 3765962 h 3785012"/>
              <a:gd name="connsiteX5" fmla="*/ 38100 w 9077325"/>
              <a:gd name="connsiteY5" fmla="*/ 98837 h 3785012"/>
              <a:gd name="connsiteX0" fmla="*/ 38100 w 9077325"/>
              <a:gd name="connsiteY0" fmla="*/ 89054 h 3775229"/>
              <a:gd name="connsiteX1" fmla="*/ 5553075 w 9077325"/>
              <a:gd name="connsiteY1" fmla="*/ 580326 h 3775229"/>
              <a:gd name="connsiteX2" fmla="*/ 9058275 w 9077325"/>
              <a:gd name="connsiteY2" fmla="*/ 203354 h 3775229"/>
              <a:gd name="connsiteX3" fmla="*/ 9077325 w 9077325"/>
              <a:gd name="connsiteY3" fmla="*/ 3775229 h 3775229"/>
              <a:gd name="connsiteX4" fmla="*/ 0 w 9077325"/>
              <a:gd name="connsiteY4" fmla="*/ 3756179 h 3775229"/>
              <a:gd name="connsiteX5" fmla="*/ 38100 w 9077325"/>
              <a:gd name="connsiteY5" fmla="*/ 89054 h 3775229"/>
              <a:gd name="connsiteX0" fmla="*/ 38100 w 9077325"/>
              <a:gd name="connsiteY0" fmla="*/ 120824 h 3806999"/>
              <a:gd name="connsiteX1" fmla="*/ 5553075 w 9077325"/>
              <a:gd name="connsiteY1" fmla="*/ 612096 h 3806999"/>
              <a:gd name="connsiteX2" fmla="*/ 9058275 w 9077325"/>
              <a:gd name="connsiteY2" fmla="*/ 235124 h 3806999"/>
              <a:gd name="connsiteX3" fmla="*/ 9077325 w 9077325"/>
              <a:gd name="connsiteY3" fmla="*/ 3806999 h 3806999"/>
              <a:gd name="connsiteX4" fmla="*/ 0 w 9077325"/>
              <a:gd name="connsiteY4" fmla="*/ 3787949 h 3806999"/>
              <a:gd name="connsiteX5" fmla="*/ 38100 w 9077325"/>
              <a:gd name="connsiteY5" fmla="*/ 120824 h 3806999"/>
              <a:gd name="connsiteX0" fmla="*/ 38100 w 9077325"/>
              <a:gd name="connsiteY0" fmla="*/ 120824 h 3806999"/>
              <a:gd name="connsiteX1" fmla="*/ 5553075 w 9077325"/>
              <a:gd name="connsiteY1" fmla="*/ 612096 h 3806999"/>
              <a:gd name="connsiteX2" fmla="*/ 9058275 w 9077325"/>
              <a:gd name="connsiteY2" fmla="*/ 235124 h 3806999"/>
              <a:gd name="connsiteX3" fmla="*/ 9077325 w 9077325"/>
              <a:gd name="connsiteY3" fmla="*/ 3806999 h 3806999"/>
              <a:gd name="connsiteX4" fmla="*/ 0 w 9077325"/>
              <a:gd name="connsiteY4" fmla="*/ 3787949 h 3806999"/>
              <a:gd name="connsiteX5" fmla="*/ 38100 w 9077325"/>
              <a:gd name="connsiteY5" fmla="*/ 120824 h 3806999"/>
              <a:gd name="connsiteX0" fmla="*/ 0 w 9039225"/>
              <a:gd name="connsiteY0" fmla="*/ 120824 h 3806999"/>
              <a:gd name="connsiteX1" fmla="*/ 5514975 w 9039225"/>
              <a:gd name="connsiteY1" fmla="*/ 612096 h 3806999"/>
              <a:gd name="connsiteX2" fmla="*/ 9020175 w 9039225"/>
              <a:gd name="connsiteY2" fmla="*/ 235124 h 3806999"/>
              <a:gd name="connsiteX3" fmla="*/ 9039225 w 9039225"/>
              <a:gd name="connsiteY3" fmla="*/ 3806999 h 3806999"/>
              <a:gd name="connsiteX4" fmla="*/ 0 w 9039225"/>
              <a:gd name="connsiteY4" fmla="*/ 730424 h 3806999"/>
              <a:gd name="connsiteX5" fmla="*/ 0 w 9039225"/>
              <a:gd name="connsiteY5" fmla="*/ 120824 h 3806999"/>
              <a:gd name="connsiteX0" fmla="*/ 0 w 9039225"/>
              <a:gd name="connsiteY0" fmla="*/ 120824 h 1016174"/>
              <a:gd name="connsiteX1" fmla="*/ 5514975 w 9039225"/>
              <a:gd name="connsiteY1" fmla="*/ 612096 h 1016174"/>
              <a:gd name="connsiteX2" fmla="*/ 9020175 w 9039225"/>
              <a:gd name="connsiteY2" fmla="*/ 235124 h 1016174"/>
              <a:gd name="connsiteX3" fmla="*/ 9039225 w 9039225"/>
              <a:gd name="connsiteY3" fmla="*/ 1016174 h 1016174"/>
              <a:gd name="connsiteX4" fmla="*/ 0 w 9039225"/>
              <a:gd name="connsiteY4" fmla="*/ 730424 h 1016174"/>
              <a:gd name="connsiteX5" fmla="*/ 0 w 9039225"/>
              <a:gd name="connsiteY5" fmla="*/ 120824 h 1016174"/>
              <a:gd name="connsiteX0" fmla="*/ 0 w 9039225"/>
              <a:gd name="connsiteY0" fmla="*/ 120824 h 1073324"/>
              <a:gd name="connsiteX1" fmla="*/ 5514975 w 9039225"/>
              <a:gd name="connsiteY1" fmla="*/ 612096 h 1073324"/>
              <a:gd name="connsiteX2" fmla="*/ 9020175 w 9039225"/>
              <a:gd name="connsiteY2" fmla="*/ 235124 h 1073324"/>
              <a:gd name="connsiteX3" fmla="*/ 9039225 w 9039225"/>
              <a:gd name="connsiteY3" fmla="*/ 1016174 h 1073324"/>
              <a:gd name="connsiteX4" fmla="*/ 0 w 9039225"/>
              <a:gd name="connsiteY4" fmla="*/ 1073324 h 1073324"/>
              <a:gd name="connsiteX5" fmla="*/ 0 w 9039225"/>
              <a:gd name="connsiteY5" fmla="*/ 120824 h 1073324"/>
              <a:gd name="connsiteX0" fmla="*/ 0 w 9020175"/>
              <a:gd name="connsiteY0" fmla="*/ 120824 h 1073324"/>
              <a:gd name="connsiteX1" fmla="*/ 5514975 w 9020175"/>
              <a:gd name="connsiteY1" fmla="*/ 612096 h 1073324"/>
              <a:gd name="connsiteX2" fmla="*/ 9020175 w 9020175"/>
              <a:gd name="connsiteY2" fmla="*/ 235124 h 1073324"/>
              <a:gd name="connsiteX3" fmla="*/ 9001125 w 9020175"/>
              <a:gd name="connsiteY3" fmla="*/ 1054274 h 1073324"/>
              <a:gd name="connsiteX4" fmla="*/ 0 w 9020175"/>
              <a:gd name="connsiteY4" fmla="*/ 1073324 h 1073324"/>
              <a:gd name="connsiteX5" fmla="*/ 0 w 9020175"/>
              <a:gd name="connsiteY5" fmla="*/ 120824 h 1073324"/>
              <a:gd name="connsiteX0" fmla="*/ 19050 w 9039225"/>
              <a:gd name="connsiteY0" fmla="*/ 120824 h 3121199"/>
              <a:gd name="connsiteX1" fmla="*/ 5534025 w 9039225"/>
              <a:gd name="connsiteY1" fmla="*/ 612096 h 3121199"/>
              <a:gd name="connsiteX2" fmla="*/ 9039225 w 9039225"/>
              <a:gd name="connsiteY2" fmla="*/ 235124 h 3121199"/>
              <a:gd name="connsiteX3" fmla="*/ 9020175 w 9039225"/>
              <a:gd name="connsiteY3" fmla="*/ 1054274 h 3121199"/>
              <a:gd name="connsiteX4" fmla="*/ 0 w 9039225"/>
              <a:gd name="connsiteY4" fmla="*/ 3121199 h 3121199"/>
              <a:gd name="connsiteX5" fmla="*/ 19050 w 9039225"/>
              <a:gd name="connsiteY5" fmla="*/ 120824 h 3121199"/>
              <a:gd name="connsiteX0" fmla="*/ 19050 w 9163050"/>
              <a:gd name="connsiteY0" fmla="*/ 120824 h 3197399"/>
              <a:gd name="connsiteX1" fmla="*/ 5534025 w 9163050"/>
              <a:gd name="connsiteY1" fmla="*/ 612096 h 3197399"/>
              <a:gd name="connsiteX2" fmla="*/ 9039225 w 9163050"/>
              <a:gd name="connsiteY2" fmla="*/ 235124 h 3197399"/>
              <a:gd name="connsiteX3" fmla="*/ 9163050 w 9163050"/>
              <a:gd name="connsiteY3" fmla="*/ 3197399 h 3197399"/>
              <a:gd name="connsiteX4" fmla="*/ 0 w 9163050"/>
              <a:gd name="connsiteY4" fmla="*/ 3121199 h 3197399"/>
              <a:gd name="connsiteX5" fmla="*/ 19050 w 9163050"/>
              <a:gd name="connsiteY5" fmla="*/ 120824 h 3197399"/>
              <a:gd name="connsiteX0" fmla="*/ 0 w 9144000"/>
              <a:gd name="connsiteY0" fmla="*/ 120824 h 3197399"/>
              <a:gd name="connsiteX1" fmla="*/ 5514975 w 9144000"/>
              <a:gd name="connsiteY1" fmla="*/ 612096 h 3197399"/>
              <a:gd name="connsiteX2" fmla="*/ 9020175 w 9144000"/>
              <a:gd name="connsiteY2" fmla="*/ 235124 h 3197399"/>
              <a:gd name="connsiteX3" fmla="*/ 9144000 w 9144000"/>
              <a:gd name="connsiteY3" fmla="*/ 3197399 h 3197399"/>
              <a:gd name="connsiteX4" fmla="*/ 9525 w 9144000"/>
              <a:gd name="connsiteY4" fmla="*/ 1330499 h 3197399"/>
              <a:gd name="connsiteX5" fmla="*/ 0 w 9144000"/>
              <a:gd name="connsiteY5" fmla="*/ 120824 h 3197399"/>
              <a:gd name="connsiteX0" fmla="*/ 0 w 9096375"/>
              <a:gd name="connsiteY0" fmla="*/ 120824 h 1530524"/>
              <a:gd name="connsiteX1" fmla="*/ 5514975 w 9096375"/>
              <a:gd name="connsiteY1" fmla="*/ 612096 h 1530524"/>
              <a:gd name="connsiteX2" fmla="*/ 9020175 w 9096375"/>
              <a:gd name="connsiteY2" fmla="*/ 235124 h 1530524"/>
              <a:gd name="connsiteX3" fmla="*/ 9096375 w 9096375"/>
              <a:gd name="connsiteY3" fmla="*/ 1530524 h 1530524"/>
              <a:gd name="connsiteX4" fmla="*/ 9525 w 9096375"/>
              <a:gd name="connsiteY4" fmla="*/ 1330499 h 1530524"/>
              <a:gd name="connsiteX5" fmla="*/ 0 w 9096375"/>
              <a:gd name="connsiteY5" fmla="*/ 120824 h 1530524"/>
              <a:gd name="connsiteX0" fmla="*/ 0 w 9096375"/>
              <a:gd name="connsiteY0" fmla="*/ 0 h 1409700"/>
              <a:gd name="connsiteX1" fmla="*/ 5514975 w 9096375"/>
              <a:gd name="connsiteY1" fmla="*/ 491272 h 1409700"/>
              <a:gd name="connsiteX2" fmla="*/ 9020175 w 9096375"/>
              <a:gd name="connsiteY2" fmla="*/ 114300 h 1409700"/>
              <a:gd name="connsiteX3" fmla="*/ 9096375 w 9096375"/>
              <a:gd name="connsiteY3" fmla="*/ 1409700 h 1409700"/>
              <a:gd name="connsiteX4" fmla="*/ 9525 w 9096375"/>
              <a:gd name="connsiteY4" fmla="*/ 1209675 h 1409700"/>
              <a:gd name="connsiteX5" fmla="*/ 0 w 9096375"/>
              <a:gd name="connsiteY5" fmla="*/ 0 h 1409700"/>
              <a:gd name="connsiteX0" fmla="*/ 0 w 9096375"/>
              <a:gd name="connsiteY0" fmla="*/ 0 h 1409700"/>
              <a:gd name="connsiteX1" fmla="*/ 5514975 w 9096375"/>
              <a:gd name="connsiteY1" fmla="*/ 491272 h 1409700"/>
              <a:gd name="connsiteX2" fmla="*/ 9029700 w 9096375"/>
              <a:gd name="connsiteY2" fmla="*/ 533400 h 1409700"/>
              <a:gd name="connsiteX3" fmla="*/ 9096375 w 9096375"/>
              <a:gd name="connsiteY3" fmla="*/ 1409700 h 1409700"/>
              <a:gd name="connsiteX4" fmla="*/ 9525 w 9096375"/>
              <a:gd name="connsiteY4" fmla="*/ 1209675 h 1409700"/>
              <a:gd name="connsiteX5" fmla="*/ 0 w 9096375"/>
              <a:gd name="connsiteY5" fmla="*/ 0 h 1409700"/>
              <a:gd name="connsiteX0" fmla="*/ 0 w 9096375"/>
              <a:gd name="connsiteY0" fmla="*/ 0 h 1409700"/>
              <a:gd name="connsiteX1" fmla="*/ 5429250 w 9096375"/>
              <a:gd name="connsiteY1" fmla="*/ 824647 h 1409700"/>
              <a:gd name="connsiteX2" fmla="*/ 9029700 w 9096375"/>
              <a:gd name="connsiteY2" fmla="*/ 533400 h 1409700"/>
              <a:gd name="connsiteX3" fmla="*/ 9096375 w 9096375"/>
              <a:gd name="connsiteY3" fmla="*/ 1409700 h 1409700"/>
              <a:gd name="connsiteX4" fmla="*/ 9525 w 9096375"/>
              <a:gd name="connsiteY4" fmla="*/ 1209675 h 1409700"/>
              <a:gd name="connsiteX5" fmla="*/ 0 w 9096375"/>
              <a:gd name="connsiteY5" fmla="*/ 0 h 1409700"/>
              <a:gd name="connsiteX0" fmla="*/ 0 w 9096375"/>
              <a:gd name="connsiteY0" fmla="*/ 19169 h 1428869"/>
              <a:gd name="connsiteX1" fmla="*/ 9029700 w 9096375"/>
              <a:gd name="connsiteY1" fmla="*/ 552569 h 1428869"/>
              <a:gd name="connsiteX2" fmla="*/ 9096375 w 9096375"/>
              <a:gd name="connsiteY2" fmla="*/ 1428869 h 1428869"/>
              <a:gd name="connsiteX3" fmla="*/ 9525 w 9096375"/>
              <a:gd name="connsiteY3" fmla="*/ 1228844 h 1428869"/>
              <a:gd name="connsiteX4" fmla="*/ 0 w 9096375"/>
              <a:gd name="connsiteY4" fmla="*/ 19169 h 1428869"/>
              <a:gd name="connsiteX0" fmla="*/ 0 w 9096375"/>
              <a:gd name="connsiteY0" fmla="*/ 0 h 1409700"/>
              <a:gd name="connsiteX1" fmla="*/ 9029700 w 9096375"/>
              <a:gd name="connsiteY1" fmla="*/ 533400 h 1409700"/>
              <a:gd name="connsiteX2" fmla="*/ 9096375 w 9096375"/>
              <a:gd name="connsiteY2" fmla="*/ 1409700 h 1409700"/>
              <a:gd name="connsiteX3" fmla="*/ 9525 w 9096375"/>
              <a:gd name="connsiteY3" fmla="*/ 1209675 h 1409700"/>
              <a:gd name="connsiteX4" fmla="*/ 0 w 9096375"/>
              <a:gd name="connsiteY4" fmla="*/ 0 h 1409700"/>
              <a:gd name="connsiteX0" fmla="*/ 0 w 9096375"/>
              <a:gd name="connsiteY0" fmla="*/ 0 h 1409700"/>
              <a:gd name="connsiteX1" fmla="*/ 9029700 w 9096375"/>
              <a:gd name="connsiteY1" fmla="*/ 533400 h 1409700"/>
              <a:gd name="connsiteX2" fmla="*/ 9096375 w 9096375"/>
              <a:gd name="connsiteY2" fmla="*/ 1409700 h 1409700"/>
              <a:gd name="connsiteX3" fmla="*/ 9525 w 9096375"/>
              <a:gd name="connsiteY3" fmla="*/ 1209675 h 1409700"/>
              <a:gd name="connsiteX4" fmla="*/ 0 w 9096375"/>
              <a:gd name="connsiteY4" fmla="*/ 0 h 1409700"/>
              <a:gd name="connsiteX0" fmla="*/ 0 w 9096375"/>
              <a:gd name="connsiteY0" fmla="*/ 0 h 1409700"/>
              <a:gd name="connsiteX1" fmla="*/ 9029700 w 9096375"/>
              <a:gd name="connsiteY1" fmla="*/ 533400 h 1409700"/>
              <a:gd name="connsiteX2" fmla="*/ 9096375 w 9096375"/>
              <a:gd name="connsiteY2" fmla="*/ 1409700 h 1409700"/>
              <a:gd name="connsiteX3" fmla="*/ 9525 w 9096375"/>
              <a:gd name="connsiteY3" fmla="*/ 1209675 h 1409700"/>
              <a:gd name="connsiteX4" fmla="*/ 0 w 9096375"/>
              <a:gd name="connsiteY4" fmla="*/ 0 h 1409700"/>
              <a:gd name="connsiteX0" fmla="*/ 0 w 9105900"/>
              <a:gd name="connsiteY0" fmla="*/ 0 h 1409700"/>
              <a:gd name="connsiteX1" fmla="*/ 9105900 w 9105900"/>
              <a:gd name="connsiteY1" fmla="*/ 523875 h 1409700"/>
              <a:gd name="connsiteX2" fmla="*/ 9096375 w 9105900"/>
              <a:gd name="connsiteY2" fmla="*/ 1409700 h 1409700"/>
              <a:gd name="connsiteX3" fmla="*/ 9525 w 9105900"/>
              <a:gd name="connsiteY3" fmla="*/ 1209675 h 1409700"/>
              <a:gd name="connsiteX4" fmla="*/ 0 w 9105900"/>
              <a:gd name="connsiteY4" fmla="*/ 0 h 1409700"/>
              <a:gd name="connsiteX0" fmla="*/ 0 w 9105900"/>
              <a:gd name="connsiteY0" fmla="*/ 0 h 1409700"/>
              <a:gd name="connsiteX1" fmla="*/ 9105900 w 9105900"/>
              <a:gd name="connsiteY1" fmla="*/ 523875 h 1409700"/>
              <a:gd name="connsiteX2" fmla="*/ 9096375 w 9105900"/>
              <a:gd name="connsiteY2" fmla="*/ 1409700 h 1409700"/>
              <a:gd name="connsiteX3" fmla="*/ 9525 w 9105900"/>
              <a:gd name="connsiteY3" fmla="*/ 1209675 h 1409700"/>
              <a:gd name="connsiteX4" fmla="*/ 0 w 9105900"/>
              <a:gd name="connsiteY4" fmla="*/ 0 h 1409700"/>
              <a:gd name="connsiteX0" fmla="*/ 0 w 9105900"/>
              <a:gd name="connsiteY0" fmla="*/ 0 h 1409700"/>
              <a:gd name="connsiteX1" fmla="*/ 9105900 w 9105900"/>
              <a:gd name="connsiteY1" fmla="*/ 523875 h 1409700"/>
              <a:gd name="connsiteX2" fmla="*/ 9096375 w 9105900"/>
              <a:gd name="connsiteY2" fmla="*/ 1409700 h 1409700"/>
              <a:gd name="connsiteX3" fmla="*/ 9525 w 9105900"/>
              <a:gd name="connsiteY3" fmla="*/ 1209675 h 1409700"/>
              <a:gd name="connsiteX4" fmla="*/ 0 w 9105900"/>
              <a:gd name="connsiteY4" fmla="*/ 0 h 1409700"/>
              <a:gd name="connsiteX0" fmla="*/ 0 w 9105900"/>
              <a:gd name="connsiteY0" fmla="*/ 0 h 1409700"/>
              <a:gd name="connsiteX1" fmla="*/ 9105900 w 9105900"/>
              <a:gd name="connsiteY1" fmla="*/ 401411 h 1409700"/>
              <a:gd name="connsiteX2" fmla="*/ 9096375 w 9105900"/>
              <a:gd name="connsiteY2" fmla="*/ 1409700 h 1409700"/>
              <a:gd name="connsiteX3" fmla="*/ 9525 w 9105900"/>
              <a:gd name="connsiteY3" fmla="*/ 1209675 h 1409700"/>
              <a:gd name="connsiteX4" fmla="*/ 0 w 9105900"/>
              <a:gd name="connsiteY4" fmla="*/ 0 h 1409700"/>
              <a:gd name="connsiteX0" fmla="*/ 0 w 9105900"/>
              <a:gd name="connsiteY0" fmla="*/ 0 h 1209675"/>
              <a:gd name="connsiteX1" fmla="*/ 9105900 w 9105900"/>
              <a:gd name="connsiteY1" fmla="*/ 401411 h 1209675"/>
              <a:gd name="connsiteX2" fmla="*/ 8917572 w 9105900"/>
              <a:gd name="connsiteY2" fmla="*/ 687088 h 1209675"/>
              <a:gd name="connsiteX3" fmla="*/ 9525 w 9105900"/>
              <a:gd name="connsiteY3" fmla="*/ 1209675 h 1209675"/>
              <a:gd name="connsiteX4" fmla="*/ 0 w 9105900"/>
              <a:gd name="connsiteY4" fmla="*/ 0 h 1209675"/>
              <a:gd name="connsiteX0" fmla="*/ 0 w 8956897"/>
              <a:gd name="connsiteY0" fmla="*/ 0 h 1209675"/>
              <a:gd name="connsiteX1" fmla="*/ 8956897 w 8956897"/>
              <a:gd name="connsiteY1" fmla="*/ 393105 h 1209675"/>
              <a:gd name="connsiteX2" fmla="*/ 8917572 w 8956897"/>
              <a:gd name="connsiteY2" fmla="*/ 687088 h 1209675"/>
              <a:gd name="connsiteX3" fmla="*/ 9525 w 8956897"/>
              <a:gd name="connsiteY3" fmla="*/ 1209675 h 1209675"/>
              <a:gd name="connsiteX4" fmla="*/ 0 w 8956897"/>
              <a:gd name="connsiteY4" fmla="*/ 0 h 1209675"/>
              <a:gd name="connsiteX0" fmla="*/ 409 w 8957306"/>
              <a:gd name="connsiteY0" fmla="*/ 0 h 711322"/>
              <a:gd name="connsiteX1" fmla="*/ 8957306 w 8957306"/>
              <a:gd name="connsiteY1" fmla="*/ 393105 h 711322"/>
              <a:gd name="connsiteX2" fmla="*/ 8917981 w 8957306"/>
              <a:gd name="connsiteY2" fmla="*/ 687088 h 711322"/>
              <a:gd name="connsiteX3" fmla="*/ 0 w 8957306"/>
              <a:gd name="connsiteY3" fmla="*/ 711322 h 711322"/>
              <a:gd name="connsiteX4" fmla="*/ 409 w 8957306"/>
              <a:gd name="connsiteY4" fmla="*/ 0 h 711322"/>
              <a:gd name="connsiteX0" fmla="*/ 1 w 8956898"/>
              <a:gd name="connsiteY0" fmla="*/ 0 h 711322"/>
              <a:gd name="connsiteX1" fmla="*/ 8956898 w 8956898"/>
              <a:gd name="connsiteY1" fmla="*/ 393105 h 711322"/>
              <a:gd name="connsiteX2" fmla="*/ 8917573 w 8956898"/>
              <a:gd name="connsiteY2" fmla="*/ 687088 h 711322"/>
              <a:gd name="connsiteX3" fmla="*/ 29393 w 8956898"/>
              <a:gd name="connsiteY3" fmla="*/ 711322 h 711322"/>
              <a:gd name="connsiteX4" fmla="*/ 1 w 8956898"/>
              <a:gd name="connsiteY4" fmla="*/ 0 h 711322"/>
              <a:gd name="connsiteX0" fmla="*/ 1 w 8946964"/>
              <a:gd name="connsiteY0" fmla="*/ 0 h 644875"/>
              <a:gd name="connsiteX1" fmla="*/ 8946964 w 8946964"/>
              <a:gd name="connsiteY1" fmla="*/ 326658 h 644875"/>
              <a:gd name="connsiteX2" fmla="*/ 8907639 w 8946964"/>
              <a:gd name="connsiteY2" fmla="*/ 620641 h 644875"/>
              <a:gd name="connsiteX3" fmla="*/ 19459 w 8946964"/>
              <a:gd name="connsiteY3" fmla="*/ 644875 h 644875"/>
              <a:gd name="connsiteX4" fmla="*/ 1 w 8946964"/>
              <a:gd name="connsiteY4" fmla="*/ 0 h 644875"/>
              <a:gd name="connsiteX0" fmla="*/ 1 w 8946964"/>
              <a:gd name="connsiteY0" fmla="*/ 0 h 644875"/>
              <a:gd name="connsiteX1" fmla="*/ 8946964 w 8946964"/>
              <a:gd name="connsiteY1" fmla="*/ 326658 h 644875"/>
              <a:gd name="connsiteX2" fmla="*/ 8907639 w 8946964"/>
              <a:gd name="connsiteY2" fmla="*/ 620641 h 644875"/>
              <a:gd name="connsiteX3" fmla="*/ 19459 w 8946964"/>
              <a:gd name="connsiteY3" fmla="*/ 644875 h 644875"/>
              <a:gd name="connsiteX4" fmla="*/ 1 w 8946964"/>
              <a:gd name="connsiteY4" fmla="*/ 0 h 644875"/>
              <a:gd name="connsiteX0" fmla="*/ 1 w 8946964"/>
              <a:gd name="connsiteY0" fmla="*/ 0 h 652841"/>
              <a:gd name="connsiteX1" fmla="*/ 8946964 w 8946964"/>
              <a:gd name="connsiteY1" fmla="*/ 326658 h 652841"/>
              <a:gd name="connsiteX2" fmla="*/ 8931345 w 8946964"/>
              <a:gd name="connsiteY2" fmla="*/ 652841 h 652841"/>
              <a:gd name="connsiteX3" fmla="*/ 19459 w 8946964"/>
              <a:gd name="connsiteY3" fmla="*/ 644875 h 652841"/>
              <a:gd name="connsiteX4" fmla="*/ 1 w 8946964"/>
              <a:gd name="connsiteY4" fmla="*/ 0 h 652841"/>
              <a:gd name="connsiteX0" fmla="*/ 12149 w 8927505"/>
              <a:gd name="connsiteY0" fmla="*/ 0 h 665721"/>
              <a:gd name="connsiteX1" fmla="*/ 8927505 w 8927505"/>
              <a:gd name="connsiteY1" fmla="*/ 339538 h 665721"/>
              <a:gd name="connsiteX2" fmla="*/ 8911886 w 8927505"/>
              <a:gd name="connsiteY2" fmla="*/ 665721 h 665721"/>
              <a:gd name="connsiteX3" fmla="*/ 0 w 8927505"/>
              <a:gd name="connsiteY3" fmla="*/ 657755 h 665721"/>
              <a:gd name="connsiteX4" fmla="*/ 12149 w 8927505"/>
              <a:gd name="connsiteY4" fmla="*/ 0 h 665721"/>
              <a:gd name="connsiteX0" fmla="*/ 4 w 8915360"/>
              <a:gd name="connsiteY0" fmla="*/ 0 h 665721"/>
              <a:gd name="connsiteX1" fmla="*/ 8915360 w 8915360"/>
              <a:gd name="connsiteY1" fmla="*/ 339538 h 665721"/>
              <a:gd name="connsiteX2" fmla="*/ 8899741 w 8915360"/>
              <a:gd name="connsiteY2" fmla="*/ 665721 h 665721"/>
              <a:gd name="connsiteX3" fmla="*/ 3658 w 8915360"/>
              <a:gd name="connsiteY3" fmla="*/ 651315 h 665721"/>
              <a:gd name="connsiteX4" fmla="*/ 4 w 8915360"/>
              <a:gd name="connsiteY4" fmla="*/ 0 h 665721"/>
              <a:gd name="connsiteX0" fmla="*/ 4 w 8915360"/>
              <a:gd name="connsiteY0" fmla="*/ 0 h 659281"/>
              <a:gd name="connsiteX1" fmla="*/ 8915360 w 8915360"/>
              <a:gd name="connsiteY1" fmla="*/ 339538 h 659281"/>
              <a:gd name="connsiteX2" fmla="*/ 8907643 w 8915360"/>
              <a:gd name="connsiteY2" fmla="*/ 659281 h 659281"/>
              <a:gd name="connsiteX3" fmla="*/ 3658 w 8915360"/>
              <a:gd name="connsiteY3" fmla="*/ 651315 h 659281"/>
              <a:gd name="connsiteX4" fmla="*/ 4 w 8915360"/>
              <a:gd name="connsiteY4" fmla="*/ 0 h 659281"/>
              <a:gd name="connsiteX0" fmla="*/ 4 w 8907643"/>
              <a:gd name="connsiteY0" fmla="*/ 0 h 659281"/>
              <a:gd name="connsiteX1" fmla="*/ 8875852 w 8907643"/>
              <a:gd name="connsiteY1" fmla="*/ 333098 h 659281"/>
              <a:gd name="connsiteX2" fmla="*/ 8907643 w 8907643"/>
              <a:gd name="connsiteY2" fmla="*/ 659281 h 659281"/>
              <a:gd name="connsiteX3" fmla="*/ 3658 w 8907643"/>
              <a:gd name="connsiteY3" fmla="*/ 651315 h 659281"/>
              <a:gd name="connsiteX4" fmla="*/ 4 w 8907643"/>
              <a:gd name="connsiteY4" fmla="*/ 0 h 659281"/>
              <a:gd name="connsiteX0" fmla="*/ 4 w 8875852"/>
              <a:gd name="connsiteY0" fmla="*/ 0 h 659281"/>
              <a:gd name="connsiteX1" fmla="*/ 8875852 w 8875852"/>
              <a:gd name="connsiteY1" fmla="*/ 333098 h 659281"/>
              <a:gd name="connsiteX2" fmla="*/ 8868134 w 8875852"/>
              <a:gd name="connsiteY2" fmla="*/ 659281 h 659281"/>
              <a:gd name="connsiteX3" fmla="*/ 3658 w 8875852"/>
              <a:gd name="connsiteY3" fmla="*/ 651315 h 659281"/>
              <a:gd name="connsiteX4" fmla="*/ 4 w 8875852"/>
              <a:gd name="connsiteY4" fmla="*/ 0 h 659281"/>
              <a:gd name="connsiteX0" fmla="*/ 4 w 8875852"/>
              <a:gd name="connsiteY0" fmla="*/ 0 h 700958"/>
              <a:gd name="connsiteX1" fmla="*/ 8875852 w 8875852"/>
              <a:gd name="connsiteY1" fmla="*/ 333098 h 700958"/>
              <a:gd name="connsiteX2" fmla="*/ 8794042 w 8875852"/>
              <a:gd name="connsiteY2" fmla="*/ 700958 h 700958"/>
              <a:gd name="connsiteX3" fmla="*/ 3658 w 8875852"/>
              <a:gd name="connsiteY3" fmla="*/ 651315 h 700958"/>
              <a:gd name="connsiteX4" fmla="*/ 4 w 8875852"/>
              <a:gd name="connsiteY4" fmla="*/ 0 h 700958"/>
              <a:gd name="connsiteX0" fmla="*/ 4 w 8823988"/>
              <a:gd name="connsiteY0" fmla="*/ 0 h 700958"/>
              <a:gd name="connsiteX1" fmla="*/ 8823988 w 8823988"/>
              <a:gd name="connsiteY1" fmla="*/ 339051 h 700958"/>
              <a:gd name="connsiteX2" fmla="*/ 8794042 w 8823988"/>
              <a:gd name="connsiteY2" fmla="*/ 700958 h 700958"/>
              <a:gd name="connsiteX3" fmla="*/ 3658 w 8823988"/>
              <a:gd name="connsiteY3" fmla="*/ 651315 h 700958"/>
              <a:gd name="connsiteX4" fmla="*/ 4 w 8823988"/>
              <a:gd name="connsiteY4" fmla="*/ 0 h 700958"/>
              <a:gd name="connsiteX0" fmla="*/ 4 w 8816579"/>
              <a:gd name="connsiteY0" fmla="*/ 0 h 700958"/>
              <a:gd name="connsiteX1" fmla="*/ 8816579 w 8816579"/>
              <a:gd name="connsiteY1" fmla="*/ 356913 h 700958"/>
              <a:gd name="connsiteX2" fmla="*/ 8794042 w 8816579"/>
              <a:gd name="connsiteY2" fmla="*/ 700958 h 700958"/>
              <a:gd name="connsiteX3" fmla="*/ 3658 w 8816579"/>
              <a:gd name="connsiteY3" fmla="*/ 651315 h 700958"/>
              <a:gd name="connsiteX4" fmla="*/ 4 w 8816579"/>
              <a:gd name="connsiteY4" fmla="*/ 0 h 700958"/>
              <a:gd name="connsiteX0" fmla="*/ 4 w 8816579"/>
              <a:gd name="connsiteY0" fmla="*/ 0 h 700958"/>
              <a:gd name="connsiteX1" fmla="*/ 8816579 w 8816579"/>
              <a:gd name="connsiteY1" fmla="*/ 350959 h 700958"/>
              <a:gd name="connsiteX2" fmla="*/ 8794042 w 8816579"/>
              <a:gd name="connsiteY2" fmla="*/ 700958 h 700958"/>
              <a:gd name="connsiteX3" fmla="*/ 3658 w 8816579"/>
              <a:gd name="connsiteY3" fmla="*/ 651315 h 700958"/>
              <a:gd name="connsiteX4" fmla="*/ 4 w 8816579"/>
              <a:gd name="connsiteY4" fmla="*/ 0 h 700958"/>
              <a:gd name="connsiteX0" fmla="*/ 1 w 8816576"/>
              <a:gd name="connsiteY0" fmla="*/ 0 h 700958"/>
              <a:gd name="connsiteX1" fmla="*/ 8816576 w 8816576"/>
              <a:gd name="connsiteY1" fmla="*/ 350959 h 700958"/>
              <a:gd name="connsiteX2" fmla="*/ 8794039 w 8816576"/>
              <a:gd name="connsiteY2" fmla="*/ 700958 h 700958"/>
              <a:gd name="connsiteX3" fmla="*/ 33291 w 8816576"/>
              <a:gd name="connsiteY3" fmla="*/ 692992 h 700958"/>
              <a:gd name="connsiteX4" fmla="*/ 1 w 8816576"/>
              <a:gd name="connsiteY4" fmla="*/ 0 h 700958"/>
              <a:gd name="connsiteX0" fmla="*/ 1 w 8801758"/>
              <a:gd name="connsiteY0" fmla="*/ 0 h 677143"/>
              <a:gd name="connsiteX1" fmla="*/ 8801758 w 8801758"/>
              <a:gd name="connsiteY1" fmla="*/ 327144 h 677143"/>
              <a:gd name="connsiteX2" fmla="*/ 8779221 w 8801758"/>
              <a:gd name="connsiteY2" fmla="*/ 677143 h 677143"/>
              <a:gd name="connsiteX3" fmla="*/ 18473 w 8801758"/>
              <a:gd name="connsiteY3" fmla="*/ 669177 h 677143"/>
              <a:gd name="connsiteX4" fmla="*/ 1 w 8801758"/>
              <a:gd name="connsiteY4" fmla="*/ 0 h 677143"/>
              <a:gd name="connsiteX0" fmla="*/ 3 w 8801760"/>
              <a:gd name="connsiteY0" fmla="*/ 0 h 677143"/>
              <a:gd name="connsiteX1" fmla="*/ 8801760 w 8801760"/>
              <a:gd name="connsiteY1" fmla="*/ 327144 h 677143"/>
              <a:gd name="connsiteX2" fmla="*/ 8779223 w 8801760"/>
              <a:gd name="connsiteY2" fmla="*/ 677143 h 677143"/>
              <a:gd name="connsiteX3" fmla="*/ 3656 w 8801760"/>
              <a:gd name="connsiteY3" fmla="*/ 675131 h 677143"/>
              <a:gd name="connsiteX4" fmla="*/ 3 w 8801760"/>
              <a:gd name="connsiteY4" fmla="*/ 0 h 677143"/>
              <a:gd name="connsiteX0" fmla="*/ 3756 w 8798104"/>
              <a:gd name="connsiteY0" fmla="*/ 0 h 677143"/>
              <a:gd name="connsiteX1" fmla="*/ 8798104 w 8798104"/>
              <a:gd name="connsiteY1" fmla="*/ 327144 h 677143"/>
              <a:gd name="connsiteX2" fmla="*/ 8775567 w 8798104"/>
              <a:gd name="connsiteY2" fmla="*/ 677143 h 677143"/>
              <a:gd name="connsiteX3" fmla="*/ 0 w 8798104"/>
              <a:gd name="connsiteY3" fmla="*/ 675131 h 677143"/>
              <a:gd name="connsiteX4" fmla="*/ 3756 w 8798104"/>
              <a:gd name="connsiteY4" fmla="*/ 0 h 677143"/>
              <a:gd name="connsiteX0" fmla="*/ 3756 w 8798104"/>
              <a:gd name="connsiteY0" fmla="*/ 0 h 675131"/>
              <a:gd name="connsiteX1" fmla="*/ 8798104 w 8798104"/>
              <a:gd name="connsiteY1" fmla="*/ 327144 h 675131"/>
              <a:gd name="connsiteX2" fmla="*/ 8472725 w 8798104"/>
              <a:gd name="connsiteY2" fmla="*/ 630922 h 675131"/>
              <a:gd name="connsiteX3" fmla="*/ 0 w 8798104"/>
              <a:gd name="connsiteY3" fmla="*/ 675131 h 675131"/>
              <a:gd name="connsiteX4" fmla="*/ 3756 w 8798104"/>
              <a:gd name="connsiteY4" fmla="*/ 0 h 675131"/>
              <a:gd name="connsiteX0" fmla="*/ 3756 w 8514189"/>
              <a:gd name="connsiteY0" fmla="*/ 0 h 675131"/>
              <a:gd name="connsiteX1" fmla="*/ 8514189 w 8514189"/>
              <a:gd name="connsiteY1" fmla="*/ 296330 h 675131"/>
              <a:gd name="connsiteX2" fmla="*/ 8472725 w 8514189"/>
              <a:gd name="connsiteY2" fmla="*/ 630922 h 675131"/>
              <a:gd name="connsiteX3" fmla="*/ 0 w 8514189"/>
              <a:gd name="connsiteY3" fmla="*/ 675131 h 675131"/>
              <a:gd name="connsiteX4" fmla="*/ 3756 w 8514189"/>
              <a:gd name="connsiteY4" fmla="*/ 0 h 675131"/>
              <a:gd name="connsiteX0" fmla="*/ 3756 w 8476334"/>
              <a:gd name="connsiteY0" fmla="*/ 0 h 675131"/>
              <a:gd name="connsiteX1" fmla="*/ 8476334 w 8476334"/>
              <a:gd name="connsiteY1" fmla="*/ 296330 h 675131"/>
              <a:gd name="connsiteX2" fmla="*/ 8472725 w 8476334"/>
              <a:gd name="connsiteY2" fmla="*/ 630922 h 675131"/>
              <a:gd name="connsiteX3" fmla="*/ 0 w 8476334"/>
              <a:gd name="connsiteY3" fmla="*/ 675131 h 675131"/>
              <a:gd name="connsiteX4" fmla="*/ 3756 w 8476334"/>
              <a:gd name="connsiteY4" fmla="*/ 0 h 675131"/>
              <a:gd name="connsiteX0" fmla="*/ 3756 w 8476334"/>
              <a:gd name="connsiteY0" fmla="*/ 0 h 675131"/>
              <a:gd name="connsiteX1" fmla="*/ 8476334 w 8476334"/>
              <a:gd name="connsiteY1" fmla="*/ 238881 h 675131"/>
              <a:gd name="connsiteX2" fmla="*/ 8472725 w 8476334"/>
              <a:gd name="connsiteY2" fmla="*/ 630922 h 675131"/>
              <a:gd name="connsiteX3" fmla="*/ 0 w 8476334"/>
              <a:gd name="connsiteY3" fmla="*/ 675131 h 675131"/>
              <a:gd name="connsiteX4" fmla="*/ 3756 w 8476334"/>
              <a:gd name="connsiteY4" fmla="*/ 0 h 675131"/>
              <a:gd name="connsiteX0" fmla="*/ 3756 w 8476334"/>
              <a:gd name="connsiteY0" fmla="*/ 0 h 675131"/>
              <a:gd name="connsiteX1" fmla="*/ 8476334 w 8476334"/>
              <a:gd name="connsiteY1" fmla="*/ 238881 h 675131"/>
              <a:gd name="connsiteX2" fmla="*/ 8472725 w 8476334"/>
              <a:gd name="connsiteY2" fmla="*/ 630922 h 675131"/>
              <a:gd name="connsiteX3" fmla="*/ 0 w 8476334"/>
              <a:gd name="connsiteY3" fmla="*/ 675131 h 675131"/>
              <a:gd name="connsiteX4" fmla="*/ 3756 w 8476334"/>
              <a:gd name="connsiteY4" fmla="*/ 0 h 67513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8476334" h="675131">
                <a:moveTo>
                  <a:pt x="3756" y="0"/>
                </a:moveTo>
                <a:cubicBezTo>
                  <a:pt x="1787302" y="846622"/>
                  <a:pt x="5390283" y="-303413"/>
                  <a:pt x="8476334" y="238881"/>
                </a:cubicBezTo>
                <a:lnTo>
                  <a:pt x="8472725" y="630922"/>
                </a:lnTo>
                <a:lnTo>
                  <a:pt x="0" y="675131"/>
                </a:lnTo>
                <a:cubicBezTo>
                  <a:pt x="136" y="438024"/>
                  <a:pt x="3620" y="237107"/>
                  <a:pt x="3756" y="0"/>
                </a:cubicBezTo>
                <a:close/>
              </a:path>
            </a:pathLst>
          </a:custGeom>
          <a:gradFill>
            <a:gsLst>
              <a:gs pos="0">
                <a:schemeClr val="accent1">
                  <a:alpha val="38000"/>
                </a:schemeClr>
              </a:gs>
              <a:gs pos="100000">
                <a:schemeClr val="bg1">
                  <a:alpha val="0"/>
                </a:schemeClr>
              </a:gs>
              <a:gs pos="82000">
                <a:schemeClr val="accent1">
                  <a:alpha val="19000"/>
                </a:schemeClr>
              </a:gs>
            </a:gsLst>
            <a:lin ang="5400000" scaled="0"/>
          </a:gra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4" name="Forma libre 33"/>
          <xdr:cNvSpPr/>
        </xdr:nvSpPr>
        <xdr:spPr>
          <a:xfrm>
            <a:off x="336175" y="6449065"/>
            <a:ext cx="8329150" cy="439141"/>
          </a:xfrm>
          <a:custGeom>
            <a:avLst/>
            <a:gdLst>
              <a:gd name="connsiteX0" fmla="*/ 38100 w 8248650"/>
              <a:gd name="connsiteY0" fmla="*/ 0 h 3686175"/>
              <a:gd name="connsiteX1" fmla="*/ 4857750 w 8248650"/>
              <a:gd name="connsiteY1" fmla="*/ 962025 h 3686175"/>
              <a:gd name="connsiteX2" fmla="*/ 8248650 w 8248650"/>
              <a:gd name="connsiteY2" fmla="*/ 190500 h 3686175"/>
              <a:gd name="connsiteX3" fmla="*/ 8248650 w 8248650"/>
              <a:gd name="connsiteY3" fmla="*/ 3686175 h 3686175"/>
              <a:gd name="connsiteX4" fmla="*/ 0 w 8248650"/>
              <a:gd name="connsiteY4" fmla="*/ 3667125 h 3686175"/>
              <a:gd name="connsiteX5" fmla="*/ 38100 w 8248650"/>
              <a:gd name="connsiteY5" fmla="*/ 0 h 3686175"/>
              <a:gd name="connsiteX0" fmla="*/ 38100 w 8248650"/>
              <a:gd name="connsiteY0" fmla="*/ 90366 h 3776541"/>
              <a:gd name="connsiteX1" fmla="*/ 4857750 w 8248650"/>
              <a:gd name="connsiteY1" fmla="*/ 1052391 h 3776541"/>
              <a:gd name="connsiteX2" fmla="*/ 8248650 w 8248650"/>
              <a:gd name="connsiteY2" fmla="*/ 280866 h 3776541"/>
              <a:gd name="connsiteX3" fmla="*/ 8248650 w 8248650"/>
              <a:gd name="connsiteY3" fmla="*/ 3776541 h 3776541"/>
              <a:gd name="connsiteX4" fmla="*/ 0 w 8248650"/>
              <a:gd name="connsiteY4" fmla="*/ 3757491 h 3776541"/>
              <a:gd name="connsiteX5" fmla="*/ 38100 w 8248650"/>
              <a:gd name="connsiteY5" fmla="*/ 90366 h 3776541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204054 h 3890229"/>
              <a:gd name="connsiteX1" fmla="*/ 4857750 w 8248650"/>
              <a:gd name="connsiteY1" fmla="*/ 1166079 h 3890229"/>
              <a:gd name="connsiteX2" fmla="*/ 8248650 w 8248650"/>
              <a:gd name="connsiteY2" fmla="*/ 1994754 h 3890229"/>
              <a:gd name="connsiteX3" fmla="*/ 8248650 w 8248650"/>
              <a:gd name="connsiteY3" fmla="*/ 3890229 h 3890229"/>
              <a:gd name="connsiteX4" fmla="*/ 0 w 8248650"/>
              <a:gd name="connsiteY4" fmla="*/ 3871179 h 3890229"/>
              <a:gd name="connsiteX5" fmla="*/ 38100 w 8248650"/>
              <a:gd name="connsiteY5" fmla="*/ 204054 h 3890229"/>
              <a:gd name="connsiteX0" fmla="*/ 38100 w 8248650"/>
              <a:gd name="connsiteY0" fmla="*/ 89615 h 3775790"/>
              <a:gd name="connsiteX1" fmla="*/ 4857750 w 8248650"/>
              <a:gd name="connsiteY1" fmla="*/ 1051640 h 3775790"/>
              <a:gd name="connsiteX2" fmla="*/ 8231357 w 8248650"/>
              <a:gd name="connsiteY2" fmla="*/ 190298 h 3775790"/>
              <a:gd name="connsiteX3" fmla="*/ 8248650 w 8248650"/>
              <a:gd name="connsiteY3" fmla="*/ 3775790 h 3775790"/>
              <a:gd name="connsiteX4" fmla="*/ 0 w 8248650"/>
              <a:gd name="connsiteY4" fmla="*/ 3756740 h 3775790"/>
              <a:gd name="connsiteX5" fmla="*/ 38100 w 8248650"/>
              <a:gd name="connsiteY5" fmla="*/ 89615 h 3775790"/>
              <a:gd name="connsiteX0" fmla="*/ 38100 w 8248650"/>
              <a:gd name="connsiteY0" fmla="*/ 366030 h 4052205"/>
              <a:gd name="connsiteX1" fmla="*/ 4857750 w 8248650"/>
              <a:gd name="connsiteY1" fmla="*/ 1328055 h 4052205"/>
              <a:gd name="connsiteX2" fmla="*/ 8231357 w 8248650"/>
              <a:gd name="connsiteY2" fmla="*/ 466713 h 4052205"/>
              <a:gd name="connsiteX3" fmla="*/ 8248650 w 8248650"/>
              <a:gd name="connsiteY3" fmla="*/ 4052205 h 4052205"/>
              <a:gd name="connsiteX4" fmla="*/ 0 w 8248650"/>
              <a:gd name="connsiteY4" fmla="*/ 4033155 h 4052205"/>
              <a:gd name="connsiteX5" fmla="*/ 38100 w 8248650"/>
              <a:gd name="connsiteY5" fmla="*/ 366030 h 4052205"/>
              <a:gd name="connsiteX0" fmla="*/ 38100 w 8248650"/>
              <a:gd name="connsiteY0" fmla="*/ 394750 h 4080925"/>
              <a:gd name="connsiteX1" fmla="*/ 4511894 w 8248650"/>
              <a:gd name="connsiteY1" fmla="*/ 1165451 h 4080925"/>
              <a:gd name="connsiteX2" fmla="*/ 8231357 w 8248650"/>
              <a:gd name="connsiteY2" fmla="*/ 495433 h 4080925"/>
              <a:gd name="connsiteX3" fmla="*/ 8248650 w 8248650"/>
              <a:gd name="connsiteY3" fmla="*/ 4080925 h 4080925"/>
              <a:gd name="connsiteX4" fmla="*/ 0 w 8248650"/>
              <a:gd name="connsiteY4" fmla="*/ 4061875 h 4080925"/>
              <a:gd name="connsiteX5" fmla="*/ 38100 w 8248650"/>
              <a:gd name="connsiteY5" fmla="*/ 394750 h 4080925"/>
              <a:gd name="connsiteX0" fmla="*/ 38100 w 8248650"/>
              <a:gd name="connsiteY0" fmla="*/ 394750 h 4080925"/>
              <a:gd name="connsiteX1" fmla="*/ 4511894 w 8248650"/>
              <a:gd name="connsiteY1" fmla="*/ 1165451 h 4080925"/>
              <a:gd name="connsiteX2" fmla="*/ 8231357 w 8248650"/>
              <a:gd name="connsiteY2" fmla="*/ 495433 h 4080925"/>
              <a:gd name="connsiteX3" fmla="*/ 8248650 w 8248650"/>
              <a:gd name="connsiteY3" fmla="*/ 4080925 h 4080925"/>
              <a:gd name="connsiteX4" fmla="*/ 0 w 8248650"/>
              <a:gd name="connsiteY4" fmla="*/ 4061875 h 4080925"/>
              <a:gd name="connsiteX5" fmla="*/ 38100 w 8248650"/>
              <a:gd name="connsiteY5" fmla="*/ 394750 h 4080925"/>
              <a:gd name="connsiteX0" fmla="*/ 38100 w 8248650"/>
              <a:gd name="connsiteY0" fmla="*/ 399879 h 4086054"/>
              <a:gd name="connsiteX1" fmla="*/ 4935567 w 8248650"/>
              <a:gd name="connsiteY1" fmla="*/ 1138693 h 4086054"/>
              <a:gd name="connsiteX2" fmla="*/ 8231357 w 8248650"/>
              <a:gd name="connsiteY2" fmla="*/ 500562 h 4086054"/>
              <a:gd name="connsiteX3" fmla="*/ 8248650 w 8248650"/>
              <a:gd name="connsiteY3" fmla="*/ 4086054 h 4086054"/>
              <a:gd name="connsiteX4" fmla="*/ 0 w 8248650"/>
              <a:gd name="connsiteY4" fmla="*/ 4067004 h 4086054"/>
              <a:gd name="connsiteX5" fmla="*/ 38100 w 8248650"/>
              <a:gd name="connsiteY5" fmla="*/ 399879 h 4086054"/>
              <a:gd name="connsiteX0" fmla="*/ 38100 w 8248650"/>
              <a:gd name="connsiteY0" fmla="*/ 352863 h 4039038"/>
              <a:gd name="connsiteX1" fmla="*/ 4935567 w 8248650"/>
              <a:gd name="connsiteY1" fmla="*/ 1091677 h 4039038"/>
              <a:gd name="connsiteX2" fmla="*/ 8231357 w 8248650"/>
              <a:gd name="connsiteY2" fmla="*/ 453546 h 4039038"/>
              <a:gd name="connsiteX3" fmla="*/ 8248650 w 8248650"/>
              <a:gd name="connsiteY3" fmla="*/ 4039038 h 4039038"/>
              <a:gd name="connsiteX4" fmla="*/ 0 w 8248650"/>
              <a:gd name="connsiteY4" fmla="*/ 4019988 h 4039038"/>
              <a:gd name="connsiteX5" fmla="*/ 38100 w 8248650"/>
              <a:gd name="connsiteY5" fmla="*/ 352863 h 4039038"/>
              <a:gd name="connsiteX0" fmla="*/ 38100 w 8248650"/>
              <a:gd name="connsiteY0" fmla="*/ 360827 h 4047002"/>
              <a:gd name="connsiteX1" fmla="*/ 4935567 w 8248650"/>
              <a:gd name="connsiteY1" fmla="*/ 1099641 h 4047002"/>
              <a:gd name="connsiteX2" fmla="*/ 8231357 w 8248650"/>
              <a:gd name="connsiteY2" fmla="*/ 461510 h 4047002"/>
              <a:gd name="connsiteX3" fmla="*/ 8248650 w 8248650"/>
              <a:gd name="connsiteY3" fmla="*/ 4047002 h 4047002"/>
              <a:gd name="connsiteX4" fmla="*/ 0 w 8248650"/>
              <a:gd name="connsiteY4" fmla="*/ 4027952 h 4047002"/>
              <a:gd name="connsiteX5" fmla="*/ 38100 w 8248650"/>
              <a:gd name="connsiteY5" fmla="*/ 360827 h 4047002"/>
              <a:gd name="connsiteX0" fmla="*/ 38100 w 8248650"/>
              <a:gd name="connsiteY0" fmla="*/ 179712 h 3865887"/>
              <a:gd name="connsiteX1" fmla="*/ 4719408 w 8248650"/>
              <a:gd name="connsiteY1" fmla="*/ 3054963 h 3865887"/>
              <a:gd name="connsiteX2" fmla="*/ 8231357 w 8248650"/>
              <a:gd name="connsiteY2" fmla="*/ 280395 h 3865887"/>
              <a:gd name="connsiteX3" fmla="*/ 8248650 w 8248650"/>
              <a:gd name="connsiteY3" fmla="*/ 3865887 h 3865887"/>
              <a:gd name="connsiteX4" fmla="*/ 0 w 8248650"/>
              <a:gd name="connsiteY4" fmla="*/ 3846837 h 3865887"/>
              <a:gd name="connsiteX5" fmla="*/ 38100 w 8248650"/>
              <a:gd name="connsiteY5" fmla="*/ 179712 h 3865887"/>
              <a:gd name="connsiteX0" fmla="*/ 38100 w 8248650"/>
              <a:gd name="connsiteY0" fmla="*/ 327735 h 4013910"/>
              <a:gd name="connsiteX1" fmla="*/ 5264131 w 8248650"/>
              <a:gd name="connsiteY1" fmla="*/ 1321646 h 4013910"/>
              <a:gd name="connsiteX2" fmla="*/ 8231357 w 8248650"/>
              <a:gd name="connsiteY2" fmla="*/ 428418 h 4013910"/>
              <a:gd name="connsiteX3" fmla="*/ 8248650 w 8248650"/>
              <a:gd name="connsiteY3" fmla="*/ 4013910 h 4013910"/>
              <a:gd name="connsiteX4" fmla="*/ 0 w 8248650"/>
              <a:gd name="connsiteY4" fmla="*/ 3994860 h 4013910"/>
              <a:gd name="connsiteX5" fmla="*/ 38100 w 8248650"/>
              <a:gd name="connsiteY5" fmla="*/ 327735 h 4013910"/>
              <a:gd name="connsiteX0" fmla="*/ 72686 w 8248650"/>
              <a:gd name="connsiteY0" fmla="*/ 1110817 h 4063587"/>
              <a:gd name="connsiteX1" fmla="*/ 5264131 w 8248650"/>
              <a:gd name="connsiteY1" fmla="*/ 1371323 h 4063587"/>
              <a:gd name="connsiteX2" fmla="*/ 8231357 w 8248650"/>
              <a:gd name="connsiteY2" fmla="*/ 478095 h 4063587"/>
              <a:gd name="connsiteX3" fmla="*/ 8248650 w 8248650"/>
              <a:gd name="connsiteY3" fmla="*/ 4063587 h 4063587"/>
              <a:gd name="connsiteX4" fmla="*/ 0 w 8248650"/>
              <a:gd name="connsiteY4" fmla="*/ 4044537 h 4063587"/>
              <a:gd name="connsiteX5" fmla="*/ 72686 w 8248650"/>
              <a:gd name="connsiteY5" fmla="*/ 1110817 h 4063587"/>
              <a:gd name="connsiteX0" fmla="*/ 72686 w 8248650"/>
              <a:gd name="connsiteY0" fmla="*/ 1110817 h 4063587"/>
              <a:gd name="connsiteX1" fmla="*/ 5264131 w 8248650"/>
              <a:gd name="connsiteY1" fmla="*/ 1371323 h 4063587"/>
              <a:gd name="connsiteX2" fmla="*/ 8231357 w 8248650"/>
              <a:gd name="connsiteY2" fmla="*/ 478095 h 4063587"/>
              <a:gd name="connsiteX3" fmla="*/ 8248650 w 8248650"/>
              <a:gd name="connsiteY3" fmla="*/ 4063587 h 4063587"/>
              <a:gd name="connsiteX4" fmla="*/ 0 w 8248650"/>
              <a:gd name="connsiteY4" fmla="*/ 4044537 h 4063587"/>
              <a:gd name="connsiteX5" fmla="*/ 72686 w 8248650"/>
              <a:gd name="connsiteY5" fmla="*/ 1110817 h 4063587"/>
              <a:gd name="connsiteX0" fmla="*/ 72686 w 8248650"/>
              <a:gd name="connsiteY0" fmla="*/ 2714788 h 5667558"/>
              <a:gd name="connsiteX1" fmla="*/ 4857751 w 8248650"/>
              <a:gd name="connsiteY1" fmla="*/ 9793 h 5667558"/>
              <a:gd name="connsiteX2" fmla="*/ 8231357 w 8248650"/>
              <a:gd name="connsiteY2" fmla="*/ 2082066 h 5667558"/>
              <a:gd name="connsiteX3" fmla="*/ 8248650 w 8248650"/>
              <a:gd name="connsiteY3" fmla="*/ 5667558 h 5667558"/>
              <a:gd name="connsiteX4" fmla="*/ 0 w 8248650"/>
              <a:gd name="connsiteY4" fmla="*/ 5648508 h 5667558"/>
              <a:gd name="connsiteX5" fmla="*/ 72686 w 8248650"/>
              <a:gd name="connsiteY5" fmla="*/ 2714788 h 5667558"/>
              <a:gd name="connsiteX0" fmla="*/ 72686 w 8248650"/>
              <a:gd name="connsiteY0" fmla="*/ 1097092 h 4049862"/>
              <a:gd name="connsiteX1" fmla="*/ 4166040 w 8248650"/>
              <a:gd name="connsiteY1" fmla="*/ 1453260 h 4049862"/>
              <a:gd name="connsiteX2" fmla="*/ 8231357 w 8248650"/>
              <a:gd name="connsiteY2" fmla="*/ 464370 h 4049862"/>
              <a:gd name="connsiteX3" fmla="*/ 8248650 w 8248650"/>
              <a:gd name="connsiteY3" fmla="*/ 4049862 h 4049862"/>
              <a:gd name="connsiteX4" fmla="*/ 0 w 8248650"/>
              <a:gd name="connsiteY4" fmla="*/ 4030812 h 4049862"/>
              <a:gd name="connsiteX5" fmla="*/ 72686 w 8248650"/>
              <a:gd name="connsiteY5" fmla="*/ 1097092 h 4049862"/>
              <a:gd name="connsiteX0" fmla="*/ 64040 w 8248650"/>
              <a:gd name="connsiteY0" fmla="*/ 325178 h 4362111"/>
              <a:gd name="connsiteX1" fmla="*/ 4166040 w 8248650"/>
              <a:gd name="connsiteY1" fmla="*/ 1765509 h 4362111"/>
              <a:gd name="connsiteX2" fmla="*/ 8231357 w 8248650"/>
              <a:gd name="connsiteY2" fmla="*/ 776619 h 4362111"/>
              <a:gd name="connsiteX3" fmla="*/ 8248650 w 8248650"/>
              <a:gd name="connsiteY3" fmla="*/ 4362111 h 4362111"/>
              <a:gd name="connsiteX4" fmla="*/ 0 w 8248650"/>
              <a:gd name="connsiteY4" fmla="*/ 4343061 h 4362111"/>
              <a:gd name="connsiteX5" fmla="*/ 64040 w 8248650"/>
              <a:gd name="connsiteY5" fmla="*/ 325178 h 4362111"/>
              <a:gd name="connsiteX0" fmla="*/ 64040 w 8248650"/>
              <a:gd name="connsiteY0" fmla="*/ 322403 h 4359336"/>
              <a:gd name="connsiteX1" fmla="*/ 4166040 w 8248650"/>
              <a:gd name="connsiteY1" fmla="*/ 1762734 h 4359336"/>
              <a:gd name="connsiteX2" fmla="*/ 8231357 w 8248650"/>
              <a:gd name="connsiteY2" fmla="*/ 773844 h 4359336"/>
              <a:gd name="connsiteX3" fmla="*/ 8248650 w 8248650"/>
              <a:gd name="connsiteY3" fmla="*/ 4359336 h 4359336"/>
              <a:gd name="connsiteX4" fmla="*/ 0 w 8248650"/>
              <a:gd name="connsiteY4" fmla="*/ 4340286 h 4359336"/>
              <a:gd name="connsiteX5" fmla="*/ 64040 w 8248650"/>
              <a:gd name="connsiteY5" fmla="*/ 322403 h 4359336"/>
              <a:gd name="connsiteX0" fmla="*/ 46748 w 8248650"/>
              <a:gd name="connsiteY0" fmla="*/ 330370 h 4303529"/>
              <a:gd name="connsiteX1" fmla="*/ 4166040 w 8248650"/>
              <a:gd name="connsiteY1" fmla="*/ 1706927 h 4303529"/>
              <a:gd name="connsiteX2" fmla="*/ 8231357 w 8248650"/>
              <a:gd name="connsiteY2" fmla="*/ 718037 h 4303529"/>
              <a:gd name="connsiteX3" fmla="*/ 8248650 w 8248650"/>
              <a:gd name="connsiteY3" fmla="*/ 4303529 h 4303529"/>
              <a:gd name="connsiteX4" fmla="*/ 0 w 8248650"/>
              <a:gd name="connsiteY4" fmla="*/ 4284479 h 4303529"/>
              <a:gd name="connsiteX5" fmla="*/ 46748 w 8248650"/>
              <a:gd name="connsiteY5" fmla="*/ 330370 h 4303529"/>
              <a:gd name="connsiteX0" fmla="*/ 46748 w 8248650"/>
              <a:gd name="connsiteY0" fmla="*/ 343322 h 4316481"/>
              <a:gd name="connsiteX1" fmla="*/ 4217918 w 8248650"/>
              <a:gd name="connsiteY1" fmla="*/ 1592330 h 4316481"/>
              <a:gd name="connsiteX2" fmla="*/ 8231357 w 8248650"/>
              <a:gd name="connsiteY2" fmla="*/ 730989 h 4316481"/>
              <a:gd name="connsiteX3" fmla="*/ 8248650 w 8248650"/>
              <a:gd name="connsiteY3" fmla="*/ 4316481 h 4316481"/>
              <a:gd name="connsiteX4" fmla="*/ 0 w 8248650"/>
              <a:gd name="connsiteY4" fmla="*/ 4297431 h 4316481"/>
              <a:gd name="connsiteX5" fmla="*/ 46748 w 8248650"/>
              <a:gd name="connsiteY5" fmla="*/ 343322 h 4316481"/>
              <a:gd name="connsiteX0" fmla="*/ 46748 w 8248650"/>
              <a:gd name="connsiteY0" fmla="*/ 343322 h 4316481"/>
              <a:gd name="connsiteX1" fmla="*/ 4217918 w 8248650"/>
              <a:gd name="connsiteY1" fmla="*/ 1592330 h 4316481"/>
              <a:gd name="connsiteX2" fmla="*/ 8231357 w 8248650"/>
              <a:gd name="connsiteY2" fmla="*/ 730989 h 4316481"/>
              <a:gd name="connsiteX3" fmla="*/ 8248650 w 8248650"/>
              <a:gd name="connsiteY3" fmla="*/ 4316481 h 4316481"/>
              <a:gd name="connsiteX4" fmla="*/ 0 w 8248650"/>
              <a:gd name="connsiteY4" fmla="*/ 4297431 h 4316481"/>
              <a:gd name="connsiteX5" fmla="*/ 46748 w 8248650"/>
              <a:gd name="connsiteY5" fmla="*/ 343322 h 4316481"/>
              <a:gd name="connsiteX0" fmla="*/ 29455 w 8231357"/>
              <a:gd name="connsiteY0" fmla="*/ 343322 h 4316481"/>
              <a:gd name="connsiteX1" fmla="*/ 4200625 w 8231357"/>
              <a:gd name="connsiteY1" fmla="*/ 1592330 h 4316481"/>
              <a:gd name="connsiteX2" fmla="*/ 8214064 w 8231357"/>
              <a:gd name="connsiteY2" fmla="*/ 730989 h 4316481"/>
              <a:gd name="connsiteX3" fmla="*/ 8231357 w 8231357"/>
              <a:gd name="connsiteY3" fmla="*/ 4316481 h 4316481"/>
              <a:gd name="connsiteX4" fmla="*/ 0 w 8231357"/>
              <a:gd name="connsiteY4" fmla="*/ 2384205 h 4316481"/>
              <a:gd name="connsiteX5" fmla="*/ 29455 w 8231357"/>
              <a:gd name="connsiteY5" fmla="*/ 343322 h 4316481"/>
              <a:gd name="connsiteX0" fmla="*/ 29455 w 8214563"/>
              <a:gd name="connsiteY0" fmla="*/ 343322 h 2435141"/>
              <a:gd name="connsiteX1" fmla="*/ 4200625 w 8214563"/>
              <a:gd name="connsiteY1" fmla="*/ 1592330 h 2435141"/>
              <a:gd name="connsiteX2" fmla="*/ 8214064 w 8214563"/>
              <a:gd name="connsiteY2" fmla="*/ 730989 h 2435141"/>
              <a:gd name="connsiteX3" fmla="*/ 8179479 w 8214563"/>
              <a:gd name="connsiteY3" fmla="*/ 2435141 h 2435141"/>
              <a:gd name="connsiteX4" fmla="*/ 0 w 8214563"/>
              <a:gd name="connsiteY4" fmla="*/ 2384205 h 2435141"/>
              <a:gd name="connsiteX5" fmla="*/ 29455 w 8214563"/>
              <a:gd name="connsiteY5" fmla="*/ 343322 h 2435141"/>
              <a:gd name="connsiteX0" fmla="*/ 29455 w 8214563"/>
              <a:gd name="connsiteY0" fmla="*/ 405509 h 2497328"/>
              <a:gd name="connsiteX1" fmla="*/ 4200625 w 8214563"/>
              <a:gd name="connsiteY1" fmla="*/ 1654517 h 2497328"/>
              <a:gd name="connsiteX2" fmla="*/ 8214064 w 8214563"/>
              <a:gd name="connsiteY2" fmla="*/ 793176 h 2497328"/>
              <a:gd name="connsiteX3" fmla="*/ 8179479 w 8214563"/>
              <a:gd name="connsiteY3" fmla="*/ 2497328 h 2497328"/>
              <a:gd name="connsiteX4" fmla="*/ 0 w 8214563"/>
              <a:gd name="connsiteY4" fmla="*/ 2446392 h 2497328"/>
              <a:gd name="connsiteX5" fmla="*/ 29455 w 8214563"/>
              <a:gd name="connsiteY5" fmla="*/ 405509 h 2497328"/>
              <a:gd name="connsiteX0" fmla="*/ 29455 w 8214563"/>
              <a:gd name="connsiteY0" fmla="*/ 380468 h 2472287"/>
              <a:gd name="connsiteX1" fmla="*/ 4200625 w 8214563"/>
              <a:gd name="connsiteY1" fmla="*/ 1629476 h 2472287"/>
              <a:gd name="connsiteX2" fmla="*/ 8214064 w 8214563"/>
              <a:gd name="connsiteY2" fmla="*/ 768135 h 2472287"/>
              <a:gd name="connsiteX3" fmla="*/ 8179479 w 8214563"/>
              <a:gd name="connsiteY3" fmla="*/ 2472287 h 2472287"/>
              <a:gd name="connsiteX4" fmla="*/ 0 w 8214563"/>
              <a:gd name="connsiteY4" fmla="*/ 2421351 h 2472287"/>
              <a:gd name="connsiteX5" fmla="*/ 29455 w 8214563"/>
              <a:gd name="connsiteY5" fmla="*/ 380468 h 2472287"/>
              <a:gd name="connsiteX0" fmla="*/ 29455 w 8214563"/>
              <a:gd name="connsiteY0" fmla="*/ 445715 h 2537534"/>
              <a:gd name="connsiteX1" fmla="*/ 4212922 w 8214563"/>
              <a:gd name="connsiteY1" fmla="*/ 1193642 h 2537534"/>
              <a:gd name="connsiteX2" fmla="*/ 8214064 w 8214563"/>
              <a:gd name="connsiteY2" fmla="*/ 833382 h 2537534"/>
              <a:gd name="connsiteX3" fmla="*/ 8179479 w 8214563"/>
              <a:gd name="connsiteY3" fmla="*/ 2537534 h 2537534"/>
              <a:gd name="connsiteX4" fmla="*/ 0 w 8214563"/>
              <a:gd name="connsiteY4" fmla="*/ 2486598 h 2537534"/>
              <a:gd name="connsiteX5" fmla="*/ 29455 w 8214563"/>
              <a:gd name="connsiteY5" fmla="*/ 445715 h 2537534"/>
              <a:gd name="connsiteX0" fmla="*/ 29455 w 8214464"/>
              <a:gd name="connsiteY0" fmla="*/ 445715 h 4951845"/>
              <a:gd name="connsiteX1" fmla="*/ 4212922 w 8214464"/>
              <a:gd name="connsiteY1" fmla="*/ 1193642 h 4951845"/>
              <a:gd name="connsiteX2" fmla="*/ 8214064 w 8214464"/>
              <a:gd name="connsiteY2" fmla="*/ 833382 h 4951845"/>
              <a:gd name="connsiteX3" fmla="*/ 8167182 w 8214464"/>
              <a:gd name="connsiteY3" fmla="*/ 4951845 h 4951845"/>
              <a:gd name="connsiteX4" fmla="*/ 0 w 8214464"/>
              <a:gd name="connsiteY4" fmla="*/ 2486598 h 4951845"/>
              <a:gd name="connsiteX5" fmla="*/ 29455 w 8214464"/>
              <a:gd name="connsiteY5" fmla="*/ 445715 h 4951845"/>
              <a:gd name="connsiteX0" fmla="*/ 29455 w 8214464"/>
              <a:gd name="connsiteY0" fmla="*/ 445715 h 4951845"/>
              <a:gd name="connsiteX1" fmla="*/ 4212922 w 8214464"/>
              <a:gd name="connsiteY1" fmla="*/ 1193642 h 4951845"/>
              <a:gd name="connsiteX2" fmla="*/ 8214064 w 8214464"/>
              <a:gd name="connsiteY2" fmla="*/ 833382 h 4951845"/>
              <a:gd name="connsiteX3" fmla="*/ 8167182 w 8214464"/>
              <a:gd name="connsiteY3" fmla="*/ 4951845 h 4951845"/>
              <a:gd name="connsiteX4" fmla="*/ 0 w 8214464"/>
              <a:gd name="connsiteY4" fmla="*/ 4946459 h 4951845"/>
              <a:gd name="connsiteX5" fmla="*/ 29455 w 8214464"/>
              <a:gd name="connsiteY5" fmla="*/ 445715 h 4951845"/>
              <a:gd name="connsiteX0" fmla="*/ 29455 w 8214464"/>
              <a:gd name="connsiteY0" fmla="*/ 743171 h 5249301"/>
              <a:gd name="connsiteX1" fmla="*/ 3512021 w 8214464"/>
              <a:gd name="connsiteY1" fmla="*/ 306719 h 5249301"/>
              <a:gd name="connsiteX2" fmla="*/ 8214064 w 8214464"/>
              <a:gd name="connsiteY2" fmla="*/ 1130838 h 5249301"/>
              <a:gd name="connsiteX3" fmla="*/ 8167182 w 8214464"/>
              <a:gd name="connsiteY3" fmla="*/ 5249301 h 5249301"/>
              <a:gd name="connsiteX4" fmla="*/ 0 w 8214464"/>
              <a:gd name="connsiteY4" fmla="*/ 5243915 h 5249301"/>
              <a:gd name="connsiteX5" fmla="*/ 29455 w 8214464"/>
              <a:gd name="connsiteY5" fmla="*/ 743171 h 5249301"/>
              <a:gd name="connsiteX0" fmla="*/ 29455 w 8265554"/>
              <a:gd name="connsiteY0" fmla="*/ 743171 h 5887043"/>
              <a:gd name="connsiteX1" fmla="*/ 3512021 w 8265554"/>
              <a:gd name="connsiteY1" fmla="*/ 306719 h 5887043"/>
              <a:gd name="connsiteX2" fmla="*/ 8214064 w 8265554"/>
              <a:gd name="connsiteY2" fmla="*/ 1130838 h 5887043"/>
              <a:gd name="connsiteX3" fmla="*/ 8265554 w 8265554"/>
              <a:gd name="connsiteY3" fmla="*/ 5887043 h 5887043"/>
              <a:gd name="connsiteX4" fmla="*/ 0 w 8265554"/>
              <a:gd name="connsiteY4" fmla="*/ 5243915 h 5887043"/>
              <a:gd name="connsiteX5" fmla="*/ 29455 w 8265554"/>
              <a:gd name="connsiteY5" fmla="*/ 743171 h 5887043"/>
              <a:gd name="connsiteX0" fmla="*/ 29455 w 8265554"/>
              <a:gd name="connsiteY0" fmla="*/ 738257 h 5882129"/>
              <a:gd name="connsiteX1" fmla="*/ 3512021 w 8265554"/>
              <a:gd name="connsiteY1" fmla="*/ 301805 h 5882129"/>
              <a:gd name="connsiteX2" fmla="*/ 8214064 w 8265554"/>
              <a:gd name="connsiteY2" fmla="*/ 1034820 h 5882129"/>
              <a:gd name="connsiteX3" fmla="*/ 8265554 w 8265554"/>
              <a:gd name="connsiteY3" fmla="*/ 5882129 h 5882129"/>
              <a:gd name="connsiteX4" fmla="*/ 0 w 8265554"/>
              <a:gd name="connsiteY4" fmla="*/ 5239001 h 5882129"/>
              <a:gd name="connsiteX5" fmla="*/ 29455 w 8265554"/>
              <a:gd name="connsiteY5" fmla="*/ 738257 h 5882129"/>
              <a:gd name="connsiteX0" fmla="*/ 0 w 8236099"/>
              <a:gd name="connsiteY0" fmla="*/ 738257 h 6970017"/>
              <a:gd name="connsiteX1" fmla="*/ 3482566 w 8236099"/>
              <a:gd name="connsiteY1" fmla="*/ 301805 h 6970017"/>
              <a:gd name="connsiteX2" fmla="*/ 8184609 w 8236099"/>
              <a:gd name="connsiteY2" fmla="*/ 1034820 h 6970017"/>
              <a:gd name="connsiteX3" fmla="*/ 8236099 w 8236099"/>
              <a:gd name="connsiteY3" fmla="*/ 5882129 h 6970017"/>
              <a:gd name="connsiteX4" fmla="*/ 7435 w 8236099"/>
              <a:gd name="connsiteY4" fmla="*/ 6970017 h 6970017"/>
              <a:gd name="connsiteX5" fmla="*/ 0 w 8236099"/>
              <a:gd name="connsiteY5" fmla="*/ 738257 h 6970017"/>
              <a:gd name="connsiteX0" fmla="*/ 0 w 8248395"/>
              <a:gd name="connsiteY0" fmla="*/ 738257 h 7203166"/>
              <a:gd name="connsiteX1" fmla="*/ 3482566 w 8248395"/>
              <a:gd name="connsiteY1" fmla="*/ 301805 h 7203166"/>
              <a:gd name="connsiteX2" fmla="*/ 8184609 w 8248395"/>
              <a:gd name="connsiteY2" fmla="*/ 1034820 h 7203166"/>
              <a:gd name="connsiteX3" fmla="*/ 8248395 w 8248395"/>
              <a:gd name="connsiteY3" fmla="*/ 7203166 h 7203166"/>
              <a:gd name="connsiteX4" fmla="*/ 7435 w 8248395"/>
              <a:gd name="connsiteY4" fmla="*/ 6970017 h 7203166"/>
              <a:gd name="connsiteX5" fmla="*/ 0 w 8248395"/>
              <a:gd name="connsiteY5" fmla="*/ 738257 h 7203166"/>
              <a:gd name="connsiteX0" fmla="*/ 0 w 8248395"/>
              <a:gd name="connsiteY0" fmla="*/ 586920 h 7051829"/>
              <a:gd name="connsiteX1" fmla="*/ 3482566 w 8248395"/>
              <a:gd name="connsiteY1" fmla="*/ 150468 h 7051829"/>
              <a:gd name="connsiteX2" fmla="*/ 8184609 w 8248395"/>
              <a:gd name="connsiteY2" fmla="*/ 883483 h 7051829"/>
              <a:gd name="connsiteX3" fmla="*/ 8248395 w 8248395"/>
              <a:gd name="connsiteY3" fmla="*/ 7051829 h 7051829"/>
              <a:gd name="connsiteX4" fmla="*/ 7435 w 8248395"/>
              <a:gd name="connsiteY4" fmla="*/ 6818680 h 7051829"/>
              <a:gd name="connsiteX5" fmla="*/ 0 w 8248395"/>
              <a:gd name="connsiteY5" fmla="*/ 586920 h 7051829"/>
              <a:gd name="connsiteX0" fmla="*/ 0 w 8248395"/>
              <a:gd name="connsiteY0" fmla="*/ 638211 h 7103120"/>
              <a:gd name="connsiteX1" fmla="*/ 8184609 w 8248395"/>
              <a:gd name="connsiteY1" fmla="*/ 934774 h 7103120"/>
              <a:gd name="connsiteX2" fmla="*/ 8248395 w 8248395"/>
              <a:gd name="connsiteY2" fmla="*/ 7103120 h 7103120"/>
              <a:gd name="connsiteX3" fmla="*/ 7435 w 8248395"/>
              <a:gd name="connsiteY3" fmla="*/ 6869971 h 7103120"/>
              <a:gd name="connsiteX4" fmla="*/ 0 w 8248395"/>
              <a:gd name="connsiteY4" fmla="*/ 638211 h 7103120"/>
              <a:gd name="connsiteX0" fmla="*/ 0 w 8259379"/>
              <a:gd name="connsiteY0" fmla="*/ 676991 h 7141900"/>
              <a:gd name="connsiteX1" fmla="*/ 8258389 w 8259379"/>
              <a:gd name="connsiteY1" fmla="*/ 882444 h 7141900"/>
              <a:gd name="connsiteX2" fmla="*/ 8248395 w 8259379"/>
              <a:gd name="connsiteY2" fmla="*/ 7141900 h 7141900"/>
              <a:gd name="connsiteX3" fmla="*/ 7435 w 8259379"/>
              <a:gd name="connsiteY3" fmla="*/ 6908751 h 7141900"/>
              <a:gd name="connsiteX4" fmla="*/ 0 w 8259379"/>
              <a:gd name="connsiteY4" fmla="*/ 676991 h 7141900"/>
              <a:gd name="connsiteX0" fmla="*/ 0 w 8259379"/>
              <a:gd name="connsiteY0" fmla="*/ 13076 h 6477985"/>
              <a:gd name="connsiteX1" fmla="*/ 8258389 w 8259379"/>
              <a:gd name="connsiteY1" fmla="*/ 218529 h 6477985"/>
              <a:gd name="connsiteX2" fmla="*/ 8248395 w 8259379"/>
              <a:gd name="connsiteY2" fmla="*/ 6477985 h 6477985"/>
              <a:gd name="connsiteX3" fmla="*/ 7435 w 8259379"/>
              <a:gd name="connsiteY3" fmla="*/ 6244836 h 6477985"/>
              <a:gd name="connsiteX4" fmla="*/ 0 w 8259379"/>
              <a:gd name="connsiteY4" fmla="*/ 13076 h 6477985"/>
              <a:gd name="connsiteX0" fmla="*/ 0 w 8259379"/>
              <a:gd name="connsiteY0" fmla="*/ 72833 h 6537742"/>
              <a:gd name="connsiteX1" fmla="*/ 8258389 w 8259379"/>
              <a:gd name="connsiteY1" fmla="*/ 278286 h 6537742"/>
              <a:gd name="connsiteX2" fmla="*/ 8248395 w 8259379"/>
              <a:gd name="connsiteY2" fmla="*/ 6537742 h 6537742"/>
              <a:gd name="connsiteX3" fmla="*/ 7435 w 8259379"/>
              <a:gd name="connsiteY3" fmla="*/ 6304593 h 6537742"/>
              <a:gd name="connsiteX4" fmla="*/ 0 w 8259379"/>
              <a:gd name="connsiteY4" fmla="*/ 72833 h 6537742"/>
              <a:gd name="connsiteX0" fmla="*/ 0 w 8259379"/>
              <a:gd name="connsiteY0" fmla="*/ 72833 h 6537742"/>
              <a:gd name="connsiteX1" fmla="*/ 8258389 w 8259379"/>
              <a:gd name="connsiteY1" fmla="*/ 278286 h 6537742"/>
              <a:gd name="connsiteX2" fmla="*/ 8248395 w 8259379"/>
              <a:gd name="connsiteY2" fmla="*/ 6537742 h 6537742"/>
              <a:gd name="connsiteX3" fmla="*/ 1016 w 8259379"/>
              <a:gd name="connsiteY3" fmla="*/ 1538458 h 6537742"/>
              <a:gd name="connsiteX4" fmla="*/ 0 w 8259379"/>
              <a:gd name="connsiteY4" fmla="*/ 72833 h 6537742"/>
              <a:gd name="connsiteX0" fmla="*/ 0 w 8258427"/>
              <a:gd name="connsiteY0" fmla="*/ 72833 h 1563666"/>
              <a:gd name="connsiteX1" fmla="*/ 8258389 w 8258427"/>
              <a:gd name="connsiteY1" fmla="*/ 278286 h 1563666"/>
              <a:gd name="connsiteX2" fmla="*/ 7625715 w 8258427"/>
              <a:gd name="connsiteY2" fmla="*/ 1559778 h 1563666"/>
              <a:gd name="connsiteX3" fmla="*/ 1016 w 8258427"/>
              <a:gd name="connsiteY3" fmla="*/ 1538458 h 1563666"/>
              <a:gd name="connsiteX4" fmla="*/ 0 w 8258427"/>
              <a:gd name="connsiteY4" fmla="*/ 72833 h 1563666"/>
              <a:gd name="connsiteX0" fmla="*/ 0 w 7625715"/>
              <a:gd name="connsiteY0" fmla="*/ 48159 h 1538992"/>
              <a:gd name="connsiteX1" fmla="*/ 7622870 w 7625715"/>
              <a:gd name="connsiteY1" fmla="*/ 280093 h 1538992"/>
              <a:gd name="connsiteX2" fmla="*/ 7625715 w 7625715"/>
              <a:gd name="connsiteY2" fmla="*/ 1535104 h 1538992"/>
              <a:gd name="connsiteX3" fmla="*/ 1016 w 7625715"/>
              <a:gd name="connsiteY3" fmla="*/ 1513784 h 1538992"/>
              <a:gd name="connsiteX4" fmla="*/ 0 w 7625715"/>
              <a:gd name="connsiteY4" fmla="*/ 48159 h 1538992"/>
              <a:gd name="connsiteX0" fmla="*/ 0 w 7625715"/>
              <a:gd name="connsiteY0" fmla="*/ 48155 h 1538988"/>
              <a:gd name="connsiteX1" fmla="*/ 7622870 w 7625715"/>
              <a:gd name="connsiteY1" fmla="*/ 280089 h 1538988"/>
              <a:gd name="connsiteX2" fmla="*/ 7625715 w 7625715"/>
              <a:gd name="connsiteY2" fmla="*/ 1535100 h 1538988"/>
              <a:gd name="connsiteX3" fmla="*/ 1016 w 7625715"/>
              <a:gd name="connsiteY3" fmla="*/ 1513780 h 1538988"/>
              <a:gd name="connsiteX4" fmla="*/ 0 w 7625715"/>
              <a:gd name="connsiteY4" fmla="*/ 48155 h 1538988"/>
              <a:gd name="connsiteX0" fmla="*/ 0 w 7625715"/>
              <a:gd name="connsiteY0" fmla="*/ 48155 h 1538988"/>
              <a:gd name="connsiteX1" fmla="*/ 7622870 w 7625715"/>
              <a:gd name="connsiteY1" fmla="*/ 280089 h 1538988"/>
              <a:gd name="connsiteX2" fmla="*/ 7625715 w 7625715"/>
              <a:gd name="connsiteY2" fmla="*/ 1535100 h 1538988"/>
              <a:gd name="connsiteX3" fmla="*/ 1016 w 7625715"/>
              <a:gd name="connsiteY3" fmla="*/ 1513780 h 1538988"/>
              <a:gd name="connsiteX4" fmla="*/ 0 w 7625715"/>
              <a:gd name="connsiteY4" fmla="*/ 48155 h 1538988"/>
              <a:gd name="connsiteX0" fmla="*/ 0 w 7622872"/>
              <a:gd name="connsiteY0" fmla="*/ 48155 h 1529644"/>
              <a:gd name="connsiteX1" fmla="*/ 7622870 w 7622872"/>
              <a:gd name="connsiteY1" fmla="*/ 280089 h 1529644"/>
              <a:gd name="connsiteX2" fmla="*/ 7395928 w 7622872"/>
              <a:gd name="connsiteY2" fmla="*/ 1432046 h 1529644"/>
              <a:gd name="connsiteX3" fmla="*/ 1016 w 7622872"/>
              <a:gd name="connsiteY3" fmla="*/ 1513780 h 1529644"/>
              <a:gd name="connsiteX4" fmla="*/ 0 w 7622872"/>
              <a:gd name="connsiteY4" fmla="*/ 48155 h 1529644"/>
              <a:gd name="connsiteX0" fmla="*/ 0 w 7395928"/>
              <a:gd name="connsiteY0" fmla="*/ 240829 h 1722318"/>
              <a:gd name="connsiteX1" fmla="*/ 7360257 w 7395928"/>
              <a:gd name="connsiteY1" fmla="*/ 266657 h 1722318"/>
              <a:gd name="connsiteX2" fmla="*/ 7395928 w 7395928"/>
              <a:gd name="connsiteY2" fmla="*/ 1624720 h 1722318"/>
              <a:gd name="connsiteX3" fmla="*/ 1016 w 7395928"/>
              <a:gd name="connsiteY3" fmla="*/ 1706454 h 1722318"/>
              <a:gd name="connsiteX4" fmla="*/ 0 w 7395928"/>
              <a:gd name="connsiteY4" fmla="*/ 240829 h 1722318"/>
              <a:gd name="connsiteX0" fmla="*/ 0 w 7371308"/>
              <a:gd name="connsiteY0" fmla="*/ 240829 h 1720598"/>
              <a:gd name="connsiteX1" fmla="*/ 7360257 w 7371308"/>
              <a:gd name="connsiteY1" fmla="*/ 266657 h 1720598"/>
              <a:gd name="connsiteX2" fmla="*/ 7371308 w 7371308"/>
              <a:gd name="connsiteY2" fmla="*/ 1590369 h 1720598"/>
              <a:gd name="connsiteX3" fmla="*/ 1016 w 7371308"/>
              <a:gd name="connsiteY3" fmla="*/ 1706454 h 1720598"/>
              <a:gd name="connsiteX4" fmla="*/ 0 w 7371308"/>
              <a:gd name="connsiteY4" fmla="*/ 240829 h 1720598"/>
              <a:gd name="connsiteX0" fmla="*/ 0 w 7371308"/>
              <a:gd name="connsiteY0" fmla="*/ 240829 h 1720594"/>
              <a:gd name="connsiteX1" fmla="*/ 7360257 w 7371308"/>
              <a:gd name="connsiteY1" fmla="*/ 266657 h 1720594"/>
              <a:gd name="connsiteX2" fmla="*/ 7371308 w 7371308"/>
              <a:gd name="connsiteY2" fmla="*/ 1590369 h 1720594"/>
              <a:gd name="connsiteX3" fmla="*/ 1016 w 7371308"/>
              <a:gd name="connsiteY3" fmla="*/ 1706454 h 1720594"/>
              <a:gd name="connsiteX4" fmla="*/ 0 w 7371308"/>
              <a:gd name="connsiteY4" fmla="*/ 240829 h 1720594"/>
              <a:gd name="connsiteX0" fmla="*/ 0 w 7371308"/>
              <a:gd name="connsiteY0" fmla="*/ 240829 h 1590369"/>
              <a:gd name="connsiteX1" fmla="*/ 7360257 w 7371308"/>
              <a:gd name="connsiteY1" fmla="*/ 266657 h 1590369"/>
              <a:gd name="connsiteX2" fmla="*/ 7371308 w 7371308"/>
              <a:gd name="connsiteY2" fmla="*/ 1590369 h 1590369"/>
              <a:gd name="connsiteX3" fmla="*/ 1016 w 7371308"/>
              <a:gd name="connsiteY3" fmla="*/ 1534696 h 1590369"/>
              <a:gd name="connsiteX4" fmla="*/ 0 w 7371308"/>
              <a:gd name="connsiteY4" fmla="*/ 240829 h 15903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7371308" h="1590369">
                <a:moveTo>
                  <a:pt x="0" y="240829"/>
                </a:moveTo>
                <a:cubicBezTo>
                  <a:pt x="1879315" y="2759211"/>
                  <a:pt x="5653520" y="-993039"/>
                  <a:pt x="7360257" y="266657"/>
                </a:cubicBezTo>
                <a:cubicBezTo>
                  <a:pt x="7363941" y="707894"/>
                  <a:pt x="7367624" y="1149132"/>
                  <a:pt x="7371308" y="1590369"/>
                </a:cubicBezTo>
                <a:cubicBezTo>
                  <a:pt x="4624321" y="1512653"/>
                  <a:pt x="2748003" y="1612412"/>
                  <a:pt x="1016" y="1534696"/>
                </a:cubicBezTo>
                <a:cubicBezTo>
                  <a:pt x="677" y="1046154"/>
                  <a:pt x="339" y="729371"/>
                  <a:pt x="0" y="240829"/>
                </a:cubicBezTo>
                <a:close/>
              </a:path>
            </a:pathLst>
          </a:custGeom>
          <a:gradFill flip="none" rotWithShape="1">
            <a:gsLst>
              <a:gs pos="82000">
                <a:schemeClr val="bg1">
                  <a:alpha val="0"/>
                </a:schemeClr>
              </a:gs>
              <a:gs pos="0">
                <a:schemeClr val="accent6">
                  <a:alpha val="42000"/>
                </a:schemeClr>
              </a:gs>
              <a:gs pos="32000">
                <a:schemeClr val="accent6">
                  <a:alpha val="24000"/>
                </a:schemeClr>
              </a:gs>
            </a:gsLst>
            <a:lin ang="5400000" scaled="1"/>
            <a:tileRect/>
          </a:gra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" name="Forma libre 15"/>
          <xdr:cNvSpPr/>
        </xdr:nvSpPr>
        <xdr:spPr>
          <a:xfrm flipH="1">
            <a:off x="343556" y="6463017"/>
            <a:ext cx="8296046" cy="298590"/>
          </a:xfrm>
          <a:custGeom>
            <a:avLst/>
            <a:gdLst>
              <a:gd name="connsiteX0" fmla="*/ 38100 w 8248650"/>
              <a:gd name="connsiteY0" fmla="*/ 0 h 3686175"/>
              <a:gd name="connsiteX1" fmla="*/ 4857750 w 8248650"/>
              <a:gd name="connsiteY1" fmla="*/ 962025 h 3686175"/>
              <a:gd name="connsiteX2" fmla="*/ 8248650 w 8248650"/>
              <a:gd name="connsiteY2" fmla="*/ 190500 h 3686175"/>
              <a:gd name="connsiteX3" fmla="*/ 8248650 w 8248650"/>
              <a:gd name="connsiteY3" fmla="*/ 3686175 h 3686175"/>
              <a:gd name="connsiteX4" fmla="*/ 0 w 8248650"/>
              <a:gd name="connsiteY4" fmla="*/ 3667125 h 3686175"/>
              <a:gd name="connsiteX5" fmla="*/ 38100 w 8248650"/>
              <a:gd name="connsiteY5" fmla="*/ 0 h 3686175"/>
              <a:gd name="connsiteX0" fmla="*/ 38100 w 8248650"/>
              <a:gd name="connsiteY0" fmla="*/ 90366 h 3776541"/>
              <a:gd name="connsiteX1" fmla="*/ 4857750 w 8248650"/>
              <a:gd name="connsiteY1" fmla="*/ 1052391 h 3776541"/>
              <a:gd name="connsiteX2" fmla="*/ 8248650 w 8248650"/>
              <a:gd name="connsiteY2" fmla="*/ 280866 h 3776541"/>
              <a:gd name="connsiteX3" fmla="*/ 8248650 w 8248650"/>
              <a:gd name="connsiteY3" fmla="*/ 3776541 h 3776541"/>
              <a:gd name="connsiteX4" fmla="*/ 0 w 8248650"/>
              <a:gd name="connsiteY4" fmla="*/ 3757491 h 3776541"/>
              <a:gd name="connsiteX5" fmla="*/ 38100 w 8248650"/>
              <a:gd name="connsiteY5" fmla="*/ 90366 h 3776541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204054 h 3890229"/>
              <a:gd name="connsiteX1" fmla="*/ 4857750 w 8248650"/>
              <a:gd name="connsiteY1" fmla="*/ 1166079 h 3890229"/>
              <a:gd name="connsiteX2" fmla="*/ 8248650 w 8248650"/>
              <a:gd name="connsiteY2" fmla="*/ 1994754 h 3890229"/>
              <a:gd name="connsiteX3" fmla="*/ 8248650 w 8248650"/>
              <a:gd name="connsiteY3" fmla="*/ 3890229 h 3890229"/>
              <a:gd name="connsiteX4" fmla="*/ 0 w 8248650"/>
              <a:gd name="connsiteY4" fmla="*/ 3871179 h 3890229"/>
              <a:gd name="connsiteX5" fmla="*/ 38100 w 8248650"/>
              <a:gd name="connsiteY5" fmla="*/ 204054 h 3890229"/>
              <a:gd name="connsiteX0" fmla="*/ 38100 w 8248650"/>
              <a:gd name="connsiteY0" fmla="*/ 89615 h 3775790"/>
              <a:gd name="connsiteX1" fmla="*/ 4857750 w 8248650"/>
              <a:gd name="connsiteY1" fmla="*/ 1051640 h 3775790"/>
              <a:gd name="connsiteX2" fmla="*/ 8231357 w 8248650"/>
              <a:gd name="connsiteY2" fmla="*/ 190298 h 3775790"/>
              <a:gd name="connsiteX3" fmla="*/ 8248650 w 8248650"/>
              <a:gd name="connsiteY3" fmla="*/ 3775790 h 3775790"/>
              <a:gd name="connsiteX4" fmla="*/ 0 w 8248650"/>
              <a:gd name="connsiteY4" fmla="*/ 3756740 h 3775790"/>
              <a:gd name="connsiteX5" fmla="*/ 38100 w 8248650"/>
              <a:gd name="connsiteY5" fmla="*/ 89615 h 3775790"/>
              <a:gd name="connsiteX0" fmla="*/ 38100 w 8248650"/>
              <a:gd name="connsiteY0" fmla="*/ 366030 h 4052205"/>
              <a:gd name="connsiteX1" fmla="*/ 4857750 w 8248650"/>
              <a:gd name="connsiteY1" fmla="*/ 1328055 h 4052205"/>
              <a:gd name="connsiteX2" fmla="*/ 8231357 w 8248650"/>
              <a:gd name="connsiteY2" fmla="*/ 466713 h 4052205"/>
              <a:gd name="connsiteX3" fmla="*/ 8248650 w 8248650"/>
              <a:gd name="connsiteY3" fmla="*/ 4052205 h 4052205"/>
              <a:gd name="connsiteX4" fmla="*/ 0 w 8248650"/>
              <a:gd name="connsiteY4" fmla="*/ 4033155 h 4052205"/>
              <a:gd name="connsiteX5" fmla="*/ 38100 w 8248650"/>
              <a:gd name="connsiteY5" fmla="*/ 366030 h 4052205"/>
              <a:gd name="connsiteX0" fmla="*/ 38100 w 8248650"/>
              <a:gd name="connsiteY0" fmla="*/ 394750 h 4080925"/>
              <a:gd name="connsiteX1" fmla="*/ 4511894 w 8248650"/>
              <a:gd name="connsiteY1" fmla="*/ 1165451 h 4080925"/>
              <a:gd name="connsiteX2" fmla="*/ 8231357 w 8248650"/>
              <a:gd name="connsiteY2" fmla="*/ 495433 h 4080925"/>
              <a:gd name="connsiteX3" fmla="*/ 8248650 w 8248650"/>
              <a:gd name="connsiteY3" fmla="*/ 4080925 h 4080925"/>
              <a:gd name="connsiteX4" fmla="*/ 0 w 8248650"/>
              <a:gd name="connsiteY4" fmla="*/ 4061875 h 4080925"/>
              <a:gd name="connsiteX5" fmla="*/ 38100 w 8248650"/>
              <a:gd name="connsiteY5" fmla="*/ 394750 h 4080925"/>
              <a:gd name="connsiteX0" fmla="*/ 38100 w 8248650"/>
              <a:gd name="connsiteY0" fmla="*/ 394750 h 4080925"/>
              <a:gd name="connsiteX1" fmla="*/ 4511894 w 8248650"/>
              <a:gd name="connsiteY1" fmla="*/ 1165451 h 4080925"/>
              <a:gd name="connsiteX2" fmla="*/ 8231357 w 8248650"/>
              <a:gd name="connsiteY2" fmla="*/ 495433 h 4080925"/>
              <a:gd name="connsiteX3" fmla="*/ 8248650 w 8248650"/>
              <a:gd name="connsiteY3" fmla="*/ 4080925 h 4080925"/>
              <a:gd name="connsiteX4" fmla="*/ 0 w 8248650"/>
              <a:gd name="connsiteY4" fmla="*/ 4061875 h 4080925"/>
              <a:gd name="connsiteX5" fmla="*/ 38100 w 8248650"/>
              <a:gd name="connsiteY5" fmla="*/ 394750 h 4080925"/>
              <a:gd name="connsiteX0" fmla="*/ 38100 w 8248650"/>
              <a:gd name="connsiteY0" fmla="*/ 399879 h 4086054"/>
              <a:gd name="connsiteX1" fmla="*/ 4935567 w 8248650"/>
              <a:gd name="connsiteY1" fmla="*/ 1138693 h 4086054"/>
              <a:gd name="connsiteX2" fmla="*/ 8231357 w 8248650"/>
              <a:gd name="connsiteY2" fmla="*/ 500562 h 4086054"/>
              <a:gd name="connsiteX3" fmla="*/ 8248650 w 8248650"/>
              <a:gd name="connsiteY3" fmla="*/ 4086054 h 4086054"/>
              <a:gd name="connsiteX4" fmla="*/ 0 w 8248650"/>
              <a:gd name="connsiteY4" fmla="*/ 4067004 h 4086054"/>
              <a:gd name="connsiteX5" fmla="*/ 38100 w 8248650"/>
              <a:gd name="connsiteY5" fmla="*/ 399879 h 4086054"/>
              <a:gd name="connsiteX0" fmla="*/ 38100 w 8248650"/>
              <a:gd name="connsiteY0" fmla="*/ 352863 h 4039038"/>
              <a:gd name="connsiteX1" fmla="*/ 4935567 w 8248650"/>
              <a:gd name="connsiteY1" fmla="*/ 1091677 h 4039038"/>
              <a:gd name="connsiteX2" fmla="*/ 8231357 w 8248650"/>
              <a:gd name="connsiteY2" fmla="*/ 453546 h 4039038"/>
              <a:gd name="connsiteX3" fmla="*/ 8248650 w 8248650"/>
              <a:gd name="connsiteY3" fmla="*/ 4039038 h 4039038"/>
              <a:gd name="connsiteX4" fmla="*/ 0 w 8248650"/>
              <a:gd name="connsiteY4" fmla="*/ 4019988 h 4039038"/>
              <a:gd name="connsiteX5" fmla="*/ 38100 w 8248650"/>
              <a:gd name="connsiteY5" fmla="*/ 352863 h 4039038"/>
              <a:gd name="connsiteX0" fmla="*/ 38100 w 8248650"/>
              <a:gd name="connsiteY0" fmla="*/ 360827 h 4047002"/>
              <a:gd name="connsiteX1" fmla="*/ 4935567 w 8248650"/>
              <a:gd name="connsiteY1" fmla="*/ 1099641 h 4047002"/>
              <a:gd name="connsiteX2" fmla="*/ 8231357 w 8248650"/>
              <a:gd name="connsiteY2" fmla="*/ 461510 h 4047002"/>
              <a:gd name="connsiteX3" fmla="*/ 8248650 w 8248650"/>
              <a:gd name="connsiteY3" fmla="*/ 4047002 h 4047002"/>
              <a:gd name="connsiteX4" fmla="*/ 0 w 8248650"/>
              <a:gd name="connsiteY4" fmla="*/ 4027952 h 4047002"/>
              <a:gd name="connsiteX5" fmla="*/ 38100 w 8248650"/>
              <a:gd name="connsiteY5" fmla="*/ 360827 h 4047002"/>
              <a:gd name="connsiteX0" fmla="*/ 38100 w 8248650"/>
              <a:gd name="connsiteY0" fmla="*/ 179712 h 3865887"/>
              <a:gd name="connsiteX1" fmla="*/ 4719408 w 8248650"/>
              <a:gd name="connsiteY1" fmla="*/ 3054963 h 3865887"/>
              <a:gd name="connsiteX2" fmla="*/ 8231357 w 8248650"/>
              <a:gd name="connsiteY2" fmla="*/ 280395 h 3865887"/>
              <a:gd name="connsiteX3" fmla="*/ 8248650 w 8248650"/>
              <a:gd name="connsiteY3" fmla="*/ 3865887 h 3865887"/>
              <a:gd name="connsiteX4" fmla="*/ 0 w 8248650"/>
              <a:gd name="connsiteY4" fmla="*/ 3846837 h 3865887"/>
              <a:gd name="connsiteX5" fmla="*/ 38100 w 8248650"/>
              <a:gd name="connsiteY5" fmla="*/ 179712 h 3865887"/>
              <a:gd name="connsiteX0" fmla="*/ 38100 w 8248650"/>
              <a:gd name="connsiteY0" fmla="*/ 327735 h 4013910"/>
              <a:gd name="connsiteX1" fmla="*/ 5264131 w 8248650"/>
              <a:gd name="connsiteY1" fmla="*/ 1321646 h 4013910"/>
              <a:gd name="connsiteX2" fmla="*/ 8231357 w 8248650"/>
              <a:gd name="connsiteY2" fmla="*/ 428418 h 4013910"/>
              <a:gd name="connsiteX3" fmla="*/ 8248650 w 8248650"/>
              <a:gd name="connsiteY3" fmla="*/ 4013910 h 4013910"/>
              <a:gd name="connsiteX4" fmla="*/ 0 w 8248650"/>
              <a:gd name="connsiteY4" fmla="*/ 3994860 h 4013910"/>
              <a:gd name="connsiteX5" fmla="*/ 38100 w 8248650"/>
              <a:gd name="connsiteY5" fmla="*/ 327735 h 4013910"/>
              <a:gd name="connsiteX0" fmla="*/ 72686 w 8248650"/>
              <a:gd name="connsiteY0" fmla="*/ 1110817 h 4063587"/>
              <a:gd name="connsiteX1" fmla="*/ 5264131 w 8248650"/>
              <a:gd name="connsiteY1" fmla="*/ 1371323 h 4063587"/>
              <a:gd name="connsiteX2" fmla="*/ 8231357 w 8248650"/>
              <a:gd name="connsiteY2" fmla="*/ 478095 h 4063587"/>
              <a:gd name="connsiteX3" fmla="*/ 8248650 w 8248650"/>
              <a:gd name="connsiteY3" fmla="*/ 4063587 h 4063587"/>
              <a:gd name="connsiteX4" fmla="*/ 0 w 8248650"/>
              <a:gd name="connsiteY4" fmla="*/ 4044537 h 4063587"/>
              <a:gd name="connsiteX5" fmla="*/ 72686 w 8248650"/>
              <a:gd name="connsiteY5" fmla="*/ 1110817 h 4063587"/>
              <a:gd name="connsiteX0" fmla="*/ 72686 w 8248650"/>
              <a:gd name="connsiteY0" fmla="*/ 1110817 h 4063587"/>
              <a:gd name="connsiteX1" fmla="*/ 5264131 w 8248650"/>
              <a:gd name="connsiteY1" fmla="*/ 1371323 h 4063587"/>
              <a:gd name="connsiteX2" fmla="*/ 8231357 w 8248650"/>
              <a:gd name="connsiteY2" fmla="*/ 478095 h 4063587"/>
              <a:gd name="connsiteX3" fmla="*/ 8248650 w 8248650"/>
              <a:gd name="connsiteY3" fmla="*/ 4063587 h 4063587"/>
              <a:gd name="connsiteX4" fmla="*/ 0 w 8248650"/>
              <a:gd name="connsiteY4" fmla="*/ 4044537 h 4063587"/>
              <a:gd name="connsiteX5" fmla="*/ 72686 w 8248650"/>
              <a:gd name="connsiteY5" fmla="*/ 1110817 h 4063587"/>
              <a:gd name="connsiteX0" fmla="*/ 72686 w 8248650"/>
              <a:gd name="connsiteY0" fmla="*/ 2714788 h 5667558"/>
              <a:gd name="connsiteX1" fmla="*/ 4857751 w 8248650"/>
              <a:gd name="connsiteY1" fmla="*/ 9793 h 5667558"/>
              <a:gd name="connsiteX2" fmla="*/ 8231357 w 8248650"/>
              <a:gd name="connsiteY2" fmla="*/ 2082066 h 5667558"/>
              <a:gd name="connsiteX3" fmla="*/ 8248650 w 8248650"/>
              <a:gd name="connsiteY3" fmla="*/ 5667558 h 5667558"/>
              <a:gd name="connsiteX4" fmla="*/ 0 w 8248650"/>
              <a:gd name="connsiteY4" fmla="*/ 5648508 h 5667558"/>
              <a:gd name="connsiteX5" fmla="*/ 72686 w 8248650"/>
              <a:gd name="connsiteY5" fmla="*/ 2714788 h 5667558"/>
              <a:gd name="connsiteX0" fmla="*/ 72686 w 8248650"/>
              <a:gd name="connsiteY0" fmla="*/ 1097092 h 4049862"/>
              <a:gd name="connsiteX1" fmla="*/ 4166040 w 8248650"/>
              <a:gd name="connsiteY1" fmla="*/ 1453260 h 4049862"/>
              <a:gd name="connsiteX2" fmla="*/ 8231357 w 8248650"/>
              <a:gd name="connsiteY2" fmla="*/ 464370 h 4049862"/>
              <a:gd name="connsiteX3" fmla="*/ 8248650 w 8248650"/>
              <a:gd name="connsiteY3" fmla="*/ 4049862 h 4049862"/>
              <a:gd name="connsiteX4" fmla="*/ 0 w 8248650"/>
              <a:gd name="connsiteY4" fmla="*/ 4030812 h 4049862"/>
              <a:gd name="connsiteX5" fmla="*/ 72686 w 8248650"/>
              <a:gd name="connsiteY5" fmla="*/ 1097092 h 4049862"/>
              <a:gd name="connsiteX0" fmla="*/ 64040 w 8248650"/>
              <a:gd name="connsiteY0" fmla="*/ 325178 h 4362111"/>
              <a:gd name="connsiteX1" fmla="*/ 4166040 w 8248650"/>
              <a:gd name="connsiteY1" fmla="*/ 1765509 h 4362111"/>
              <a:gd name="connsiteX2" fmla="*/ 8231357 w 8248650"/>
              <a:gd name="connsiteY2" fmla="*/ 776619 h 4362111"/>
              <a:gd name="connsiteX3" fmla="*/ 8248650 w 8248650"/>
              <a:gd name="connsiteY3" fmla="*/ 4362111 h 4362111"/>
              <a:gd name="connsiteX4" fmla="*/ 0 w 8248650"/>
              <a:gd name="connsiteY4" fmla="*/ 4343061 h 4362111"/>
              <a:gd name="connsiteX5" fmla="*/ 64040 w 8248650"/>
              <a:gd name="connsiteY5" fmla="*/ 325178 h 4362111"/>
              <a:gd name="connsiteX0" fmla="*/ 64040 w 8248650"/>
              <a:gd name="connsiteY0" fmla="*/ 322403 h 4359336"/>
              <a:gd name="connsiteX1" fmla="*/ 4166040 w 8248650"/>
              <a:gd name="connsiteY1" fmla="*/ 1762734 h 4359336"/>
              <a:gd name="connsiteX2" fmla="*/ 8231357 w 8248650"/>
              <a:gd name="connsiteY2" fmla="*/ 773844 h 4359336"/>
              <a:gd name="connsiteX3" fmla="*/ 8248650 w 8248650"/>
              <a:gd name="connsiteY3" fmla="*/ 4359336 h 4359336"/>
              <a:gd name="connsiteX4" fmla="*/ 0 w 8248650"/>
              <a:gd name="connsiteY4" fmla="*/ 4340286 h 4359336"/>
              <a:gd name="connsiteX5" fmla="*/ 64040 w 8248650"/>
              <a:gd name="connsiteY5" fmla="*/ 322403 h 4359336"/>
              <a:gd name="connsiteX0" fmla="*/ 46748 w 8248650"/>
              <a:gd name="connsiteY0" fmla="*/ 330370 h 4303529"/>
              <a:gd name="connsiteX1" fmla="*/ 4166040 w 8248650"/>
              <a:gd name="connsiteY1" fmla="*/ 1706927 h 4303529"/>
              <a:gd name="connsiteX2" fmla="*/ 8231357 w 8248650"/>
              <a:gd name="connsiteY2" fmla="*/ 718037 h 4303529"/>
              <a:gd name="connsiteX3" fmla="*/ 8248650 w 8248650"/>
              <a:gd name="connsiteY3" fmla="*/ 4303529 h 4303529"/>
              <a:gd name="connsiteX4" fmla="*/ 0 w 8248650"/>
              <a:gd name="connsiteY4" fmla="*/ 4284479 h 4303529"/>
              <a:gd name="connsiteX5" fmla="*/ 46748 w 8248650"/>
              <a:gd name="connsiteY5" fmla="*/ 330370 h 4303529"/>
              <a:gd name="connsiteX0" fmla="*/ 46748 w 8248650"/>
              <a:gd name="connsiteY0" fmla="*/ 343322 h 4316481"/>
              <a:gd name="connsiteX1" fmla="*/ 4217918 w 8248650"/>
              <a:gd name="connsiteY1" fmla="*/ 1592330 h 4316481"/>
              <a:gd name="connsiteX2" fmla="*/ 8231357 w 8248650"/>
              <a:gd name="connsiteY2" fmla="*/ 730989 h 4316481"/>
              <a:gd name="connsiteX3" fmla="*/ 8248650 w 8248650"/>
              <a:gd name="connsiteY3" fmla="*/ 4316481 h 4316481"/>
              <a:gd name="connsiteX4" fmla="*/ 0 w 8248650"/>
              <a:gd name="connsiteY4" fmla="*/ 4297431 h 4316481"/>
              <a:gd name="connsiteX5" fmla="*/ 46748 w 8248650"/>
              <a:gd name="connsiteY5" fmla="*/ 343322 h 4316481"/>
              <a:gd name="connsiteX0" fmla="*/ 46748 w 8248650"/>
              <a:gd name="connsiteY0" fmla="*/ 343322 h 4316481"/>
              <a:gd name="connsiteX1" fmla="*/ 4217918 w 8248650"/>
              <a:gd name="connsiteY1" fmla="*/ 1592330 h 4316481"/>
              <a:gd name="connsiteX2" fmla="*/ 8231357 w 8248650"/>
              <a:gd name="connsiteY2" fmla="*/ 730989 h 4316481"/>
              <a:gd name="connsiteX3" fmla="*/ 8248650 w 8248650"/>
              <a:gd name="connsiteY3" fmla="*/ 4316481 h 4316481"/>
              <a:gd name="connsiteX4" fmla="*/ 0 w 8248650"/>
              <a:gd name="connsiteY4" fmla="*/ 4297431 h 4316481"/>
              <a:gd name="connsiteX5" fmla="*/ 46748 w 8248650"/>
              <a:gd name="connsiteY5" fmla="*/ 343322 h 4316481"/>
              <a:gd name="connsiteX0" fmla="*/ 8248650 w 8331655"/>
              <a:gd name="connsiteY0" fmla="*/ 4316481 h 4622597"/>
              <a:gd name="connsiteX1" fmla="*/ 0 w 8331655"/>
              <a:gd name="connsiteY1" fmla="*/ 4297431 h 4622597"/>
              <a:gd name="connsiteX2" fmla="*/ 46748 w 8331655"/>
              <a:gd name="connsiteY2" fmla="*/ 343322 h 4622597"/>
              <a:gd name="connsiteX3" fmla="*/ 4217918 w 8331655"/>
              <a:gd name="connsiteY3" fmla="*/ 1592330 h 4622597"/>
              <a:gd name="connsiteX4" fmla="*/ 8231357 w 8331655"/>
              <a:gd name="connsiteY4" fmla="*/ 730989 h 4622597"/>
              <a:gd name="connsiteX5" fmla="*/ 8331655 w 8331655"/>
              <a:gd name="connsiteY5" fmla="*/ 4622597 h 4622597"/>
              <a:gd name="connsiteX0" fmla="*/ 8248650 w 8248650"/>
              <a:gd name="connsiteY0" fmla="*/ 4316481 h 4316481"/>
              <a:gd name="connsiteX1" fmla="*/ 0 w 8248650"/>
              <a:gd name="connsiteY1" fmla="*/ 4297431 h 4316481"/>
              <a:gd name="connsiteX2" fmla="*/ 46748 w 8248650"/>
              <a:gd name="connsiteY2" fmla="*/ 343322 h 4316481"/>
              <a:gd name="connsiteX3" fmla="*/ 4217918 w 8248650"/>
              <a:gd name="connsiteY3" fmla="*/ 1592330 h 4316481"/>
              <a:gd name="connsiteX4" fmla="*/ 8231357 w 8248650"/>
              <a:gd name="connsiteY4" fmla="*/ 730989 h 4316481"/>
              <a:gd name="connsiteX0" fmla="*/ 0 w 8231357"/>
              <a:gd name="connsiteY0" fmla="*/ 4297431 h 4297432"/>
              <a:gd name="connsiteX1" fmla="*/ 46748 w 8231357"/>
              <a:gd name="connsiteY1" fmla="*/ 343322 h 4297432"/>
              <a:gd name="connsiteX2" fmla="*/ 4217918 w 8231357"/>
              <a:gd name="connsiteY2" fmla="*/ 1592330 h 4297432"/>
              <a:gd name="connsiteX3" fmla="*/ 8231357 w 8231357"/>
              <a:gd name="connsiteY3" fmla="*/ 730989 h 4297432"/>
              <a:gd name="connsiteX0" fmla="*/ 0 w 8184609"/>
              <a:gd name="connsiteY0" fmla="*/ 343322 h 1593639"/>
              <a:gd name="connsiteX1" fmla="*/ 4171170 w 8184609"/>
              <a:gd name="connsiteY1" fmla="*/ 1592330 h 1593639"/>
              <a:gd name="connsiteX2" fmla="*/ 8184609 w 8184609"/>
              <a:gd name="connsiteY2" fmla="*/ 730989 h 1593639"/>
              <a:gd name="connsiteX0" fmla="*/ 0 w 8155480"/>
              <a:gd name="connsiteY0" fmla="*/ 325345 h 1790000"/>
              <a:gd name="connsiteX1" fmla="*/ 4142041 w 8155480"/>
              <a:gd name="connsiteY1" fmla="*/ 1786933 h 1790000"/>
              <a:gd name="connsiteX2" fmla="*/ 8155480 w 8155480"/>
              <a:gd name="connsiteY2" fmla="*/ 925592 h 1790000"/>
              <a:gd name="connsiteX0" fmla="*/ 0 w 8155480"/>
              <a:gd name="connsiteY0" fmla="*/ 156844 h 1621499"/>
              <a:gd name="connsiteX1" fmla="*/ 4142041 w 8155480"/>
              <a:gd name="connsiteY1" fmla="*/ 1618432 h 1621499"/>
              <a:gd name="connsiteX2" fmla="*/ 8155480 w 8155480"/>
              <a:gd name="connsiteY2" fmla="*/ 757091 h 1621499"/>
              <a:gd name="connsiteX0" fmla="*/ 0 w 8257432"/>
              <a:gd name="connsiteY0" fmla="*/ 156844 h 1621499"/>
              <a:gd name="connsiteX1" fmla="*/ 4142041 w 8257432"/>
              <a:gd name="connsiteY1" fmla="*/ 1618432 h 1621499"/>
              <a:gd name="connsiteX2" fmla="*/ 8257432 w 8257432"/>
              <a:gd name="connsiteY2" fmla="*/ 757092 h 1621499"/>
              <a:gd name="connsiteX0" fmla="*/ 0 w 8257432"/>
              <a:gd name="connsiteY0" fmla="*/ 156844 h 1621499"/>
              <a:gd name="connsiteX1" fmla="*/ 4142041 w 8257432"/>
              <a:gd name="connsiteY1" fmla="*/ 1618432 h 1621499"/>
              <a:gd name="connsiteX2" fmla="*/ 8257432 w 8257432"/>
              <a:gd name="connsiteY2" fmla="*/ 757092 h 1621499"/>
              <a:gd name="connsiteX0" fmla="*/ 0 w 8257432"/>
              <a:gd name="connsiteY0" fmla="*/ 174256 h 1638911"/>
              <a:gd name="connsiteX1" fmla="*/ 4142041 w 8257432"/>
              <a:gd name="connsiteY1" fmla="*/ 1635844 h 1638911"/>
              <a:gd name="connsiteX2" fmla="*/ 8257432 w 8257432"/>
              <a:gd name="connsiteY2" fmla="*/ 774504 h 1638911"/>
              <a:gd name="connsiteX0" fmla="*/ 0 w 8257432"/>
              <a:gd name="connsiteY0" fmla="*/ 183362 h 1487199"/>
              <a:gd name="connsiteX1" fmla="*/ 4142041 w 8257432"/>
              <a:gd name="connsiteY1" fmla="*/ 1485514 h 1487199"/>
              <a:gd name="connsiteX2" fmla="*/ 8257432 w 8257432"/>
              <a:gd name="connsiteY2" fmla="*/ 624174 h 1487199"/>
              <a:gd name="connsiteX0" fmla="*/ 0 w 8257432"/>
              <a:gd name="connsiteY0" fmla="*/ 258924 h 1562757"/>
              <a:gd name="connsiteX1" fmla="*/ 4142041 w 8257432"/>
              <a:gd name="connsiteY1" fmla="*/ 1561076 h 1562757"/>
              <a:gd name="connsiteX2" fmla="*/ 8257432 w 8257432"/>
              <a:gd name="connsiteY2" fmla="*/ 699736 h 1562757"/>
              <a:gd name="connsiteX0" fmla="*/ 0 w 8257432"/>
              <a:gd name="connsiteY0" fmla="*/ 258924 h 1562968"/>
              <a:gd name="connsiteX1" fmla="*/ 4142041 w 8257432"/>
              <a:gd name="connsiteY1" fmla="*/ 1561076 h 1562968"/>
              <a:gd name="connsiteX2" fmla="*/ 8257432 w 8257432"/>
              <a:gd name="connsiteY2" fmla="*/ 699736 h 1562968"/>
              <a:gd name="connsiteX0" fmla="*/ 0 w 8257432"/>
              <a:gd name="connsiteY0" fmla="*/ 272630 h 1591785"/>
              <a:gd name="connsiteX1" fmla="*/ 4142041 w 8257432"/>
              <a:gd name="connsiteY1" fmla="*/ 1574782 h 1591785"/>
              <a:gd name="connsiteX2" fmla="*/ 8257432 w 8257432"/>
              <a:gd name="connsiteY2" fmla="*/ 713442 h 1591785"/>
              <a:gd name="connsiteX0" fmla="*/ 0 w 9263282"/>
              <a:gd name="connsiteY0" fmla="*/ 272630 h 5198896"/>
              <a:gd name="connsiteX1" fmla="*/ 4142041 w 9263282"/>
              <a:gd name="connsiteY1" fmla="*/ 1574782 h 5198896"/>
              <a:gd name="connsiteX2" fmla="*/ 9263282 w 9263282"/>
              <a:gd name="connsiteY2" fmla="*/ 5198896 h 5198896"/>
              <a:gd name="connsiteX0" fmla="*/ 0 w 9263282"/>
              <a:gd name="connsiteY0" fmla="*/ 1 h 4926267"/>
              <a:gd name="connsiteX1" fmla="*/ 9263282 w 9263282"/>
              <a:gd name="connsiteY1" fmla="*/ 4926267 h 4926267"/>
              <a:gd name="connsiteX0" fmla="*/ 0 w 8206178"/>
              <a:gd name="connsiteY0" fmla="*/ 1 h 3076814"/>
              <a:gd name="connsiteX1" fmla="*/ 8206178 w 8206178"/>
              <a:gd name="connsiteY1" fmla="*/ 3076814 h 3076814"/>
              <a:gd name="connsiteX0" fmla="*/ 0 w 8206178"/>
              <a:gd name="connsiteY0" fmla="*/ 1 h 3076814"/>
              <a:gd name="connsiteX1" fmla="*/ 8206178 w 8206178"/>
              <a:gd name="connsiteY1" fmla="*/ 3076814 h 3076814"/>
              <a:gd name="connsiteX0" fmla="*/ 0 w 8206178"/>
              <a:gd name="connsiteY0" fmla="*/ 178328 h 3255141"/>
              <a:gd name="connsiteX1" fmla="*/ 8206178 w 8206178"/>
              <a:gd name="connsiteY1" fmla="*/ 3255141 h 3255141"/>
              <a:gd name="connsiteX0" fmla="*/ 0 w 8151020"/>
              <a:gd name="connsiteY0" fmla="*/ 449692 h 1789592"/>
              <a:gd name="connsiteX1" fmla="*/ 8151020 w 8151020"/>
              <a:gd name="connsiteY1" fmla="*/ 1789593 h 1789592"/>
              <a:gd name="connsiteX0" fmla="*/ 0 w 8151020"/>
              <a:gd name="connsiteY0" fmla="*/ 197269 h 1537169"/>
              <a:gd name="connsiteX1" fmla="*/ 8151020 w 8151020"/>
              <a:gd name="connsiteY1" fmla="*/ 1537170 h 1537169"/>
              <a:gd name="connsiteX0" fmla="*/ 0 w 8157915"/>
              <a:gd name="connsiteY0" fmla="*/ 208140 h 1430684"/>
              <a:gd name="connsiteX1" fmla="*/ 8157915 w 8157915"/>
              <a:gd name="connsiteY1" fmla="*/ 1430684 h 1430684"/>
              <a:gd name="connsiteX0" fmla="*/ 0 w 8157915"/>
              <a:gd name="connsiteY0" fmla="*/ 188689 h 1411233"/>
              <a:gd name="connsiteX1" fmla="*/ 8157915 w 8157915"/>
              <a:gd name="connsiteY1" fmla="*/ 1411233 h 1411233"/>
              <a:gd name="connsiteX0" fmla="*/ 0 w 8268233"/>
              <a:gd name="connsiteY0" fmla="*/ 361585 h 457483"/>
              <a:gd name="connsiteX1" fmla="*/ 8268233 w 8268233"/>
              <a:gd name="connsiteY1" fmla="*/ 457483 h 457483"/>
              <a:gd name="connsiteX0" fmla="*/ 0 w 7695959"/>
              <a:gd name="connsiteY0" fmla="*/ 325244 h 561974"/>
              <a:gd name="connsiteX1" fmla="*/ 7695959 w 7695959"/>
              <a:gd name="connsiteY1" fmla="*/ 561974 h 561974"/>
              <a:gd name="connsiteX0" fmla="*/ 0 w 8213075"/>
              <a:gd name="connsiteY0" fmla="*/ 461395 h 461395"/>
              <a:gd name="connsiteX1" fmla="*/ 8213075 w 8213075"/>
              <a:gd name="connsiteY1" fmla="*/ 275635 h 461395"/>
              <a:gd name="connsiteX0" fmla="*/ 0 w 8213075"/>
              <a:gd name="connsiteY0" fmla="*/ 185761 h 713139"/>
              <a:gd name="connsiteX1" fmla="*/ 8213075 w 8213075"/>
              <a:gd name="connsiteY1" fmla="*/ 1 h 713139"/>
              <a:gd name="connsiteX0" fmla="*/ 0 w 8213075"/>
              <a:gd name="connsiteY0" fmla="*/ 255470 h 731696"/>
              <a:gd name="connsiteX1" fmla="*/ 8213075 w 8213075"/>
              <a:gd name="connsiteY1" fmla="*/ 69710 h 731696"/>
              <a:gd name="connsiteX0" fmla="*/ 0 w 8213075"/>
              <a:gd name="connsiteY0" fmla="*/ 263846 h 736402"/>
              <a:gd name="connsiteX1" fmla="*/ 8213075 w 8213075"/>
              <a:gd name="connsiteY1" fmla="*/ 78086 h 736402"/>
              <a:gd name="connsiteX0" fmla="*/ 0 w 8213075"/>
              <a:gd name="connsiteY0" fmla="*/ 239417 h 864052"/>
              <a:gd name="connsiteX1" fmla="*/ 8213075 w 8213075"/>
              <a:gd name="connsiteY1" fmla="*/ 53657 h 864052"/>
              <a:gd name="connsiteX0" fmla="*/ 0 w 7878384"/>
              <a:gd name="connsiteY0" fmla="*/ 231491 h 956412"/>
              <a:gd name="connsiteX1" fmla="*/ 7878384 w 7878384"/>
              <a:gd name="connsiteY1" fmla="*/ 168089 h 95641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7878384" h="956412">
                <a:moveTo>
                  <a:pt x="0" y="231491"/>
                </a:moveTo>
                <a:cubicBezTo>
                  <a:pt x="1759324" y="-857189"/>
                  <a:pt x="6324706" y="2370481"/>
                  <a:pt x="7878384" y="168089"/>
                </a:cubicBezTo>
              </a:path>
            </a:pathLst>
          </a:custGeom>
          <a:noFill/>
          <a:ln w="50800">
            <a:gradFill flip="none" rotWithShape="1">
              <a:gsLst>
                <a:gs pos="0">
                  <a:schemeClr val="accent6">
                    <a:alpha val="35000"/>
                  </a:schemeClr>
                </a:gs>
                <a:gs pos="41000">
                  <a:schemeClr val="accent6">
                    <a:alpha val="0"/>
                  </a:schemeClr>
                </a:gs>
                <a:gs pos="100000">
                  <a:schemeClr val="bg1">
                    <a:alpha val="0"/>
                  </a:schemeClr>
                </a:gs>
              </a:gsLst>
              <a:lin ang="2700000" scaled="1"/>
              <a:tileRect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" name="Forma libre 16"/>
          <xdr:cNvSpPr/>
        </xdr:nvSpPr>
        <xdr:spPr>
          <a:xfrm>
            <a:off x="346397" y="6189506"/>
            <a:ext cx="8283727" cy="405774"/>
          </a:xfrm>
          <a:custGeom>
            <a:avLst/>
            <a:gdLst>
              <a:gd name="connsiteX0" fmla="*/ 38100 w 8248650"/>
              <a:gd name="connsiteY0" fmla="*/ 0 h 3686175"/>
              <a:gd name="connsiteX1" fmla="*/ 4857750 w 8248650"/>
              <a:gd name="connsiteY1" fmla="*/ 962025 h 3686175"/>
              <a:gd name="connsiteX2" fmla="*/ 8248650 w 8248650"/>
              <a:gd name="connsiteY2" fmla="*/ 190500 h 3686175"/>
              <a:gd name="connsiteX3" fmla="*/ 8248650 w 8248650"/>
              <a:gd name="connsiteY3" fmla="*/ 3686175 h 3686175"/>
              <a:gd name="connsiteX4" fmla="*/ 0 w 8248650"/>
              <a:gd name="connsiteY4" fmla="*/ 3667125 h 3686175"/>
              <a:gd name="connsiteX5" fmla="*/ 38100 w 8248650"/>
              <a:gd name="connsiteY5" fmla="*/ 0 h 3686175"/>
              <a:gd name="connsiteX0" fmla="*/ 38100 w 8248650"/>
              <a:gd name="connsiteY0" fmla="*/ 90366 h 3776541"/>
              <a:gd name="connsiteX1" fmla="*/ 4857750 w 8248650"/>
              <a:gd name="connsiteY1" fmla="*/ 1052391 h 3776541"/>
              <a:gd name="connsiteX2" fmla="*/ 8248650 w 8248650"/>
              <a:gd name="connsiteY2" fmla="*/ 280866 h 3776541"/>
              <a:gd name="connsiteX3" fmla="*/ 8248650 w 8248650"/>
              <a:gd name="connsiteY3" fmla="*/ 3776541 h 3776541"/>
              <a:gd name="connsiteX4" fmla="*/ 0 w 8248650"/>
              <a:gd name="connsiteY4" fmla="*/ 3757491 h 3776541"/>
              <a:gd name="connsiteX5" fmla="*/ 38100 w 8248650"/>
              <a:gd name="connsiteY5" fmla="*/ 90366 h 3776541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204054 h 3890229"/>
              <a:gd name="connsiteX1" fmla="*/ 4857750 w 8248650"/>
              <a:gd name="connsiteY1" fmla="*/ 1166079 h 3890229"/>
              <a:gd name="connsiteX2" fmla="*/ 8248650 w 8248650"/>
              <a:gd name="connsiteY2" fmla="*/ 1994754 h 3890229"/>
              <a:gd name="connsiteX3" fmla="*/ 8248650 w 8248650"/>
              <a:gd name="connsiteY3" fmla="*/ 3890229 h 3890229"/>
              <a:gd name="connsiteX4" fmla="*/ 0 w 8248650"/>
              <a:gd name="connsiteY4" fmla="*/ 3871179 h 3890229"/>
              <a:gd name="connsiteX5" fmla="*/ 38100 w 8248650"/>
              <a:gd name="connsiteY5" fmla="*/ 204054 h 3890229"/>
              <a:gd name="connsiteX0" fmla="*/ 38100 w 8248650"/>
              <a:gd name="connsiteY0" fmla="*/ 89615 h 3775790"/>
              <a:gd name="connsiteX1" fmla="*/ 4857750 w 8248650"/>
              <a:gd name="connsiteY1" fmla="*/ 1051640 h 3775790"/>
              <a:gd name="connsiteX2" fmla="*/ 8231357 w 8248650"/>
              <a:gd name="connsiteY2" fmla="*/ 190298 h 3775790"/>
              <a:gd name="connsiteX3" fmla="*/ 8248650 w 8248650"/>
              <a:gd name="connsiteY3" fmla="*/ 3775790 h 3775790"/>
              <a:gd name="connsiteX4" fmla="*/ 0 w 8248650"/>
              <a:gd name="connsiteY4" fmla="*/ 3756740 h 3775790"/>
              <a:gd name="connsiteX5" fmla="*/ 38100 w 8248650"/>
              <a:gd name="connsiteY5" fmla="*/ 89615 h 3775790"/>
              <a:gd name="connsiteX0" fmla="*/ 38100 w 8248650"/>
              <a:gd name="connsiteY0" fmla="*/ 366030 h 4052205"/>
              <a:gd name="connsiteX1" fmla="*/ 4857750 w 8248650"/>
              <a:gd name="connsiteY1" fmla="*/ 1328055 h 4052205"/>
              <a:gd name="connsiteX2" fmla="*/ 8231357 w 8248650"/>
              <a:gd name="connsiteY2" fmla="*/ 466713 h 4052205"/>
              <a:gd name="connsiteX3" fmla="*/ 8248650 w 8248650"/>
              <a:gd name="connsiteY3" fmla="*/ 4052205 h 4052205"/>
              <a:gd name="connsiteX4" fmla="*/ 0 w 8248650"/>
              <a:gd name="connsiteY4" fmla="*/ 4033155 h 4052205"/>
              <a:gd name="connsiteX5" fmla="*/ 38100 w 8248650"/>
              <a:gd name="connsiteY5" fmla="*/ 366030 h 4052205"/>
              <a:gd name="connsiteX0" fmla="*/ 38100 w 8248650"/>
              <a:gd name="connsiteY0" fmla="*/ 394750 h 4080925"/>
              <a:gd name="connsiteX1" fmla="*/ 4511894 w 8248650"/>
              <a:gd name="connsiteY1" fmla="*/ 1165451 h 4080925"/>
              <a:gd name="connsiteX2" fmla="*/ 8231357 w 8248650"/>
              <a:gd name="connsiteY2" fmla="*/ 495433 h 4080925"/>
              <a:gd name="connsiteX3" fmla="*/ 8248650 w 8248650"/>
              <a:gd name="connsiteY3" fmla="*/ 4080925 h 4080925"/>
              <a:gd name="connsiteX4" fmla="*/ 0 w 8248650"/>
              <a:gd name="connsiteY4" fmla="*/ 4061875 h 4080925"/>
              <a:gd name="connsiteX5" fmla="*/ 38100 w 8248650"/>
              <a:gd name="connsiteY5" fmla="*/ 394750 h 4080925"/>
              <a:gd name="connsiteX0" fmla="*/ 38100 w 8248650"/>
              <a:gd name="connsiteY0" fmla="*/ 394750 h 4080925"/>
              <a:gd name="connsiteX1" fmla="*/ 4511894 w 8248650"/>
              <a:gd name="connsiteY1" fmla="*/ 1165451 h 4080925"/>
              <a:gd name="connsiteX2" fmla="*/ 8231357 w 8248650"/>
              <a:gd name="connsiteY2" fmla="*/ 495433 h 4080925"/>
              <a:gd name="connsiteX3" fmla="*/ 8248650 w 8248650"/>
              <a:gd name="connsiteY3" fmla="*/ 4080925 h 4080925"/>
              <a:gd name="connsiteX4" fmla="*/ 0 w 8248650"/>
              <a:gd name="connsiteY4" fmla="*/ 4061875 h 4080925"/>
              <a:gd name="connsiteX5" fmla="*/ 38100 w 8248650"/>
              <a:gd name="connsiteY5" fmla="*/ 394750 h 4080925"/>
              <a:gd name="connsiteX0" fmla="*/ 38100 w 8248650"/>
              <a:gd name="connsiteY0" fmla="*/ 399879 h 4086054"/>
              <a:gd name="connsiteX1" fmla="*/ 4935567 w 8248650"/>
              <a:gd name="connsiteY1" fmla="*/ 1138693 h 4086054"/>
              <a:gd name="connsiteX2" fmla="*/ 8231357 w 8248650"/>
              <a:gd name="connsiteY2" fmla="*/ 500562 h 4086054"/>
              <a:gd name="connsiteX3" fmla="*/ 8248650 w 8248650"/>
              <a:gd name="connsiteY3" fmla="*/ 4086054 h 4086054"/>
              <a:gd name="connsiteX4" fmla="*/ 0 w 8248650"/>
              <a:gd name="connsiteY4" fmla="*/ 4067004 h 4086054"/>
              <a:gd name="connsiteX5" fmla="*/ 38100 w 8248650"/>
              <a:gd name="connsiteY5" fmla="*/ 399879 h 4086054"/>
              <a:gd name="connsiteX0" fmla="*/ 38100 w 8248650"/>
              <a:gd name="connsiteY0" fmla="*/ 352863 h 4039038"/>
              <a:gd name="connsiteX1" fmla="*/ 4935567 w 8248650"/>
              <a:gd name="connsiteY1" fmla="*/ 1091677 h 4039038"/>
              <a:gd name="connsiteX2" fmla="*/ 8231357 w 8248650"/>
              <a:gd name="connsiteY2" fmla="*/ 453546 h 4039038"/>
              <a:gd name="connsiteX3" fmla="*/ 8248650 w 8248650"/>
              <a:gd name="connsiteY3" fmla="*/ 4039038 h 4039038"/>
              <a:gd name="connsiteX4" fmla="*/ 0 w 8248650"/>
              <a:gd name="connsiteY4" fmla="*/ 4019988 h 4039038"/>
              <a:gd name="connsiteX5" fmla="*/ 38100 w 8248650"/>
              <a:gd name="connsiteY5" fmla="*/ 352863 h 4039038"/>
              <a:gd name="connsiteX0" fmla="*/ 38100 w 8248650"/>
              <a:gd name="connsiteY0" fmla="*/ 360827 h 4047002"/>
              <a:gd name="connsiteX1" fmla="*/ 4935567 w 8248650"/>
              <a:gd name="connsiteY1" fmla="*/ 1099641 h 4047002"/>
              <a:gd name="connsiteX2" fmla="*/ 8231357 w 8248650"/>
              <a:gd name="connsiteY2" fmla="*/ 461510 h 4047002"/>
              <a:gd name="connsiteX3" fmla="*/ 8248650 w 8248650"/>
              <a:gd name="connsiteY3" fmla="*/ 4047002 h 4047002"/>
              <a:gd name="connsiteX4" fmla="*/ 0 w 8248650"/>
              <a:gd name="connsiteY4" fmla="*/ 4027952 h 4047002"/>
              <a:gd name="connsiteX5" fmla="*/ 38100 w 8248650"/>
              <a:gd name="connsiteY5" fmla="*/ 360827 h 4047002"/>
              <a:gd name="connsiteX0" fmla="*/ 38100 w 8248650"/>
              <a:gd name="connsiteY0" fmla="*/ 179712 h 3865887"/>
              <a:gd name="connsiteX1" fmla="*/ 4719408 w 8248650"/>
              <a:gd name="connsiteY1" fmla="*/ 3054963 h 3865887"/>
              <a:gd name="connsiteX2" fmla="*/ 8231357 w 8248650"/>
              <a:gd name="connsiteY2" fmla="*/ 280395 h 3865887"/>
              <a:gd name="connsiteX3" fmla="*/ 8248650 w 8248650"/>
              <a:gd name="connsiteY3" fmla="*/ 3865887 h 3865887"/>
              <a:gd name="connsiteX4" fmla="*/ 0 w 8248650"/>
              <a:gd name="connsiteY4" fmla="*/ 3846837 h 3865887"/>
              <a:gd name="connsiteX5" fmla="*/ 38100 w 8248650"/>
              <a:gd name="connsiteY5" fmla="*/ 179712 h 3865887"/>
              <a:gd name="connsiteX0" fmla="*/ 38100 w 8248650"/>
              <a:gd name="connsiteY0" fmla="*/ 327735 h 4013910"/>
              <a:gd name="connsiteX1" fmla="*/ 5264131 w 8248650"/>
              <a:gd name="connsiteY1" fmla="*/ 1321646 h 4013910"/>
              <a:gd name="connsiteX2" fmla="*/ 8231357 w 8248650"/>
              <a:gd name="connsiteY2" fmla="*/ 428418 h 4013910"/>
              <a:gd name="connsiteX3" fmla="*/ 8248650 w 8248650"/>
              <a:gd name="connsiteY3" fmla="*/ 4013910 h 4013910"/>
              <a:gd name="connsiteX4" fmla="*/ 0 w 8248650"/>
              <a:gd name="connsiteY4" fmla="*/ 3994860 h 4013910"/>
              <a:gd name="connsiteX5" fmla="*/ 38100 w 8248650"/>
              <a:gd name="connsiteY5" fmla="*/ 327735 h 4013910"/>
              <a:gd name="connsiteX0" fmla="*/ 72686 w 8248650"/>
              <a:gd name="connsiteY0" fmla="*/ 1110817 h 4063587"/>
              <a:gd name="connsiteX1" fmla="*/ 5264131 w 8248650"/>
              <a:gd name="connsiteY1" fmla="*/ 1371323 h 4063587"/>
              <a:gd name="connsiteX2" fmla="*/ 8231357 w 8248650"/>
              <a:gd name="connsiteY2" fmla="*/ 478095 h 4063587"/>
              <a:gd name="connsiteX3" fmla="*/ 8248650 w 8248650"/>
              <a:gd name="connsiteY3" fmla="*/ 4063587 h 4063587"/>
              <a:gd name="connsiteX4" fmla="*/ 0 w 8248650"/>
              <a:gd name="connsiteY4" fmla="*/ 4044537 h 4063587"/>
              <a:gd name="connsiteX5" fmla="*/ 72686 w 8248650"/>
              <a:gd name="connsiteY5" fmla="*/ 1110817 h 4063587"/>
              <a:gd name="connsiteX0" fmla="*/ 72686 w 8248650"/>
              <a:gd name="connsiteY0" fmla="*/ 1110817 h 4063587"/>
              <a:gd name="connsiteX1" fmla="*/ 5264131 w 8248650"/>
              <a:gd name="connsiteY1" fmla="*/ 1371323 h 4063587"/>
              <a:gd name="connsiteX2" fmla="*/ 8231357 w 8248650"/>
              <a:gd name="connsiteY2" fmla="*/ 478095 h 4063587"/>
              <a:gd name="connsiteX3" fmla="*/ 8248650 w 8248650"/>
              <a:gd name="connsiteY3" fmla="*/ 4063587 h 4063587"/>
              <a:gd name="connsiteX4" fmla="*/ 0 w 8248650"/>
              <a:gd name="connsiteY4" fmla="*/ 4044537 h 4063587"/>
              <a:gd name="connsiteX5" fmla="*/ 72686 w 8248650"/>
              <a:gd name="connsiteY5" fmla="*/ 1110817 h 4063587"/>
              <a:gd name="connsiteX0" fmla="*/ 72686 w 8248650"/>
              <a:gd name="connsiteY0" fmla="*/ 2714788 h 5667558"/>
              <a:gd name="connsiteX1" fmla="*/ 4857751 w 8248650"/>
              <a:gd name="connsiteY1" fmla="*/ 9793 h 5667558"/>
              <a:gd name="connsiteX2" fmla="*/ 8231357 w 8248650"/>
              <a:gd name="connsiteY2" fmla="*/ 2082066 h 5667558"/>
              <a:gd name="connsiteX3" fmla="*/ 8248650 w 8248650"/>
              <a:gd name="connsiteY3" fmla="*/ 5667558 h 5667558"/>
              <a:gd name="connsiteX4" fmla="*/ 0 w 8248650"/>
              <a:gd name="connsiteY4" fmla="*/ 5648508 h 5667558"/>
              <a:gd name="connsiteX5" fmla="*/ 72686 w 8248650"/>
              <a:gd name="connsiteY5" fmla="*/ 2714788 h 5667558"/>
              <a:gd name="connsiteX0" fmla="*/ 72686 w 8248650"/>
              <a:gd name="connsiteY0" fmla="*/ 1097092 h 4049862"/>
              <a:gd name="connsiteX1" fmla="*/ 4166040 w 8248650"/>
              <a:gd name="connsiteY1" fmla="*/ 1453260 h 4049862"/>
              <a:gd name="connsiteX2" fmla="*/ 8231357 w 8248650"/>
              <a:gd name="connsiteY2" fmla="*/ 464370 h 4049862"/>
              <a:gd name="connsiteX3" fmla="*/ 8248650 w 8248650"/>
              <a:gd name="connsiteY3" fmla="*/ 4049862 h 4049862"/>
              <a:gd name="connsiteX4" fmla="*/ 0 w 8248650"/>
              <a:gd name="connsiteY4" fmla="*/ 4030812 h 4049862"/>
              <a:gd name="connsiteX5" fmla="*/ 72686 w 8248650"/>
              <a:gd name="connsiteY5" fmla="*/ 1097092 h 4049862"/>
              <a:gd name="connsiteX0" fmla="*/ 64040 w 8248650"/>
              <a:gd name="connsiteY0" fmla="*/ 325178 h 4362111"/>
              <a:gd name="connsiteX1" fmla="*/ 4166040 w 8248650"/>
              <a:gd name="connsiteY1" fmla="*/ 1765509 h 4362111"/>
              <a:gd name="connsiteX2" fmla="*/ 8231357 w 8248650"/>
              <a:gd name="connsiteY2" fmla="*/ 776619 h 4362111"/>
              <a:gd name="connsiteX3" fmla="*/ 8248650 w 8248650"/>
              <a:gd name="connsiteY3" fmla="*/ 4362111 h 4362111"/>
              <a:gd name="connsiteX4" fmla="*/ 0 w 8248650"/>
              <a:gd name="connsiteY4" fmla="*/ 4343061 h 4362111"/>
              <a:gd name="connsiteX5" fmla="*/ 64040 w 8248650"/>
              <a:gd name="connsiteY5" fmla="*/ 325178 h 4362111"/>
              <a:gd name="connsiteX0" fmla="*/ 64040 w 8248650"/>
              <a:gd name="connsiteY0" fmla="*/ 322403 h 4359336"/>
              <a:gd name="connsiteX1" fmla="*/ 4166040 w 8248650"/>
              <a:gd name="connsiteY1" fmla="*/ 1762734 h 4359336"/>
              <a:gd name="connsiteX2" fmla="*/ 8231357 w 8248650"/>
              <a:gd name="connsiteY2" fmla="*/ 773844 h 4359336"/>
              <a:gd name="connsiteX3" fmla="*/ 8248650 w 8248650"/>
              <a:gd name="connsiteY3" fmla="*/ 4359336 h 4359336"/>
              <a:gd name="connsiteX4" fmla="*/ 0 w 8248650"/>
              <a:gd name="connsiteY4" fmla="*/ 4340286 h 4359336"/>
              <a:gd name="connsiteX5" fmla="*/ 64040 w 8248650"/>
              <a:gd name="connsiteY5" fmla="*/ 322403 h 4359336"/>
              <a:gd name="connsiteX0" fmla="*/ 46748 w 8248650"/>
              <a:gd name="connsiteY0" fmla="*/ 330370 h 4303529"/>
              <a:gd name="connsiteX1" fmla="*/ 4166040 w 8248650"/>
              <a:gd name="connsiteY1" fmla="*/ 1706927 h 4303529"/>
              <a:gd name="connsiteX2" fmla="*/ 8231357 w 8248650"/>
              <a:gd name="connsiteY2" fmla="*/ 718037 h 4303529"/>
              <a:gd name="connsiteX3" fmla="*/ 8248650 w 8248650"/>
              <a:gd name="connsiteY3" fmla="*/ 4303529 h 4303529"/>
              <a:gd name="connsiteX4" fmla="*/ 0 w 8248650"/>
              <a:gd name="connsiteY4" fmla="*/ 4284479 h 4303529"/>
              <a:gd name="connsiteX5" fmla="*/ 46748 w 8248650"/>
              <a:gd name="connsiteY5" fmla="*/ 330370 h 4303529"/>
              <a:gd name="connsiteX0" fmla="*/ 46748 w 8248650"/>
              <a:gd name="connsiteY0" fmla="*/ 343322 h 4316481"/>
              <a:gd name="connsiteX1" fmla="*/ 4217918 w 8248650"/>
              <a:gd name="connsiteY1" fmla="*/ 1592330 h 4316481"/>
              <a:gd name="connsiteX2" fmla="*/ 8231357 w 8248650"/>
              <a:gd name="connsiteY2" fmla="*/ 730989 h 4316481"/>
              <a:gd name="connsiteX3" fmla="*/ 8248650 w 8248650"/>
              <a:gd name="connsiteY3" fmla="*/ 4316481 h 4316481"/>
              <a:gd name="connsiteX4" fmla="*/ 0 w 8248650"/>
              <a:gd name="connsiteY4" fmla="*/ 4297431 h 4316481"/>
              <a:gd name="connsiteX5" fmla="*/ 46748 w 8248650"/>
              <a:gd name="connsiteY5" fmla="*/ 343322 h 4316481"/>
              <a:gd name="connsiteX0" fmla="*/ 46748 w 8248650"/>
              <a:gd name="connsiteY0" fmla="*/ 343322 h 4316481"/>
              <a:gd name="connsiteX1" fmla="*/ 4217918 w 8248650"/>
              <a:gd name="connsiteY1" fmla="*/ 1592330 h 4316481"/>
              <a:gd name="connsiteX2" fmla="*/ 8231357 w 8248650"/>
              <a:gd name="connsiteY2" fmla="*/ 730989 h 4316481"/>
              <a:gd name="connsiteX3" fmla="*/ 8248650 w 8248650"/>
              <a:gd name="connsiteY3" fmla="*/ 4316481 h 4316481"/>
              <a:gd name="connsiteX4" fmla="*/ 0 w 8248650"/>
              <a:gd name="connsiteY4" fmla="*/ 4297431 h 4316481"/>
              <a:gd name="connsiteX5" fmla="*/ 46748 w 8248650"/>
              <a:gd name="connsiteY5" fmla="*/ 343322 h 4316481"/>
              <a:gd name="connsiteX0" fmla="*/ 8248650 w 8331655"/>
              <a:gd name="connsiteY0" fmla="*/ 4316481 h 4622597"/>
              <a:gd name="connsiteX1" fmla="*/ 0 w 8331655"/>
              <a:gd name="connsiteY1" fmla="*/ 4297431 h 4622597"/>
              <a:gd name="connsiteX2" fmla="*/ 46748 w 8331655"/>
              <a:gd name="connsiteY2" fmla="*/ 343322 h 4622597"/>
              <a:gd name="connsiteX3" fmla="*/ 4217918 w 8331655"/>
              <a:gd name="connsiteY3" fmla="*/ 1592330 h 4622597"/>
              <a:gd name="connsiteX4" fmla="*/ 8231357 w 8331655"/>
              <a:gd name="connsiteY4" fmla="*/ 730989 h 4622597"/>
              <a:gd name="connsiteX5" fmla="*/ 8331655 w 8331655"/>
              <a:gd name="connsiteY5" fmla="*/ 4622597 h 4622597"/>
              <a:gd name="connsiteX0" fmla="*/ 8248650 w 8248650"/>
              <a:gd name="connsiteY0" fmla="*/ 4316481 h 4316481"/>
              <a:gd name="connsiteX1" fmla="*/ 0 w 8248650"/>
              <a:gd name="connsiteY1" fmla="*/ 4297431 h 4316481"/>
              <a:gd name="connsiteX2" fmla="*/ 46748 w 8248650"/>
              <a:gd name="connsiteY2" fmla="*/ 343322 h 4316481"/>
              <a:gd name="connsiteX3" fmla="*/ 4217918 w 8248650"/>
              <a:gd name="connsiteY3" fmla="*/ 1592330 h 4316481"/>
              <a:gd name="connsiteX4" fmla="*/ 8231357 w 8248650"/>
              <a:gd name="connsiteY4" fmla="*/ 730989 h 4316481"/>
              <a:gd name="connsiteX0" fmla="*/ 0 w 8231357"/>
              <a:gd name="connsiteY0" fmla="*/ 4297431 h 4297432"/>
              <a:gd name="connsiteX1" fmla="*/ 46748 w 8231357"/>
              <a:gd name="connsiteY1" fmla="*/ 343322 h 4297432"/>
              <a:gd name="connsiteX2" fmla="*/ 4217918 w 8231357"/>
              <a:gd name="connsiteY2" fmla="*/ 1592330 h 4297432"/>
              <a:gd name="connsiteX3" fmla="*/ 8231357 w 8231357"/>
              <a:gd name="connsiteY3" fmla="*/ 730989 h 4297432"/>
              <a:gd name="connsiteX0" fmla="*/ 0 w 8184609"/>
              <a:gd name="connsiteY0" fmla="*/ 343322 h 1593639"/>
              <a:gd name="connsiteX1" fmla="*/ 4171170 w 8184609"/>
              <a:gd name="connsiteY1" fmla="*/ 1592330 h 1593639"/>
              <a:gd name="connsiteX2" fmla="*/ 8184609 w 8184609"/>
              <a:gd name="connsiteY2" fmla="*/ 730989 h 1593639"/>
              <a:gd name="connsiteX0" fmla="*/ 0 w 8155480"/>
              <a:gd name="connsiteY0" fmla="*/ 325345 h 1790000"/>
              <a:gd name="connsiteX1" fmla="*/ 4142041 w 8155480"/>
              <a:gd name="connsiteY1" fmla="*/ 1786933 h 1790000"/>
              <a:gd name="connsiteX2" fmla="*/ 8155480 w 8155480"/>
              <a:gd name="connsiteY2" fmla="*/ 925592 h 1790000"/>
              <a:gd name="connsiteX0" fmla="*/ 0 w 8155480"/>
              <a:gd name="connsiteY0" fmla="*/ 156844 h 1621499"/>
              <a:gd name="connsiteX1" fmla="*/ 4142041 w 8155480"/>
              <a:gd name="connsiteY1" fmla="*/ 1618432 h 1621499"/>
              <a:gd name="connsiteX2" fmla="*/ 8155480 w 8155480"/>
              <a:gd name="connsiteY2" fmla="*/ 757091 h 1621499"/>
              <a:gd name="connsiteX0" fmla="*/ 0 w 8257432"/>
              <a:gd name="connsiteY0" fmla="*/ 156844 h 1621499"/>
              <a:gd name="connsiteX1" fmla="*/ 4142041 w 8257432"/>
              <a:gd name="connsiteY1" fmla="*/ 1618432 h 1621499"/>
              <a:gd name="connsiteX2" fmla="*/ 8257432 w 8257432"/>
              <a:gd name="connsiteY2" fmla="*/ 757092 h 1621499"/>
              <a:gd name="connsiteX0" fmla="*/ 0 w 8257432"/>
              <a:gd name="connsiteY0" fmla="*/ 156844 h 1621499"/>
              <a:gd name="connsiteX1" fmla="*/ 4142041 w 8257432"/>
              <a:gd name="connsiteY1" fmla="*/ 1618432 h 1621499"/>
              <a:gd name="connsiteX2" fmla="*/ 8257432 w 8257432"/>
              <a:gd name="connsiteY2" fmla="*/ 757092 h 1621499"/>
              <a:gd name="connsiteX0" fmla="*/ 0 w 8257432"/>
              <a:gd name="connsiteY0" fmla="*/ 174256 h 1638911"/>
              <a:gd name="connsiteX1" fmla="*/ 4142041 w 8257432"/>
              <a:gd name="connsiteY1" fmla="*/ 1635844 h 1638911"/>
              <a:gd name="connsiteX2" fmla="*/ 8257432 w 8257432"/>
              <a:gd name="connsiteY2" fmla="*/ 774504 h 1638911"/>
              <a:gd name="connsiteX0" fmla="*/ 0 w 8257432"/>
              <a:gd name="connsiteY0" fmla="*/ 183362 h 1487199"/>
              <a:gd name="connsiteX1" fmla="*/ 4142041 w 8257432"/>
              <a:gd name="connsiteY1" fmla="*/ 1485514 h 1487199"/>
              <a:gd name="connsiteX2" fmla="*/ 8257432 w 8257432"/>
              <a:gd name="connsiteY2" fmla="*/ 624174 h 1487199"/>
              <a:gd name="connsiteX0" fmla="*/ 0 w 8257432"/>
              <a:gd name="connsiteY0" fmla="*/ 258924 h 1562757"/>
              <a:gd name="connsiteX1" fmla="*/ 4142041 w 8257432"/>
              <a:gd name="connsiteY1" fmla="*/ 1561076 h 1562757"/>
              <a:gd name="connsiteX2" fmla="*/ 8257432 w 8257432"/>
              <a:gd name="connsiteY2" fmla="*/ 699736 h 1562757"/>
              <a:gd name="connsiteX0" fmla="*/ 0 w 8257432"/>
              <a:gd name="connsiteY0" fmla="*/ 258924 h 1562968"/>
              <a:gd name="connsiteX1" fmla="*/ 4142041 w 8257432"/>
              <a:gd name="connsiteY1" fmla="*/ 1561076 h 1562968"/>
              <a:gd name="connsiteX2" fmla="*/ 8257432 w 8257432"/>
              <a:gd name="connsiteY2" fmla="*/ 699736 h 1562968"/>
              <a:gd name="connsiteX0" fmla="*/ 0 w 8257432"/>
              <a:gd name="connsiteY0" fmla="*/ 272630 h 1591785"/>
              <a:gd name="connsiteX1" fmla="*/ 4142041 w 8257432"/>
              <a:gd name="connsiteY1" fmla="*/ 1574782 h 1591785"/>
              <a:gd name="connsiteX2" fmla="*/ 8257432 w 8257432"/>
              <a:gd name="connsiteY2" fmla="*/ 713442 h 1591785"/>
              <a:gd name="connsiteX0" fmla="*/ 0 w 9263282"/>
              <a:gd name="connsiteY0" fmla="*/ 272630 h 5198896"/>
              <a:gd name="connsiteX1" fmla="*/ 4142041 w 9263282"/>
              <a:gd name="connsiteY1" fmla="*/ 1574782 h 5198896"/>
              <a:gd name="connsiteX2" fmla="*/ 9263282 w 9263282"/>
              <a:gd name="connsiteY2" fmla="*/ 5198896 h 5198896"/>
              <a:gd name="connsiteX0" fmla="*/ 0 w 9263282"/>
              <a:gd name="connsiteY0" fmla="*/ 1 h 4926267"/>
              <a:gd name="connsiteX1" fmla="*/ 9263282 w 9263282"/>
              <a:gd name="connsiteY1" fmla="*/ 4926267 h 4926267"/>
              <a:gd name="connsiteX0" fmla="*/ 0 w 8206178"/>
              <a:gd name="connsiteY0" fmla="*/ 1 h 3076814"/>
              <a:gd name="connsiteX1" fmla="*/ 8206178 w 8206178"/>
              <a:gd name="connsiteY1" fmla="*/ 3076814 h 3076814"/>
              <a:gd name="connsiteX0" fmla="*/ 0 w 8206178"/>
              <a:gd name="connsiteY0" fmla="*/ 1 h 3076814"/>
              <a:gd name="connsiteX1" fmla="*/ 8206178 w 8206178"/>
              <a:gd name="connsiteY1" fmla="*/ 3076814 h 3076814"/>
              <a:gd name="connsiteX0" fmla="*/ 0 w 8206178"/>
              <a:gd name="connsiteY0" fmla="*/ 178328 h 3255141"/>
              <a:gd name="connsiteX1" fmla="*/ 8206178 w 8206178"/>
              <a:gd name="connsiteY1" fmla="*/ 3255141 h 3255141"/>
              <a:gd name="connsiteX0" fmla="*/ 0 w 8151020"/>
              <a:gd name="connsiteY0" fmla="*/ 449692 h 1789592"/>
              <a:gd name="connsiteX1" fmla="*/ 8151020 w 8151020"/>
              <a:gd name="connsiteY1" fmla="*/ 1789593 h 1789592"/>
              <a:gd name="connsiteX0" fmla="*/ 0 w 8151020"/>
              <a:gd name="connsiteY0" fmla="*/ 197269 h 1537169"/>
              <a:gd name="connsiteX1" fmla="*/ 8151020 w 8151020"/>
              <a:gd name="connsiteY1" fmla="*/ 1537170 h 1537169"/>
              <a:gd name="connsiteX0" fmla="*/ 0 w 8157915"/>
              <a:gd name="connsiteY0" fmla="*/ 208140 h 1430684"/>
              <a:gd name="connsiteX1" fmla="*/ 8157915 w 8157915"/>
              <a:gd name="connsiteY1" fmla="*/ 1430684 h 1430684"/>
              <a:gd name="connsiteX0" fmla="*/ 0 w 8157915"/>
              <a:gd name="connsiteY0" fmla="*/ 188689 h 1411233"/>
              <a:gd name="connsiteX1" fmla="*/ 8157915 w 8157915"/>
              <a:gd name="connsiteY1" fmla="*/ 1411233 h 1411233"/>
              <a:gd name="connsiteX0" fmla="*/ 0 w 8268233"/>
              <a:gd name="connsiteY0" fmla="*/ 361585 h 457483"/>
              <a:gd name="connsiteX1" fmla="*/ 8268233 w 8268233"/>
              <a:gd name="connsiteY1" fmla="*/ 457483 h 457483"/>
              <a:gd name="connsiteX0" fmla="*/ 0 w 7695959"/>
              <a:gd name="connsiteY0" fmla="*/ 325244 h 561974"/>
              <a:gd name="connsiteX1" fmla="*/ 7695959 w 7695959"/>
              <a:gd name="connsiteY1" fmla="*/ 561974 h 561974"/>
              <a:gd name="connsiteX0" fmla="*/ 0 w 8213075"/>
              <a:gd name="connsiteY0" fmla="*/ 461395 h 461395"/>
              <a:gd name="connsiteX1" fmla="*/ 8213075 w 8213075"/>
              <a:gd name="connsiteY1" fmla="*/ 275635 h 461395"/>
              <a:gd name="connsiteX0" fmla="*/ 0 w 8213075"/>
              <a:gd name="connsiteY0" fmla="*/ 185761 h 713139"/>
              <a:gd name="connsiteX1" fmla="*/ 8213075 w 8213075"/>
              <a:gd name="connsiteY1" fmla="*/ 1 h 713139"/>
              <a:gd name="connsiteX0" fmla="*/ 0 w 8213075"/>
              <a:gd name="connsiteY0" fmla="*/ 255470 h 731696"/>
              <a:gd name="connsiteX1" fmla="*/ 8213075 w 8213075"/>
              <a:gd name="connsiteY1" fmla="*/ 69710 h 731696"/>
              <a:gd name="connsiteX0" fmla="*/ 0 w 8213075"/>
              <a:gd name="connsiteY0" fmla="*/ 263846 h 736402"/>
              <a:gd name="connsiteX1" fmla="*/ 8213075 w 8213075"/>
              <a:gd name="connsiteY1" fmla="*/ 78086 h 736402"/>
              <a:gd name="connsiteX0" fmla="*/ 0 w 8213075"/>
              <a:gd name="connsiteY0" fmla="*/ 239417 h 864052"/>
              <a:gd name="connsiteX1" fmla="*/ 8213075 w 8213075"/>
              <a:gd name="connsiteY1" fmla="*/ 53657 h 864052"/>
              <a:gd name="connsiteX0" fmla="*/ 0 w 8247550"/>
              <a:gd name="connsiteY0" fmla="*/ 205805 h 1321597"/>
              <a:gd name="connsiteX1" fmla="*/ 8247550 w 8247550"/>
              <a:gd name="connsiteY1" fmla="*/ 606837 h 1321597"/>
              <a:gd name="connsiteX0" fmla="*/ 0 w 8247550"/>
              <a:gd name="connsiteY0" fmla="*/ 0 h 1832736"/>
              <a:gd name="connsiteX1" fmla="*/ 8247550 w 8247550"/>
              <a:gd name="connsiteY1" fmla="*/ 401032 h 1832736"/>
              <a:gd name="connsiteX0" fmla="*/ 0 w 8157917"/>
              <a:gd name="connsiteY0" fmla="*/ 0 h 2408623"/>
              <a:gd name="connsiteX1" fmla="*/ 8157917 w 8157917"/>
              <a:gd name="connsiteY1" fmla="*/ 1292955 h 2408623"/>
              <a:gd name="connsiteX0" fmla="*/ 0 w 8157917"/>
              <a:gd name="connsiteY0" fmla="*/ 0 h 1292955"/>
              <a:gd name="connsiteX1" fmla="*/ 8157917 w 8157917"/>
              <a:gd name="connsiteY1" fmla="*/ 1292955 h 1292955"/>
              <a:gd name="connsiteX0" fmla="*/ 0 w 8157917"/>
              <a:gd name="connsiteY0" fmla="*/ 0 h 1292955"/>
              <a:gd name="connsiteX1" fmla="*/ 8157917 w 8157917"/>
              <a:gd name="connsiteY1" fmla="*/ 1292955 h 1292955"/>
              <a:gd name="connsiteX0" fmla="*/ 0 w 7840753"/>
              <a:gd name="connsiteY0" fmla="*/ 0 h 1249707"/>
              <a:gd name="connsiteX1" fmla="*/ 7840753 w 7840753"/>
              <a:gd name="connsiteY1" fmla="*/ 1128653 h 1249707"/>
              <a:gd name="connsiteX0" fmla="*/ 0 w 7840753"/>
              <a:gd name="connsiteY0" fmla="*/ 0 h 1309691"/>
              <a:gd name="connsiteX1" fmla="*/ 7840753 w 7840753"/>
              <a:gd name="connsiteY1" fmla="*/ 1128653 h 1309691"/>
              <a:gd name="connsiteX0" fmla="*/ 0 w 7826963"/>
              <a:gd name="connsiteY0" fmla="*/ 0 h 1284686"/>
              <a:gd name="connsiteX1" fmla="*/ 7826963 w 7826963"/>
              <a:gd name="connsiteY1" fmla="*/ 1011294 h 1284686"/>
              <a:gd name="connsiteX0" fmla="*/ 0 w 8157917"/>
              <a:gd name="connsiteY0" fmla="*/ 0 h 1357465"/>
              <a:gd name="connsiteX1" fmla="*/ 8157917 w 8157917"/>
              <a:gd name="connsiteY1" fmla="*/ 1339898 h 1357465"/>
              <a:gd name="connsiteX0" fmla="*/ 0 w 8157917"/>
              <a:gd name="connsiteY0" fmla="*/ 0 h 1339898"/>
              <a:gd name="connsiteX1" fmla="*/ 8157917 w 8157917"/>
              <a:gd name="connsiteY1" fmla="*/ 1339898 h 1339898"/>
              <a:gd name="connsiteX0" fmla="*/ 0 w 8157917"/>
              <a:gd name="connsiteY0" fmla="*/ 0 h 1339898"/>
              <a:gd name="connsiteX1" fmla="*/ 8157917 w 8157917"/>
              <a:gd name="connsiteY1" fmla="*/ 1339898 h 1339898"/>
              <a:gd name="connsiteX0" fmla="*/ 0 w 8171707"/>
              <a:gd name="connsiteY0" fmla="*/ 0 h 1339898"/>
              <a:gd name="connsiteX1" fmla="*/ 8171707 w 8171707"/>
              <a:gd name="connsiteY1" fmla="*/ 1339898 h 1339898"/>
              <a:gd name="connsiteX0" fmla="*/ 0 w 8171707"/>
              <a:gd name="connsiteY0" fmla="*/ 0 h 1339898"/>
              <a:gd name="connsiteX1" fmla="*/ 8171707 w 8171707"/>
              <a:gd name="connsiteY1" fmla="*/ 1339898 h 1339898"/>
              <a:gd name="connsiteX0" fmla="*/ 0 w 7880859"/>
              <a:gd name="connsiteY0" fmla="*/ 0 h 1265562"/>
              <a:gd name="connsiteX1" fmla="*/ 7880859 w 7880859"/>
              <a:gd name="connsiteY1" fmla="*/ 1249048 h 1265562"/>
              <a:gd name="connsiteX0" fmla="*/ 0 w 7872045"/>
              <a:gd name="connsiteY0" fmla="*/ 0 h 1237031"/>
              <a:gd name="connsiteX1" fmla="*/ 7872045 w 7872045"/>
              <a:gd name="connsiteY1" fmla="*/ 1097632 h 1237031"/>
              <a:gd name="connsiteX0" fmla="*/ 0 w 7872045"/>
              <a:gd name="connsiteY0" fmla="*/ 0 h 1272541"/>
              <a:gd name="connsiteX1" fmla="*/ 7872045 w 7872045"/>
              <a:gd name="connsiteY1" fmla="*/ 1097632 h 1272541"/>
              <a:gd name="connsiteX0" fmla="*/ 0 w 7872045"/>
              <a:gd name="connsiteY0" fmla="*/ 0 h 1212261"/>
              <a:gd name="connsiteX1" fmla="*/ 7872045 w 7872045"/>
              <a:gd name="connsiteY1" fmla="*/ 770861 h 1212261"/>
              <a:gd name="connsiteX0" fmla="*/ 0 w 7872045"/>
              <a:gd name="connsiteY0" fmla="*/ 0 h 1308965"/>
              <a:gd name="connsiteX1" fmla="*/ 7872045 w 7872045"/>
              <a:gd name="connsiteY1" fmla="*/ 770861 h 130896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7872045" h="1308965">
                <a:moveTo>
                  <a:pt x="0" y="0"/>
                </a:moveTo>
                <a:cubicBezTo>
                  <a:pt x="1504215" y="3417898"/>
                  <a:pt x="4626634" y="-1165690"/>
                  <a:pt x="7872045" y="770861"/>
                </a:cubicBezTo>
              </a:path>
            </a:pathLst>
          </a:custGeom>
          <a:noFill/>
          <a:ln w="19050">
            <a:gradFill flip="none" rotWithShape="1">
              <a:gsLst>
                <a:gs pos="0">
                  <a:schemeClr val="accent1"/>
                </a:gs>
                <a:gs pos="41000">
                  <a:schemeClr val="accent1">
                    <a:alpha val="47000"/>
                  </a:schemeClr>
                </a:gs>
                <a:gs pos="100000">
                  <a:schemeClr val="bg1">
                    <a:alpha val="0"/>
                  </a:schemeClr>
                </a:gs>
              </a:gsLst>
              <a:lin ang="2700000" scaled="1"/>
              <a:tileRect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3" name="Forma libre 22"/>
          <xdr:cNvSpPr/>
        </xdr:nvSpPr>
        <xdr:spPr>
          <a:xfrm flipH="1">
            <a:off x="336900" y="6463231"/>
            <a:ext cx="8304151" cy="282192"/>
          </a:xfrm>
          <a:custGeom>
            <a:avLst/>
            <a:gdLst>
              <a:gd name="connsiteX0" fmla="*/ 38100 w 8248650"/>
              <a:gd name="connsiteY0" fmla="*/ 0 h 3686175"/>
              <a:gd name="connsiteX1" fmla="*/ 4857750 w 8248650"/>
              <a:gd name="connsiteY1" fmla="*/ 962025 h 3686175"/>
              <a:gd name="connsiteX2" fmla="*/ 8248650 w 8248650"/>
              <a:gd name="connsiteY2" fmla="*/ 190500 h 3686175"/>
              <a:gd name="connsiteX3" fmla="*/ 8248650 w 8248650"/>
              <a:gd name="connsiteY3" fmla="*/ 3686175 h 3686175"/>
              <a:gd name="connsiteX4" fmla="*/ 0 w 8248650"/>
              <a:gd name="connsiteY4" fmla="*/ 3667125 h 3686175"/>
              <a:gd name="connsiteX5" fmla="*/ 38100 w 8248650"/>
              <a:gd name="connsiteY5" fmla="*/ 0 h 3686175"/>
              <a:gd name="connsiteX0" fmla="*/ 38100 w 8248650"/>
              <a:gd name="connsiteY0" fmla="*/ 90366 h 3776541"/>
              <a:gd name="connsiteX1" fmla="*/ 4857750 w 8248650"/>
              <a:gd name="connsiteY1" fmla="*/ 1052391 h 3776541"/>
              <a:gd name="connsiteX2" fmla="*/ 8248650 w 8248650"/>
              <a:gd name="connsiteY2" fmla="*/ 280866 h 3776541"/>
              <a:gd name="connsiteX3" fmla="*/ 8248650 w 8248650"/>
              <a:gd name="connsiteY3" fmla="*/ 3776541 h 3776541"/>
              <a:gd name="connsiteX4" fmla="*/ 0 w 8248650"/>
              <a:gd name="connsiteY4" fmla="*/ 3757491 h 3776541"/>
              <a:gd name="connsiteX5" fmla="*/ 38100 w 8248650"/>
              <a:gd name="connsiteY5" fmla="*/ 90366 h 3776541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204054 h 3890229"/>
              <a:gd name="connsiteX1" fmla="*/ 4857750 w 8248650"/>
              <a:gd name="connsiteY1" fmla="*/ 1166079 h 3890229"/>
              <a:gd name="connsiteX2" fmla="*/ 8248650 w 8248650"/>
              <a:gd name="connsiteY2" fmla="*/ 1994754 h 3890229"/>
              <a:gd name="connsiteX3" fmla="*/ 8248650 w 8248650"/>
              <a:gd name="connsiteY3" fmla="*/ 3890229 h 3890229"/>
              <a:gd name="connsiteX4" fmla="*/ 0 w 8248650"/>
              <a:gd name="connsiteY4" fmla="*/ 3871179 h 3890229"/>
              <a:gd name="connsiteX5" fmla="*/ 38100 w 8248650"/>
              <a:gd name="connsiteY5" fmla="*/ 204054 h 3890229"/>
              <a:gd name="connsiteX0" fmla="*/ 38100 w 8248650"/>
              <a:gd name="connsiteY0" fmla="*/ 89615 h 3775790"/>
              <a:gd name="connsiteX1" fmla="*/ 4857750 w 8248650"/>
              <a:gd name="connsiteY1" fmla="*/ 1051640 h 3775790"/>
              <a:gd name="connsiteX2" fmla="*/ 8231357 w 8248650"/>
              <a:gd name="connsiteY2" fmla="*/ 190298 h 3775790"/>
              <a:gd name="connsiteX3" fmla="*/ 8248650 w 8248650"/>
              <a:gd name="connsiteY3" fmla="*/ 3775790 h 3775790"/>
              <a:gd name="connsiteX4" fmla="*/ 0 w 8248650"/>
              <a:gd name="connsiteY4" fmla="*/ 3756740 h 3775790"/>
              <a:gd name="connsiteX5" fmla="*/ 38100 w 8248650"/>
              <a:gd name="connsiteY5" fmla="*/ 89615 h 3775790"/>
              <a:gd name="connsiteX0" fmla="*/ 38100 w 8248650"/>
              <a:gd name="connsiteY0" fmla="*/ 366030 h 4052205"/>
              <a:gd name="connsiteX1" fmla="*/ 4857750 w 8248650"/>
              <a:gd name="connsiteY1" fmla="*/ 1328055 h 4052205"/>
              <a:gd name="connsiteX2" fmla="*/ 8231357 w 8248650"/>
              <a:gd name="connsiteY2" fmla="*/ 466713 h 4052205"/>
              <a:gd name="connsiteX3" fmla="*/ 8248650 w 8248650"/>
              <a:gd name="connsiteY3" fmla="*/ 4052205 h 4052205"/>
              <a:gd name="connsiteX4" fmla="*/ 0 w 8248650"/>
              <a:gd name="connsiteY4" fmla="*/ 4033155 h 4052205"/>
              <a:gd name="connsiteX5" fmla="*/ 38100 w 8248650"/>
              <a:gd name="connsiteY5" fmla="*/ 366030 h 4052205"/>
              <a:gd name="connsiteX0" fmla="*/ 38100 w 8248650"/>
              <a:gd name="connsiteY0" fmla="*/ 394750 h 4080925"/>
              <a:gd name="connsiteX1" fmla="*/ 4511894 w 8248650"/>
              <a:gd name="connsiteY1" fmla="*/ 1165451 h 4080925"/>
              <a:gd name="connsiteX2" fmla="*/ 8231357 w 8248650"/>
              <a:gd name="connsiteY2" fmla="*/ 495433 h 4080925"/>
              <a:gd name="connsiteX3" fmla="*/ 8248650 w 8248650"/>
              <a:gd name="connsiteY3" fmla="*/ 4080925 h 4080925"/>
              <a:gd name="connsiteX4" fmla="*/ 0 w 8248650"/>
              <a:gd name="connsiteY4" fmla="*/ 4061875 h 4080925"/>
              <a:gd name="connsiteX5" fmla="*/ 38100 w 8248650"/>
              <a:gd name="connsiteY5" fmla="*/ 394750 h 4080925"/>
              <a:gd name="connsiteX0" fmla="*/ 38100 w 8248650"/>
              <a:gd name="connsiteY0" fmla="*/ 394750 h 4080925"/>
              <a:gd name="connsiteX1" fmla="*/ 4511894 w 8248650"/>
              <a:gd name="connsiteY1" fmla="*/ 1165451 h 4080925"/>
              <a:gd name="connsiteX2" fmla="*/ 8231357 w 8248650"/>
              <a:gd name="connsiteY2" fmla="*/ 495433 h 4080925"/>
              <a:gd name="connsiteX3" fmla="*/ 8248650 w 8248650"/>
              <a:gd name="connsiteY3" fmla="*/ 4080925 h 4080925"/>
              <a:gd name="connsiteX4" fmla="*/ 0 w 8248650"/>
              <a:gd name="connsiteY4" fmla="*/ 4061875 h 4080925"/>
              <a:gd name="connsiteX5" fmla="*/ 38100 w 8248650"/>
              <a:gd name="connsiteY5" fmla="*/ 394750 h 4080925"/>
              <a:gd name="connsiteX0" fmla="*/ 38100 w 8248650"/>
              <a:gd name="connsiteY0" fmla="*/ 399879 h 4086054"/>
              <a:gd name="connsiteX1" fmla="*/ 4935567 w 8248650"/>
              <a:gd name="connsiteY1" fmla="*/ 1138693 h 4086054"/>
              <a:gd name="connsiteX2" fmla="*/ 8231357 w 8248650"/>
              <a:gd name="connsiteY2" fmla="*/ 500562 h 4086054"/>
              <a:gd name="connsiteX3" fmla="*/ 8248650 w 8248650"/>
              <a:gd name="connsiteY3" fmla="*/ 4086054 h 4086054"/>
              <a:gd name="connsiteX4" fmla="*/ 0 w 8248650"/>
              <a:gd name="connsiteY4" fmla="*/ 4067004 h 4086054"/>
              <a:gd name="connsiteX5" fmla="*/ 38100 w 8248650"/>
              <a:gd name="connsiteY5" fmla="*/ 399879 h 4086054"/>
              <a:gd name="connsiteX0" fmla="*/ 38100 w 8248650"/>
              <a:gd name="connsiteY0" fmla="*/ 352863 h 4039038"/>
              <a:gd name="connsiteX1" fmla="*/ 4935567 w 8248650"/>
              <a:gd name="connsiteY1" fmla="*/ 1091677 h 4039038"/>
              <a:gd name="connsiteX2" fmla="*/ 8231357 w 8248650"/>
              <a:gd name="connsiteY2" fmla="*/ 453546 h 4039038"/>
              <a:gd name="connsiteX3" fmla="*/ 8248650 w 8248650"/>
              <a:gd name="connsiteY3" fmla="*/ 4039038 h 4039038"/>
              <a:gd name="connsiteX4" fmla="*/ 0 w 8248650"/>
              <a:gd name="connsiteY4" fmla="*/ 4019988 h 4039038"/>
              <a:gd name="connsiteX5" fmla="*/ 38100 w 8248650"/>
              <a:gd name="connsiteY5" fmla="*/ 352863 h 4039038"/>
              <a:gd name="connsiteX0" fmla="*/ 38100 w 8248650"/>
              <a:gd name="connsiteY0" fmla="*/ 360827 h 4047002"/>
              <a:gd name="connsiteX1" fmla="*/ 4935567 w 8248650"/>
              <a:gd name="connsiteY1" fmla="*/ 1099641 h 4047002"/>
              <a:gd name="connsiteX2" fmla="*/ 8231357 w 8248650"/>
              <a:gd name="connsiteY2" fmla="*/ 461510 h 4047002"/>
              <a:gd name="connsiteX3" fmla="*/ 8248650 w 8248650"/>
              <a:gd name="connsiteY3" fmla="*/ 4047002 h 4047002"/>
              <a:gd name="connsiteX4" fmla="*/ 0 w 8248650"/>
              <a:gd name="connsiteY4" fmla="*/ 4027952 h 4047002"/>
              <a:gd name="connsiteX5" fmla="*/ 38100 w 8248650"/>
              <a:gd name="connsiteY5" fmla="*/ 360827 h 4047002"/>
              <a:gd name="connsiteX0" fmla="*/ 38100 w 8248650"/>
              <a:gd name="connsiteY0" fmla="*/ 179712 h 3865887"/>
              <a:gd name="connsiteX1" fmla="*/ 4719408 w 8248650"/>
              <a:gd name="connsiteY1" fmla="*/ 3054963 h 3865887"/>
              <a:gd name="connsiteX2" fmla="*/ 8231357 w 8248650"/>
              <a:gd name="connsiteY2" fmla="*/ 280395 h 3865887"/>
              <a:gd name="connsiteX3" fmla="*/ 8248650 w 8248650"/>
              <a:gd name="connsiteY3" fmla="*/ 3865887 h 3865887"/>
              <a:gd name="connsiteX4" fmla="*/ 0 w 8248650"/>
              <a:gd name="connsiteY4" fmla="*/ 3846837 h 3865887"/>
              <a:gd name="connsiteX5" fmla="*/ 38100 w 8248650"/>
              <a:gd name="connsiteY5" fmla="*/ 179712 h 3865887"/>
              <a:gd name="connsiteX0" fmla="*/ 38100 w 8248650"/>
              <a:gd name="connsiteY0" fmla="*/ 327735 h 4013910"/>
              <a:gd name="connsiteX1" fmla="*/ 5264131 w 8248650"/>
              <a:gd name="connsiteY1" fmla="*/ 1321646 h 4013910"/>
              <a:gd name="connsiteX2" fmla="*/ 8231357 w 8248650"/>
              <a:gd name="connsiteY2" fmla="*/ 428418 h 4013910"/>
              <a:gd name="connsiteX3" fmla="*/ 8248650 w 8248650"/>
              <a:gd name="connsiteY3" fmla="*/ 4013910 h 4013910"/>
              <a:gd name="connsiteX4" fmla="*/ 0 w 8248650"/>
              <a:gd name="connsiteY4" fmla="*/ 3994860 h 4013910"/>
              <a:gd name="connsiteX5" fmla="*/ 38100 w 8248650"/>
              <a:gd name="connsiteY5" fmla="*/ 327735 h 4013910"/>
              <a:gd name="connsiteX0" fmla="*/ 72686 w 8248650"/>
              <a:gd name="connsiteY0" fmla="*/ 1110817 h 4063587"/>
              <a:gd name="connsiteX1" fmla="*/ 5264131 w 8248650"/>
              <a:gd name="connsiteY1" fmla="*/ 1371323 h 4063587"/>
              <a:gd name="connsiteX2" fmla="*/ 8231357 w 8248650"/>
              <a:gd name="connsiteY2" fmla="*/ 478095 h 4063587"/>
              <a:gd name="connsiteX3" fmla="*/ 8248650 w 8248650"/>
              <a:gd name="connsiteY3" fmla="*/ 4063587 h 4063587"/>
              <a:gd name="connsiteX4" fmla="*/ 0 w 8248650"/>
              <a:gd name="connsiteY4" fmla="*/ 4044537 h 4063587"/>
              <a:gd name="connsiteX5" fmla="*/ 72686 w 8248650"/>
              <a:gd name="connsiteY5" fmla="*/ 1110817 h 4063587"/>
              <a:gd name="connsiteX0" fmla="*/ 72686 w 8248650"/>
              <a:gd name="connsiteY0" fmla="*/ 1110817 h 4063587"/>
              <a:gd name="connsiteX1" fmla="*/ 5264131 w 8248650"/>
              <a:gd name="connsiteY1" fmla="*/ 1371323 h 4063587"/>
              <a:gd name="connsiteX2" fmla="*/ 8231357 w 8248650"/>
              <a:gd name="connsiteY2" fmla="*/ 478095 h 4063587"/>
              <a:gd name="connsiteX3" fmla="*/ 8248650 w 8248650"/>
              <a:gd name="connsiteY3" fmla="*/ 4063587 h 4063587"/>
              <a:gd name="connsiteX4" fmla="*/ 0 w 8248650"/>
              <a:gd name="connsiteY4" fmla="*/ 4044537 h 4063587"/>
              <a:gd name="connsiteX5" fmla="*/ 72686 w 8248650"/>
              <a:gd name="connsiteY5" fmla="*/ 1110817 h 4063587"/>
              <a:gd name="connsiteX0" fmla="*/ 72686 w 8248650"/>
              <a:gd name="connsiteY0" fmla="*/ 2714788 h 5667558"/>
              <a:gd name="connsiteX1" fmla="*/ 4857751 w 8248650"/>
              <a:gd name="connsiteY1" fmla="*/ 9793 h 5667558"/>
              <a:gd name="connsiteX2" fmla="*/ 8231357 w 8248650"/>
              <a:gd name="connsiteY2" fmla="*/ 2082066 h 5667558"/>
              <a:gd name="connsiteX3" fmla="*/ 8248650 w 8248650"/>
              <a:gd name="connsiteY3" fmla="*/ 5667558 h 5667558"/>
              <a:gd name="connsiteX4" fmla="*/ 0 w 8248650"/>
              <a:gd name="connsiteY4" fmla="*/ 5648508 h 5667558"/>
              <a:gd name="connsiteX5" fmla="*/ 72686 w 8248650"/>
              <a:gd name="connsiteY5" fmla="*/ 2714788 h 5667558"/>
              <a:gd name="connsiteX0" fmla="*/ 72686 w 8248650"/>
              <a:gd name="connsiteY0" fmla="*/ 1097092 h 4049862"/>
              <a:gd name="connsiteX1" fmla="*/ 4166040 w 8248650"/>
              <a:gd name="connsiteY1" fmla="*/ 1453260 h 4049862"/>
              <a:gd name="connsiteX2" fmla="*/ 8231357 w 8248650"/>
              <a:gd name="connsiteY2" fmla="*/ 464370 h 4049862"/>
              <a:gd name="connsiteX3" fmla="*/ 8248650 w 8248650"/>
              <a:gd name="connsiteY3" fmla="*/ 4049862 h 4049862"/>
              <a:gd name="connsiteX4" fmla="*/ 0 w 8248650"/>
              <a:gd name="connsiteY4" fmla="*/ 4030812 h 4049862"/>
              <a:gd name="connsiteX5" fmla="*/ 72686 w 8248650"/>
              <a:gd name="connsiteY5" fmla="*/ 1097092 h 4049862"/>
              <a:gd name="connsiteX0" fmla="*/ 64040 w 8248650"/>
              <a:gd name="connsiteY0" fmla="*/ 325178 h 4362111"/>
              <a:gd name="connsiteX1" fmla="*/ 4166040 w 8248650"/>
              <a:gd name="connsiteY1" fmla="*/ 1765509 h 4362111"/>
              <a:gd name="connsiteX2" fmla="*/ 8231357 w 8248650"/>
              <a:gd name="connsiteY2" fmla="*/ 776619 h 4362111"/>
              <a:gd name="connsiteX3" fmla="*/ 8248650 w 8248650"/>
              <a:gd name="connsiteY3" fmla="*/ 4362111 h 4362111"/>
              <a:gd name="connsiteX4" fmla="*/ 0 w 8248650"/>
              <a:gd name="connsiteY4" fmla="*/ 4343061 h 4362111"/>
              <a:gd name="connsiteX5" fmla="*/ 64040 w 8248650"/>
              <a:gd name="connsiteY5" fmla="*/ 325178 h 4362111"/>
              <a:gd name="connsiteX0" fmla="*/ 64040 w 8248650"/>
              <a:gd name="connsiteY0" fmla="*/ 322403 h 4359336"/>
              <a:gd name="connsiteX1" fmla="*/ 4166040 w 8248650"/>
              <a:gd name="connsiteY1" fmla="*/ 1762734 h 4359336"/>
              <a:gd name="connsiteX2" fmla="*/ 8231357 w 8248650"/>
              <a:gd name="connsiteY2" fmla="*/ 773844 h 4359336"/>
              <a:gd name="connsiteX3" fmla="*/ 8248650 w 8248650"/>
              <a:gd name="connsiteY3" fmla="*/ 4359336 h 4359336"/>
              <a:gd name="connsiteX4" fmla="*/ 0 w 8248650"/>
              <a:gd name="connsiteY4" fmla="*/ 4340286 h 4359336"/>
              <a:gd name="connsiteX5" fmla="*/ 64040 w 8248650"/>
              <a:gd name="connsiteY5" fmla="*/ 322403 h 4359336"/>
              <a:gd name="connsiteX0" fmla="*/ 46748 w 8248650"/>
              <a:gd name="connsiteY0" fmla="*/ 330370 h 4303529"/>
              <a:gd name="connsiteX1" fmla="*/ 4166040 w 8248650"/>
              <a:gd name="connsiteY1" fmla="*/ 1706927 h 4303529"/>
              <a:gd name="connsiteX2" fmla="*/ 8231357 w 8248650"/>
              <a:gd name="connsiteY2" fmla="*/ 718037 h 4303529"/>
              <a:gd name="connsiteX3" fmla="*/ 8248650 w 8248650"/>
              <a:gd name="connsiteY3" fmla="*/ 4303529 h 4303529"/>
              <a:gd name="connsiteX4" fmla="*/ 0 w 8248650"/>
              <a:gd name="connsiteY4" fmla="*/ 4284479 h 4303529"/>
              <a:gd name="connsiteX5" fmla="*/ 46748 w 8248650"/>
              <a:gd name="connsiteY5" fmla="*/ 330370 h 4303529"/>
              <a:gd name="connsiteX0" fmla="*/ 46748 w 8248650"/>
              <a:gd name="connsiteY0" fmla="*/ 343322 h 4316481"/>
              <a:gd name="connsiteX1" fmla="*/ 4217918 w 8248650"/>
              <a:gd name="connsiteY1" fmla="*/ 1592330 h 4316481"/>
              <a:gd name="connsiteX2" fmla="*/ 8231357 w 8248650"/>
              <a:gd name="connsiteY2" fmla="*/ 730989 h 4316481"/>
              <a:gd name="connsiteX3" fmla="*/ 8248650 w 8248650"/>
              <a:gd name="connsiteY3" fmla="*/ 4316481 h 4316481"/>
              <a:gd name="connsiteX4" fmla="*/ 0 w 8248650"/>
              <a:gd name="connsiteY4" fmla="*/ 4297431 h 4316481"/>
              <a:gd name="connsiteX5" fmla="*/ 46748 w 8248650"/>
              <a:gd name="connsiteY5" fmla="*/ 343322 h 4316481"/>
              <a:gd name="connsiteX0" fmla="*/ 46748 w 8248650"/>
              <a:gd name="connsiteY0" fmla="*/ 343322 h 4316481"/>
              <a:gd name="connsiteX1" fmla="*/ 4217918 w 8248650"/>
              <a:gd name="connsiteY1" fmla="*/ 1592330 h 4316481"/>
              <a:gd name="connsiteX2" fmla="*/ 8231357 w 8248650"/>
              <a:gd name="connsiteY2" fmla="*/ 730989 h 4316481"/>
              <a:gd name="connsiteX3" fmla="*/ 8248650 w 8248650"/>
              <a:gd name="connsiteY3" fmla="*/ 4316481 h 4316481"/>
              <a:gd name="connsiteX4" fmla="*/ 0 w 8248650"/>
              <a:gd name="connsiteY4" fmla="*/ 4297431 h 4316481"/>
              <a:gd name="connsiteX5" fmla="*/ 46748 w 8248650"/>
              <a:gd name="connsiteY5" fmla="*/ 343322 h 4316481"/>
              <a:gd name="connsiteX0" fmla="*/ 8248650 w 8331655"/>
              <a:gd name="connsiteY0" fmla="*/ 4316481 h 4622597"/>
              <a:gd name="connsiteX1" fmla="*/ 0 w 8331655"/>
              <a:gd name="connsiteY1" fmla="*/ 4297431 h 4622597"/>
              <a:gd name="connsiteX2" fmla="*/ 46748 w 8331655"/>
              <a:gd name="connsiteY2" fmla="*/ 343322 h 4622597"/>
              <a:gd name="connsiteX3" fmla="*/ 4217918 w 8331655"/>
              <a:gd name="connsiteY3" fmla="*/ 1592330 h 4622597"/>
              <a:gd name="connsiteX4" fmla="*/ 8231357 w 8331655"/>
              <a:gd name="connsiteY4" fmla="*/ 730989 h 4622597"/>
              <a:gd name="connsiteX5" fmla="*/ 8331655 w 8331655"/>
              <a:gd name="connsiteY5" fmla="*/ 4622597 h 4622597"/>
              <a:gd name="connsiteX0" fmla="*/ 8248650 w 8248650"/>
              <a:gd name="connsiteY0" fmla="*/ 4316481 h 4316481"/>
              <a:gd name="connsiteX1" fmla="*/ 0 w 8248650"/>
              <a:gd name="connsiteY1" fmla="*/ 4297431 h 4316481"/>
              <a:gd name="connsiteX2" fmla="*/ 46748 w 8248650"/>
              <a:gd name="connsiteY2" fmla="*/ 343322 h 4316481"/>
              <a:gd name="connsiteX3" fmla="*/ 4217918 w 8248650"/>
              <a:gd name="connsiteY3" fmla="*/ 1592330 h 4316481"/>
              <a:gd name="connsiteX4" fmla="*/ 8231357 w 8248650"/>
              <a:gd name="connsiteY4" fmla="*/ 730989 h 4316481"/>
              <a:gd name="connsiteX0" fmla="*/ 0 w 8231357"/>
              <a:gd name="connsiteY0" fmla="*/ 4297431 h 4297432"/>
              <a:gd name="connsiteX1" fmla="*/ 46748 w 8231357"/>
              <a:gd name="connsiteY1" fmla="*/ 343322 h 4297432"/>
              <a:gd name="connsiteX2" fmla="*/ 4217918 w 8231357"/>
              <a:gd name="connsiteY2" fmla="*/ 1592330 h 4297432"/>
              <a:gd name="connsiteX3" fmla="*/ 8231357 w 8231357"/>
              <a:gd name="connsiteY3" fmla="*/ 730989 h 4297432"/>
              <a:gd name="connsiteX0" fmla="*/ 0 w 8184609"/>
              <a:gd name="connsiteY0" fmla="*/ 343322 h 1593639"/>
              <a:gd name="connsiteX1" fmla="*/ 4171170 w 8184609"/>
              <a:gd name="connsiteY1" fmla="*/ 1592330 h 1593639"/>
              <a:gd name="connsiteX2" fmla="*/ 8184609 w 8184609"/>
              <a:gd name="connsiteY2" fmla="*/ 730989 h 1593639"/>
              <a:gd name="connsiteX0" fmla="*/ 0 w 8155480"/>
              <a:gd name="connsiteY0" fmla="*/ 325345 h 1790000"/>
              <a:gd name="connsiteX1" fmla="*/ 4142041 w 8155480"/>
              <a:gd name="connsiteY1" fmla="*/ 1786933 h 1790000"/>
              <a:gd name="connsiteX2" fmla="*/ 8155480 w 8155480"/>
              <a:gd name="connsiteY2" fmla="*/ 925592 h 1790000"/>
              <a:gd name="connsiteX0" fmla="*/ 0 w 8155480"/>
              <a:gd name="connsiteY0" fmla="*/ 156844 h 1621499"/>
              <a:gd name="connsiteX1" fmla="*/ 4142041 w 8155480"/>
              <a:gd name="connsiteY1" fmla="*/ 1618432 h 1621499"/>
              <a:gd name="connsiteX2" fmla="*/ 8155480 w 8155480"/>
              <a:gd name="connsiteY2" fmla="*/ 757091 h 1621499"/>
              <a:gd name="connsiteX0" fmla="*/ 0 w 8257432"/>
              <a:gd name="connsiteY0" fmla="*/ 156844 h 1621499"/>
              <a:gd name="connsiteX1" fmla="*/ 4142041 w 8257432"/>
              <a:gd name="connsiteY1" fmla="*/ 1618432 h 1621499"/>
              <a:gd name="connsiteX2" fmla="*/ 8257432 w 8257432"/>
              <a:gd name="connsiteY2" fmla="*/ 757092 h 1621499"/>
              <a:gd name="connsiteX0" fmla="*/ 0 w 8257432"/>
              <a:gd name="connsiteY0" fmla="*/ 156844 h 1621499"/>
              <a:gd name="connsiteX1" fmla="*/ 4142041 w 8257432"/>
              <a:gd name="connsiteY1" fmla="*/ 1618432 h 1621499"/>
              <a:gd name="connsiteX2" fmla="*/ 8257432 w 8257432"/>
              <a:gd name="connsiteY2" fmla="*/ 757092 h 1621499"/>
              <a:gd name="connsiteX0" fmla="*/ 0 w 8257432"/>
              <a:gd name="connsiteY0" fmla="*/ 174256 h 1638911"/>
              <a:gd name="connsiteX1" fmla="*/ 4142041 w 8257432"/>
              <a:gd name="connsiteY1" fmla="*/ 1635844 h 1638911"/>
              <a:gd name="connsiteX2" fmla="*/ 8257432 w 8257432"/>
              <a:gd name="connsiteY2" fmla="*/ 774504 h 1638911"/>
              <a:gd name="connsiteX0" fmla="*/ 0 w 8257432"/>
              <a:gd name="connsiteY0" fmla="*/ 183362 h 1487199"/>
              <a:gd name="connsiteX1" fmla="*/ 4142041 w 8257432"/>
              <a:gd name="connsiteY1" fmla="*/ 1485514 h 1487199"/>
              <a:gd name="connsiteX2" fmla="*/ 8257432 w 8257432"/>
              <a:gd name="connsiteY2" fmla="*/ 624174 h 1487199"/>
              <a:gd name="connsiteX0" fmla="*/ 0 w 8257432"/>
              <a:gd name="connsiteY0" fmla="*/ 258924 h 1562757"/>
              <a:gd name="connsiteX1" fmla="*/ 4142041 w 8257432"/>
              <a:gd name="connsiteY1" fmla="*/ 1561076 h 1562757"/>
              <a:gd name="connsiteX2" fmla="*/ 8257432 w 8257432"/>
              <a:gd name="connsiteY2" fmla="*/ 699736 h 1562757"/>
              <a:gd name="connsiteX0" fmla="*/ 0 w 8257432"/>
              <a:gd name="connsiteY0" fmla="*/ 258924 h 1562968"/>
              <a:gd name="connsiteX1" fmla="*/ 4142041 w 8257432"/>
              <a:gd name="connsiteY1" fmla="*/ 1561076 h 1562968"/>
              <a:gd name="connsiteX2" fmla="*/ 8257432 w 8257432"/>
              <a:gd name="connsiteY2" fmla="*/ 699736 h 1562968"/>
              <a:gd name="connsiteX0" fmla="*/ 0 w 8257432"/>
              <a:gd name="connsiteY0" fmla="*/ 272630 h 1591785"/>
              <a:gd name="connsiteX1" fmla="*/ 4142041 w 8257432"/>
              <a:gd name="connsiteY1" fmla="*/ 1574782 h 1591785"/>
              <a:gd name="connsiteX2" fmla="*/ 8257432 w 8257432"/>
              <a:gd name="connsiteY2" fmla="*/ 713442 h 1591785"/>
              <a:gd name="connsiteX0" fmla="*/ 0 w 9263282"/>
              <a:gd name="connsiteY0" fmla="*/ 272630 h 5198896"/>
              <a:gd name="connsiteX1" fmla="*/ 4142041 w 9263282"/>
              <a:gd name="connsiteY1" fmla="*/ 1574782 h 5198896"/>
              <a:gd name="connsiteX2" fmla="*/ 9263282 w 9263282"/>
              <a:gd name="connsiteY2" fmla="*/ 5198896 h 5198896"/>
              <a:gd name="connsiteX0" fmla="*/ 0 w 9263282"/>
              <a:gd name="connsiteY0" fmla="*/ 1 h 4926267"/>
              <a:gd name="connsiteX1" fmla="*/ 9263282 w 9263282"/>
              <a:gd name="connsiteY1" fmla="*/ 4926267 h 4926267"/>
              <a:gd name="connsiteX0" fmla="*/ 0 w 8206178"/>
              <a:gd name="connsiteY0" fmla="*/ 1 h 3076814"/>
              <a:gd name="connsiteX1" fmla="*/ 8206178 w 8206178"/>
              <a:gd name="connsiteY1" fmla="*/ 3076814 h 3076814"/>
              <a:gd name="connsiteX0" fmla="*/ 0 w 8206178"/>
              <a:gd name="connsiteY0" fmla="*/ 1 h 3076814"/>
              <a:gd name="connsiteX1" fmla="*/ 8206178 w 8206178"/>
              <a:gd name="connsiteY1" fmla="*/ 3076814 h 3076814"/>
              <a:gd name="connsiteX0" fmla="*/ 0 w 8206178"/>
              <a:gd name="connsiteY0" fmla="*/ 178328 h 3255141"/>
              <a:gd name="connsiteX1" fmla="*/ 8206178 w 8206178"/>
              <a:gd name="connsiteY1" fmla="*/ 3255141 h 3255141"/>
              <a:gd name="connsiteX0" fmla="*/ 0 w 8151020"/>
              <a:gd name="connsiteY0" fmla="*/ 449692 h 1789592"/>
              <a:gd name="connsiteX1" fmla="*/ 8151020 w 8151020"/>
              <a:gd name="connsiteY1" fmla="*/ 1789593 h 1789592"/>
              <a:gd name="connsiteX0" fmla="*/ 0 w 8151020"/>
              <a:gd name="connsiteY0" fmla="*/ 197269 h 1537169"/>
              <a:gd name="connsiteX1" fmla="*/ 8151020 w 8151020"/>
              <a:gd name="connsiteY1" fmla="*/ 1537170 h 1537169"/>
              <a:gd name="connsiteX0" fmla="*/ 0 w 8157915"/>
              <a:gd name="connsiteY0" fmla="*/ 208140 h 1430684"/>
              <a:gd name="connsiteX1" fmla="*/ 8157915 w 8157915"/>
              <a:gd name="connsiteY1" fmla="*/ 1430684 h 1430684"/>
              <a:gd name="connsiteX0" fmla="*/ 0 w 8157915"/>
              <a:gd name="connsiteY0" fmla="*/ 188689 h 1411233"/>
              <a:gd name="connsiteX1" fmla="*/ 8157915 w 8157915"/>
              <a:gd name="connsiteY1" fmla="*/ 1411233 h 1411233"/>
              <a:gd name="connsiteX0" fmla="*/ 0 w 8268233"/>
              <a:gd name="connsiteY0" fmla="*/ 361585 h 457483"/>
              <a:gd name="connsiteX1" fmla="*/ 8268233 w 8268233"/>
              <a:gd name="connsiteY1" fmla="*/ 457483 h 457483"/>
              <a:gd name="connsiteX0" fmla="*/ 0 w 7695959"/>
              <a:gd name="connsiteY0" fmla="*/ 325244 h 561974"/>
              <a:gd name="connsiteX1" fmla="*/ 7695959 w 7695959"/>
              <a:gd name="connsiteY1" fmla="*/ 561974 h 561974"/>
              <a:gd name="connsiteX0" fmla="*/ 0 w 8213075"/>
              <a:gd name="connsiteY0" fmla="*/ 461395 h 461395"/>
              <a:gd name="connsiteX1" fmla="*/ 8213075 w 8213075"/>
              <a:gd name="connsiteY1" fmla="*/ 275635 h 461395"/>
              <a:gd name="connsiteX0" fmla="*/ 0 w 8213075"/>
              <a:gd name="connsiteY0" fmla="*/ 185761 h 713139"/>
              <a:gd name="connsiteX1" fmla="*/ 8213075 w 8213075"/>
              <a:gd name="connsiteY1" fmla="*/ 1 h 713139"/>
              <a:gd name="connsiteX0" fmla="*/ 0 w 8213075"/>
              <a:gd name="connsiteY0" fmla="*/ 255470 h 731696"/>
              <a:gd name="connsiteX1" fmla="*/ 8213075 w 8213075"/>
              <a:gd name="connsiteY1" fmla="*/ 69710 h 731696"/>
              <a:gd name="connsiteX0" fmla="*/ 0 w 8213075"/>
              <a:gd name="connsiteY0" fmla="*/ 263846 h 736402"/>
              <a:gd name="connsiteX1" fmla="*/ 8213075 w 8213075"/>
              <a:gd name="connsiteY1" fmla="*/ 78086 h 736402"/>
              <a:gd name="connsiteX0" fmla="*/ 0 w 8213075"/>
              <a:gd name="connsiteY0" fmla="*/ 239417 h 864052"/>
              <a:gd name="connsiteX1" fmla="*/ 8213075 w 8213075"/>
              <a:gd name="connsiteY1" fmla="*/ 53657 h 864052"/>
              <a:gd name="connsiteX0" fmla="*/ 0 w 8213075"/>
              <a:gd name="connsiteY0" fmla="*/ 255314 h 872277"/>
              <a:gd name="connsiteX1" fmla="*/ 8213075 w 8213075"/>
              <a:gd name="connsiteY1" fmla="*/ 69554 h 872277"/>
              <a:gd name="connsiteX0" fmla="*/ 0 w 7938231"/>
              <a:gd name="connsiteY0" fmla="*/ 249043 h 941390"/>
              <a:gd name="connsiteX1" fmla="*/ 7938231 w 7938231"/>
              <a:gd name="connsiteY1" fmla="*/ 155041 h 941390"/>
              <a:gd name="connsiteX0" fmla="*/ 0 w 7938231"/>
              <a:gd name="connsiteY0" fmla="*/ 143188 h 891171"/>
              <a:gd name="connsiteX1" fmla="*/ 7938231 w 7938231"/>
              <a:gd name="connsiteY1" fmla="*/ 49186 h 891171"/>
              <a:gd name="connsiteX0" fmla="*/ 0 w 7938231"/>
              <a:gd name="connsiteY0" fmla="*/ 170508 h 902660"/>
              <a:gd name="connsiteX1" fmla="*/ 7938231 w 7938231"/>
              <a:gd name="connsiteY1" fmla="*/ 76506 h 90266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7938231" h="902660">
                <a:moveTo>
                  <a:pt x="0" y="170508"/>
                </a:moveTo>
                <a:cubicBezTo>
                  <a:pt x="2306005" y="-720426"/>
                  <a:pt x="6384553" y="2278898"/>
                  <a:pt x="7938231" y="76506"/>
                </a:cubicBezTo>
              </a:path>
            </a:pathLst>
          </a:custGeom>
          <a:noFill/>
          <a:ln w="19050">
            <a:gradFill flip="none" rotWithShape="1">
              <a:gsLst>
                <a:gs pos="0">
                  <a:schemeClr val="bg1">
                    <a:alpha val="0"/>
                  </a:schemeClr>
                </a:gs>
                <a:gs pos="41000">
                  <a:schemeClr val="bg1">
                    <a:alpha val="60000"/>
                  </a:schemeClr>
                </a:gs>
                <a:gs pos="100000">
                  <a:schemeClr val="bg1">
                    <a:alpha val="0"/>
                  </a:schemeClr>
                </a:gs>
              </a:gsLst>
              <a:lin ang="2700000" scaled="1"/>
              <a:tileRect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0" name="Forma libre 39"/>
          <xdr:cNvSpPr/>
        </xdr:nvSpPr>
        <xdr:spPr>
          <a:xfrm flipH="1" flipV="1">
            <a:off x="332504" y="714374"/>
            <a:ext cx="8291903" cy="992723"/>
          </a:xfrm>
          <a:custGeom>
            <a:avLst/>
            <a:gdLst>
              <a:gd name="connsiteX0" fmla="*/ 38100 w 8248650"/>
              <a:gd name="connsiteY0" fmla="*/ 0 h 3686175"/>
              <a:gd name="connsiteX1" fmla="*/ 4857750 w 8248650"/>
              <a:gd name="connsiteY1" fmla="*/ 962025 h 3686175"/>
              <a:gd name="connsiteX2" fmla="*/ 8248650 w 8248650"/>
              <a:gd name="connsiteY2" fmla="*/ 190500 h 3686175"/>
              <a:gd name="connsiteX3" fmla="*/ 8248650 w 8248650"/>
              <a:gd name="connsiteY3" fmla="*/ 3686175 h 3686175"/>
              <a:gd name="connsiteX4" fmla="*/ 0 w 8248650"/>
              <a:gd name="connsiteY4" fmla="*/ 3667125 h 3686175"/>
              <a:gd name="connsiteX5" fmla="*/ 38100 w 8248650"/>
              <a:gd name="connsiteY5" fmla="*/ 0 h 3686175"/>
              <a:gd name="connsiteX0" fmla="*/ 38100 w 8248650"/>
              <a:gd name="connsiteY0" fmla="*/ 90366 h 3776541"/>
              <a:gd name="connsiteX1" fmla="*/ 4857750 w 8248650"/>
              <a:gd name="connsiteY1" fmla="*/ 1052391 h 3776541"/>
              <a:gd name="connsiteX2" fmla="*/ 8248650 w 8248650"/>
              <a:gd name="connsiteY2" fmla="*/ 280866 h 3776541"/>
              <a:gd name="connsiteX3" fmla="*/ 8248650 w 8248650"/>
              <a:gd name="connsiteY3" fmla="*/ 3776541 h 3776541"/>
              <a:gd name="connsiteX4" fmla="*/ 0 w 8248650"/>
              <a:gd name="connsiteY4" fmla="*/ 3757491 h 3776541"/>
              <a:gd name="connsiteX5" fmla="*/ 38100 w 8248650"/>
              <a:gd name="connsiteY5" fmla="*/ 90366 h 3776541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204054 h 3890229"/>
              <a:gd name="connsiteX1" fmla="*/ 4857750 w 8248650"/>
              <a:gd name="connsiteY1" fmla="*/ 1166079 h 3890229"/>
              <a:gd name="connsiteX2" fmla="*/ 8248650 w 8248650"/>
              <a:gd name="connsiteY2" fmla="*/ 1994754 h 3890229"/>
              <a:gd name="connsiteX3" fmla="*/ 8248650 w 8248650"/>
              <a:gd name="connsiteY3" fmla="*/ 3890229 h 3890229"/>
              <a:gd name="connsiteX4" fmla="*/ 0 w 8248650"/>
              <a:gd name="connsiteY4" fmla="*/ 3871179 h 3890229"/>
              <a:gd name="connsiteX5" fmla="*/ 38100 w 8248650"/>
              <a:gd name="connsiteY5" fmla="*/ 204054 h 3890229"/>
              <a:gd name="connsiteX0" fmla="*/ 38100 w 9029700"/>
              <a:gd name="connsiteY0" fmla="*/ 89570 h 3775745"/>
              <a:gd name="connsiteX1" fmla="*/ 4857750 w 9029700"/>
              <a:gd name="connsiteY1" fmla="*/ 1051595 h 3775745"/>
              <a:gd name="connsiteX2" fmla="*/ 9029700 w 9029700"/>
              <a:gd name="connsiteY2" fmla="*/ 184820 h 3775745"/>
              <a:gd name="connsiteX3" fmla="*/ 8248650 w 9029700"/>
              <a:gd name="connsiteY3" fmla="*/ 3775745 h 3775745"/>
              <a:gd name="connsiteX4" fmla="*/ 0 w 9029700"/>
              <a:gd name="connsiteY4" fmla="*/ 3756695 h 3775745"/>
              <a:gd name="connsiteX5" fmla="*/ 38100 w 9029700"/>
              <a:gd name="connsiteY5" fmla="*/ 89570 h 3775745"/>
              <a:gd name="connsiteX0" fmla="*/ 38100 w 9077325"/>
              <a:gd name="connsiteY0" fmla="*/ 89570 h 3775745"/>
              <a:gd name="connsiteX1" fmla="*/ 4857750 w 9077325"/>
              <a:gd name="connsiteY1" fmla="*/ 1051595 h 3775745"/>
              <a:gd name="connsiteX2" fmla="*/ 9029700 w 9077325"/>
              <a:gd name="connsiteY2" fmla="*/ 184820 h 3775745"/>
              <a:gd name="connsiteX3" fmla="*/ 9077325 w 9077325"/>
              <a:gd name="connsiteY3" fmla="*/ 3775745 h 3775745"/>
              <a:gd name="connsiteX4" fmla="*/ 0 w 9077325"/>
              <a:gd name="connsiteY4" fmla="*/ 3756695 h 3775745"/>
              <a:gd name="connsiteX5" fmla="*/ 38100 w 9077325"/>
              <a:gd name="connsiteY5" fmla="*/ 89570 h 3775745"/>
              <a:gd name="connsiteX0" fmla="*/ 38100 w 9913498"/>
              <a:gd name="connsiteY0" fmla="*/ 89570 h 3775745"/>
              <a:gd name="connsiteX1" fmla="*/ 4857750 w 9913498"/>
              <a:gd name="connsiteY1" fmla="*/ 1051595 h 3775745"/>
              <a:gd name="connsiteX2" fmla="*/ 9029700 w 9913498"/>
              <a:gd name="connsiteY2" fmla="*/ 184820 h 3775745"/>
              <a:gd name="connsiteX3" fmla="*/ 9077325 w 9913498"/>
              <a:gd name="connsiteY3" fmla="*/ 3775745 h 3775745"/>
              <a:gd name="connsiteX4" fmla="*/ 0 w 9913498"/>
              <a:gd name="connsiteY4" fmla="*/ 3756695 h 3775745"/>
              <a:gd name="connsiteX5" fmla="*/ 38100 w 9913498"/>
              <a:gd name="connsiteY5" fmla="*/ 89570 h 3775745"/>
              <a:gd name="connsiteX0" fmla="*/ 38100 w 9077325"/>
              <a:gd name="connsiteY0" fmla="*/ 89570 h 3775745"/>
              <a:gd name="connsiteX1" fmla="*/ 4857750 w 9077325"/>
              <a:gd name="connsiteY1" fmla="*/ 1051595 h 3775745"/>
              <a:gd name="connsiteX2" fmla="*/ 9029700 w 9077325"/>
              <a:gd name="connsiteY2" fmla="*/ 184820 h 3775745"/>
              <a:gd name="connsiteX3" fmla="*/ 9077325 w 9077325"/>
              <a:gd name="connsiteY3" fmla="*/ 3775745 h 3775745"/>
              <a:gd name="connsiteX4" fmla="*/ 0 w 9077325"/>
              <a:gd name="connsiteY4" fmla="*/ 3756695 h 3775745"/>
              <a:gd name="connsiteX5" fmla="*/ 38100 w 9077325"/>
              <a:gd name="connsiteY5" fmla="*/ 89570 h 3775745"/>
              <a:gd name="connsiteX0" fmla="*/ 38100 w 9077325"/>
              <a:gd name="connsiteY0" fmla="*/ 89727 h 3775902"/>
              <a:gd name="connsiteX1" fmla="*/ 4857750 w 9077325"/>
              <a:gd name="connsiteY1" fmla="*/ 1051752 h 3775902"/>
              <a:gd name="connsiteX2" fmla="*/ 9058275 w 9077325"/>
              <a:gd name="connsiteY2" fmla="*/ 204027 h 3775902"/>
              <a:gd name="connsiteX3" fmla="*/ 9077325 w 9077325"/>
              <a:gd name="connsiteY3" fmla="*/ 3775902 h 3775902"/>
              <a:gd name="connsiteX4" fmla="*/ 0 w 9077325"/>
              <a:gd name="connsiteY4" fmla="*/ 3756852 h 3775902"/>
              <a:gd name="connsiteX5" fmla="*/ 38100 w 9077325"/>
              <a:gd name="connsiteY5" fmla="*/ 89727 h 3775902"/>
              <a:gd name="connsiteX0" fmla="*/ 38100 w 9077325"/>
              <a:gd name="connsiteY0" fmla="*/ 125431 h 3811606"/>
              <a:gd name="connsiteX1" fmla="*/ 5438775 w 9077325"/>
              <a:gd name="connsiteY1" fmla="*/ 601681 h 3811606"/>
              <a:gd name="connsiteX2" fmla="*/ 9058275 w 9077325"/>
              <a:gd name="connsiteY2" fmla="*/ 239731 h 3811606"/>
              <a:gd name="connsiteX3" fmla="*/ 9077325 w 9077325"/>
              <a:gd name="connsiteY3" fmla="*/ 3811606 h 3811606"/>
              <a:gd name="connsiteX4" fmla="*/ 0 w 9077325"/>
              <a:gd name="connsiteY4" fmla="*/ 3792556 h 3811606"/>
              <a:gd name="connsiteX5" fmla="*/ 38100 w 9077325"/>
              <a:gd name="connsiteY5" fmla="*/ 125431 h 3811606"/>
              <a:gd name="connsiteX0" fmla="*/ 38100 w 9077325"/>
              <a:gd name="connsiteY0" fmla="*/ 398584 h 4084759"/>
              <a:gd name="connsiteX1" fmla="*/ 9058275 w 9077325"/>
              <a:gd name="connsiteY1" fmla="*/ 512884 h 4084759"/>
              <a:gd name="connsiteX2" fmla="*/ 9077325 w 9077325"/>
              <a:gd name="connsiteY2" fmla="*/ 4084759 h 4084759"/>
              <a:gd name="connsiteX3" fmla="*/ 0 w 9077325"/>
              <a:gd name="connsiteY3" fmla="*/ 4065709 h 4084759"/>
              <a:gd name="connsiteX4" fmla="*/ 38100 w 9077325"/>
              <a:gd name="connsiteY4" fmla="*/ 398584 h 4084759"/>
              <a:gd name="connsiteX0" fmla="*/ 38100 w 9077325"/>
              <a:gd name="connsiteY0" fmla="*/ 160220 h 3846395"/>
              <a:gd name="connsiteX1" fmla="*/ 9058275 w 9077325"/>
              <a:gd name="connsiteY1" fmla="*/ 274520 h 3846395"/>
              <a:gd name="connsiteX2" fmla="*/ 9077325 w 9077325"/>
              <a:gd name="connsiteY2" fmla="*/ 3846395 h 3846395"/>
              <a:gd name="connsiteX3" fmla="*/ 0 w 9077325"/>
              <a:gd name="connsiteY3" fmla="*/ 3827345 h 3846395"/>
              <a:gd name="connsiteX4" fmla="*/ 38100 w 9077325"/>
              <a:gd name="connsiteY4" fmla="*/ 160220 h 3846395"/>
              <a:gd name="connsiteX0" fmla="*/ 38100 w 9077325"/>
              <a:gd name="connsiteY0" fmla="*/ 372009 h 4058184"/>
              <a:gd name="connsiteX1" fmla="*/ 9058275 w 9077325"/>
              <a:gd name="connsiteY1" fmla="*/ 486309 h 4058184"/>
              <a:gd name="connsiteX2" fmla="*/ 9077325 w 9077325"/>
              <a:gd name="connsiteY2" fmla="*/ 4058184 h 4058184"/>
              <a:gd name="connsiteX3" fmla="*/ 0 w 9077325"/>
              <a:gd name="connsiteY3" fmla="*/ 4039134 h 4058184"/>
              <a:gd name="connsiteX4" fmla="*/ 38100 w 9077325"/>
              <a:gd name="connsiteY4" fmla="*/ 372009 h 4058184"/>
              <a:gd name="connsiteX0" fmla="*/ 38100 w 9077325"/>
              <a:gd name="connsiteY0" fmla="*/ 184727 h 3870902"/>
              <a:gd name="connsiteX1" fmla="*/ 5343525 w 9077325"/>
              <a:gd name="connsiteY1" fmla="*/ 637899 h 3870902"/>
              <a:gd name="connsiteX2" fmla="*/ 9058275 w 9077325"/>
              <a:gd name="connsiteY2" fmla="*/ 299027 h 3870902"/>
              <a:gd name="connsiteX3" fmla="*/ 9077325 w 9077325"/>
              <a:gd name="connsiteY3" fmla="*/ 3870902 h 3870902"/>
              <a:gd name="connsiteX4" fmla="*/ 0 w 9077325"/>
              <a:gd name="connsiteY4" fmla="*/ 3851852 h 3870902"/>
              <a:gd name="connsiteX5" fmla="*/ 38100 w 9077325"/>
              <a:gd name="connsiteY5" fmla="*/ 184727 h 3870902"/>
              <a:gd name="connsiteX0" fmla="*/ 38100 w 9077325"/>
              <a:gd name="connsiteY0" fmla="*/ 88662 h 3774837"/>
              <a:gd name="connsiteX1" fmla="*/ 5343525 w 9077325"/>
              <a:gd name="connsiteY1" fmla="*/ 541834 h 3774837"/>
              <a:gd name="connsiteX2" fmla="*/ 9058275 w 9077325"/>
              <a:gd name="connsiteY2" fmla="*/ 202962 h 3774837"/>
              <a:gd name="connsiteX3" fmla="*/ 9077325 w 9077325"/>
              <a:gd name="connsiteY3" fmla="*/ 3774837 h 3774837"/>
              <a:gd name="connsiteX4" fmla="*/ 0 w 9077325"/>
              <a:gd name="connsiteY4" fmla="*/ 3755787 h 3774837"/>
              <a:gd name="connsiteX5" fmla="*/ 38100 w 9077325"/>
              <a:gd name="connsiteY5" fmla="*/ 88662 h 3774837"/>
              <a:gd name="connsiteX0" fmla="*/ 38100 w 9077325"/>
              <a:gd name="connsiteY0" fmla="*/ 136905 h 3823080"/>
              <a:gd name="connsiteX1" fmla="*/ 5343525 w 9077325"/>
              <a:gd name="connsiteY1" fmla="*/ 590077 h 3823080"/>
              <a:gd name="connsiteX2" fmla="*/ 9058275 w 9077325"/>
              <a:gd name="connsiteY2" fmla="*/ 251205 h 3823080"/>
              <a:gd name="connsiteX3" fmla="*/ 9077325 w 9077325"/>
              <a:gd name="connsiteY3" fmla="*/ 3823080 h 3823080"/>
              <a:gd name="connsiteX4" fmla="*/ 0 w 9077325"/>
              <a:gd name="connsiteY4" fmla="*/ 3804030 h 3823080"/>
              <a:gd name="connsiteX5" fmla="*/ 38100 w 9077325"/>
              <a:gd name="connsiteY5" fmla="*/ 136905 h 3823080"/>
              <a:gd name="connsiteX0" fmla="*/ 38100 w 9077325"/>
              <a:gd name="connsiteY0" fmla="*/ 161146 h 3847321"/>
              <a:gd name="connsiteX1" fmla="*/ 5343525 w 9077325"/>
              <a:gd name="connsiteY1" fmla="*/ 614318 h 3847321"/>
              <a:gd name="connsiteX2" fmla="*/ 9058275 w 9077325"/>
              <a:gd name="connsiteY2" fmla="*/ 275446 h 3847321"/>
              <a:gd name="connsiteX3" fmla="*/ 9077325 w 9077325"/>
              <a:gd name="connsiteY3" fmla="*/ 3847321 h 3847321"/>
              <a:gd name="connsiteX4" fmla="*/ 0 w 9077325"/>
              <a:gd name="connsiteY4" fmla="*/ 3828271 h 3847321"/>
              <a:gd name="connsiteX5" fmla="*/ 38100 w 9077325"/>
              <a:gd name="connsiteY5" fmla="*/ 161146 h 3847321"/>
              <a:gd name="connsiteX0" fmla="*/ 38100 w 9077325"/>
              <a:gd name="connsiteY0" fmla="*/ 161146 h 3847321"/>
              <a:gd name="connsiteX1" fmla="*/ 5343525 w 9077325"/>
              <a:gd name="connsiteY1" fmla="*/ 614318 h 3847321"/>
              <a:gd name="connsiteX2" fmla="*/ 9058275 w 9077325"/>
              <a:gd name="connsiteY2" fmla="*/ 275446 h 3847321"/>
              <a:gd name="connsiteX3" fmla="*/ 9077325 w 9077325"/>
              <a:gd name="connsiteY3" fmla="*/ 3847321 h 3847321"/>
              <a:gd name="connsiteX4" fmla="*/ 0 w 9077325"/>
              <a:gd name="connsiteY4" fmla="*/ 3828271 h 3847321"/>
              <a:gd name="connsiteX5" fmla="*/ 38100 w 9077325"/>
              <a:gd name="connsiteY5" fmla="*/ 161146 h 3847321"/>
              <a:gd name="connsiteX0" fmla="*/ 38100 w 9077325"/>
              <a:gd name="connsiteY0" fmla="*/ 173396 h 3859571"/>
              <a:gd name="connsiteX1" fmla="*/ 5343525 w 9077325"/>
              <a:gd name="connsiteY1" fmla="*/ 626568 h 3859571"/>
              <a:gd name="connsiteX2" fmla="*/ 9058275 w 9077325"/>
              <a:gd name="connsiteY2" fmla="*/ 287696 h 3859571"/>
              <a:gd name="connsiteX3" fmla="*/ 9077325 w 9077325"/>
              <a:gd name="connsiteY3" fmla="*/ 3859571 h 3859571"/>
              <a:gd name="connsiteX4" fmla="*/ 0 w 9077325"/>
              <a:gd name="connsiteY4" fmla="*/ 3840521 h 3859571"/>
              <a:gd name="connsiteX5" fmla="*/ 38100 w 9077325"/>
              <a:gd name="connsiteY5" fmla="*/ 173396 h 3859571"/>
              <a:gd name="connsiteX0" fmla="*/ 38100 w 9077325"/>
              <a:gd name="connsiteY0" fmla="*/ 100967 h 3787142"/>
              <a:gd name="connsiteX1" fmla="*/ 5343525 w 9077325"/>
              <a:gd name="connsiteY1" fmla="*/ 554139 h 3787142"/>
              <a:gd name="connsiteX2" fmla="*/ 9058275 w 9077325"/>
              <a:gd name="connsiteY2" fmla="*/ 215267 h 3787142"/>
              <a:gd name="connsiteX3" fmla="*/ 9077325 w 9077325"/>
              <a:gd name="connsiteY3" fmla="*/ 3787142 h 3787142"/>
              <a:gd name="connsiteX4" fmla="*/ 0 w 9077325"/>
              <a:gd name="connsiteY4" fmla="*/ 3768092 h 3787142"/>
              <a:gd name="connsiteX5" fmla="*/ 38100 w 9077325"/>
              <a:gd name="connsiteY5" fmla="*/ 100967 h 3787142"/>
              <a:gd name="connsiteX0" fmla="*/ 38100 w 9077325"/>
              <a:gd name="connsiteY0" fmla="*/ 128441 h 3814616"/>
              <a:gd name="connsiteX1" fmla="*/ 5343525 w 9077325"/>
              <a:gd name="connsiteY1" fmla="*/ 581613 h 3814616"/>
              <a:gd name="connsiteX2" fmla="*/ 9058275 w 9077325"/>
              <a:gd name="connsiteY2" fmla="*/ 242741 h 3814616"/>
              <a:gd name="connsiteX3" fmla="*/ 9077325 w 9077325"/>
              <a:gd name="connsiteY3" fmla="*/ 3814616 h 3814616"/>
              <a:gd name="connsiteX4" fmla="*/ 0 w 9077325"/>
              <a:gd name="connsiteY4" fmla="*/ 3795566 h 3814616"/>
              <a:gd name="connsiteX5" fmla="*/ 38100 w 9077325"/>
              <a:gd name="connsiteY5" fmla="*/ 128441 h 3814616"/>
              <a:gd name="connsiteX0" fmla="*/ 38100 w 9077325"/>
              <a:gd name="connsiteY0" fmla="*/ 118031 h 3804206"/>
              <a:gd name="connsiteX1" fmla="*/ 5343525 w 9077325"/>
              <a:gd name="connsiteY1" fmla="*/ 571203 h 3804206"/>
              <a:gd name="connsiteX2" fmla="*/ 9058275 w 9077325"/>
              <a:gd name="connsiteY2" fmla="*/ 232331 h 3804206"/>
              <a:gd name="connsiteX3" fmla="*/ 9077325 w 9077325"/>
              <a:gd name="connsiteY3" fmla="*/ 3804206 h 3804206"/>
              <a:gd name="connsiteX4" fmla="*/ 0 w 9077325"/>
              <a:gd name="connsiteY4" fmla="*/ 3785156 h 3804206"/>
              <a:gd name="connsiteX5" fmla="*/ 38100 w 9077325"/>
              <a:gd name="connsiteY5" fmla="*/ 118031 h 3804206"/>
              <a:gd name="connsiteX0" fmla="*/ 38100 w 9077325"/>
              <a:gd name="connsiteY0" fmla="*/ 118031 h 3804206"/>
              <a:gd name="connsiteX1" fmla="*/ 5343525 w 9077325"/>
              <a:gd name="connsiteY1" fmla="*/ 571203 h 3804206"/>
              <a:gd name="connsiteX2" fmla="*/ 9058275 w 9077325"/>
              <a:gd name="connsiteY2" fmla="*/ 232331 h 3804206"/>
              <a:gd name="connsiteX3" fmla="*/ 9077325 w 9077325"/>
              <a:gd name="connsiteY3" fmla="*/ 3804206 h 3804206"/>
              <a:gd name="connsiteX4" fmla="*/ 0 w 9077325"/>
              <a:gd name="connsiteY4" fmla="*/ 3785156 h 3804206"/>
              <a:gd name="connsiteX5" fmla="*/ 38100 w 9077325"/>
              <a:gd name="connsiteY5" fmla="*/ 118031 h 3804206"/>
              <a:gd name="connsiteX0" fmla="*/ 38100 w 9077325"/>
              <a:gd name="connsiteY0" fmla="*/ 112890 h 3799065"/>
              <a:gd name="connsiteX1" fmla="*/ 5553075 w 9077325"/>
              <a:gd name="connsiteY1" fmla="*/ 604162 h 3799065"/>
              <a:gd name="connsiteX2" fmla="*/ 9058275 w 9077325"/>
              <a:gd name="connsiteY2" fmla="*/ 227190 h 3799065"/>
              <a:gd name="connsiteX3" fmla="*/ 9077325 w 9077325"/>
              <a:gd name="connsiteY3" fmla="*/ 3799065 h 3799065"/>
              <a:gd name="connsiteX4" fmla="*/ 0 w 9077325"/>
              <a:gd name="connsiteY4" fmla="*/ 3780015 h 3799065"/>
              <a:gd name="connsiteX5" fmla="*/ 38100 w 9077325"/>
              <a:gd name="connsiteY5" fmla="*/ 112890 h 3799065"/>
              <a:gd name="connsiteX0" fmla="*/ 38100 w 9077325"/>
              <a:gd name="connsiteY0" fmla="*/ 98837 h 3785012"/>
              <a:gd name="connsiteX1" fmla="*/ 5553075 w 9077325"/>
              <a:gd name="connsiteY1" fmla="*/ 590109 h 3785012"/>
              <a:gd name="connsiteX2" fmla="*/ 9058275 w 9077325"/>
              <a:gd name="connsiteY2" fmla="*/ 213137 h 3785012"/>
              <a:gd name="connsiteX3" fmla="*/ 9077325 w 9077325"/>
              <a:gd name="connsiteY3" fmla="*/ 3785012 h 3785012"/>
              <a:gd name="connsiteX4" fmla="*/ 0 w 9077325"/>
              <a:gd name="connsiteY4" fmla="*/ 3765962 h 3785012"/>
              <a:gd name="connsiteX5" fmla="*/ 38100 w 9077325"/>
              <a:gd name="connsiteY5" fmla="*/ 98837 h 3785012"/>
              <a:gd name="connsiteX0" fmla="*/ 38100 w 9077325"/>
              <a:gd name="connsiteY0" fmla="*/ 89054 h 3775229"/>
              <a:gd name="connsiteX1" fmla="*/ 5553075 w 9077325"/>
              <a:gd name="connsiteY1" fmla="*/ 580326 h 3775229"/>
              <a:gd name="connsiteX2" fmla="*/ 9058275 w 9077325"/>
              <a:gd name="connsiteY2" fmla="*/ 203354 h 3775229"/>
              <a:gd name="connsiteX3" fmla="*/ 9077325 w 9077325"/>
              <a:gd name="connsiteY3" fmla="*/ 3775229 h 3775229"/>
              <a:gd name="connsiteX4" fmla="*/ 0 w 9077325"/>
              <a:gd name="connsiteY4" fmla="*/ 3756179 h 3775229"/>
              <a:gd name="connsiteX5" fmla="*/ 38100 w 9077325"/>
              <a:gd name="connsiteY5" fmla="*/ 89054 h 3775229"/>
              <a:gd name="connsiteX0" fmla="*/ 38100 w 9077325"/>
              <a:gd name="connsiteY0" fmla="*/ 120824 h 3806999"/>
              <a:gd name="connsiteX1" fmla="*/ 5553075 w 9077325"/>
              <a:gd name="connsiteY1" fmla="*/ 612096 h 3806999"/>
              <a:gd name="connsiteX2" fmla="*/ 9058275 w 9077325"/>
              <a:gd name="connsiteY2" fmla="*/ 235124 h 3806999"/>
              <a:gd name="connsiteX3" fmla="*/ 9077325 w 9077325"/>
              <a:gd name="connsiteY3" fmla="*/ 3806999 h 3806999"/>
              <a:gd name="connsiteX4" fmla="*/ 0 w 9077325"/>
              <a:gd name="connsiteY4" fmla="*/ 3787949 h 3806999"/>
              <a:gd name="connsiteX5" fmla="*/ 38100 w 9077325"/>
              <a:gd name="connsiteY5" fmla="*/ 120824 h 3806999"/>
              <a:gd name="connsiteX0" fmla="*/ 38100 w 9077325"/>
              <a:gd name="connsiteY0" fmla="*/ 120824 h 3806999"/>
              <a:gd name="connsiteX1" fmla="*/ 5553075 w 9077325"/>
              <a:gd name="connsiteY1" fmla="*/ 612096 h 3806999"/>
              <a:gd name="connsiteX2" fmla="*/ 9058275 w 9077325"/>
              <a:gd name="connsiteY2" fmla="*/ 235124 h 3806999"/>
              <a:gd name="connsiteX3" fmla="*/ 9077325 w 9077325"/>
              <a:gd name="connsiteY3" fmla="*/ 3806999 h 3806999"/>
              <a:gd name="connsiteX4" fmla="*/ 0 w 9077325"/>
              <a:gd name="connsiteY4" fmla="*/ 3787949 h 3806999"/>
              <a:gd name="connsiteX5" fmla="*/ 38100 w 9077325"/>
              <a:gd name="connsiteY5" fmla="*/ 120824 h 3806999"/>
              <a:gd name="connsiteX0" fmla="*/ 0 w 9039225"/>
              <a:gd name="connsiteY0" fmla="*/ 120824 h 3806999"/>
              <a:gd name="connsiteX1" fmla="*/ 5514975 w 9039225"/>
              <a:gd name="connsiteY1" fmla="*/ 612096 h 3806999"/>
              <a:gd name="connsiteX2" fmla="*/ 9020175 w 9039225"/>
              <a:gd name="connsiteY2" fmla="*/ 235124 h 3806999"/>
              <a:gd name="connsiteX3" fmla="*/ 9039225 w 9039225"/>
              <a:gd name="connsiteY3" fmla="*/ 3806999 h 3806999"/>
              <a:gd name="connsiteX4" fmla="*/ 0 w 9039225"/>
              <a:gd name="connsiteY4" fmla="*/ 730424 h 3806999"/>
              <a:gd name="connsiteX5" fmla="*/ 0 w 9039225"/>
              <a:gd name="connsiteY5" fmla="*/ 120824 h 3806999"/>
              <a:gd name="connsiteX0" fmla="*/ 0 w 9039225"/>
              <a:gd name="connsiteY0" fmla="*/ 120824 h 1016174"/>
              <a:gd name="connsiteX1" fmla="*/ 5514975 w 9039225"/>
              <a:gd name="connsiteY1" fmla="*/ 612096 h 1016174"/>
              <a:gd name="connsiteX2" fmla="*/ 9020175 w 9039225"/>
              <a:gd name="connsiteY2" fmla="*/ 235124 h 1016174"/>
              <a:gd name="connsiteX3" fmla="*/ 9039225 w 9039225"/>
              <a:gd name="connsiteY3" fmla="*/ 1016174 h 1016174"/>
              <a:gd name="connsiteX4" fmla="*/ 0 w 9039225"/>
              <a:gd name="connsiteY4" fmla="*/ 730424 h 1016174"/>
              <a:gd name="connsiteX5" fmla="*/ 0 w 9039225"/>
              <a:gd name="connsiteY5" fmla="*/ 120824 h 1016174"/>
              <a:gd name="connsiteX0" fmla="*/ 0 w 9039225"/>
              <a:gd name="connsiteY0" fmla="*/ 120824 h 1073324"/>
              <a:gd name="connsiteX1" fmla="*/ 5514975 w 9039225"/>
              <a:gd name="connsiteY1" fmla="*/ 612096 h 1073324"/>
              <a:gd name="connsiteX2" fmla="*/ 9020175 w 9039225"/>
              <a:gd name="connsiteY2" fmla="*/ 235124 h 1073324"/>
              <a:gd name="connsiteX3" fmla="*/ 9039225 w 9039225"/>
              <a:gd name="connsiteY3" fmla="*/ 1016174 h 1073324"/>
              <a:gd name="connsiteX4" fmla="*/ 0 w 9039225"/>
              <a:gd name="connsiteY4" fmla="*/ 1073324 h 1073324"/>
              <a:gd name="connsiteX5" fmla="*/ 0 w 9039225"/>
              <a:gd name="connsiteY5" fmla="*/ 120824 h 1073324"/>
              <a:gd name="connsiteX0" fmla="*/ 0 w 9020175"/>
              <a:gd name="connsiteY0" fmla="*/ 120824 h 1073324"/>
              <a:gd name="connsiteX1" fmla="*/ 5514975 w 9020175"/>
              <a:gd name="connsiteY1" fmla="*/ 612096 h 1073324"/>
              <a:gd name="connsiteX2" fmla="*/ 9020175 w 9020175"/>
              <a:gd name="connsiteY2" fmla="*/ 235124 h 1073324"/>
              <a:gd name="connsiteX3" fmla="*/ 9001125 w 9020175"/>
              <a:gd name="connsiteY3" fmla="*/ 1054274 h 1073324"/>
              <a:gd name="connsiteX4" fmla="*/ 0 w 9020175"/>
              <a:gd name="connsiteY4" fmla="*/ 1073324 h 1073324"/>
              <a:gd name="connsiteX5" fmla="*/ 0 w 9020175"/>
              <a:gd name="connsiteY5" fmla="*/ 120824 h 1073324"/>
              <a:gd name="connsiteX0" fmla="*/ 19050 w 9039225"/>
              <a:gd name="connsiteY0" fmla="*/ 120824 h 3121199"/>
              <a:gd name="connsiteX1" fmla="*/ 5534025 w 9039225"/>
              <a:gd name="connsiteY1" fmla="*/ 612096 h 3121199"/>
              <a:gd name="connsiteX2" fmla="*/ 9039225 w 9039225"/>
              <a:gd name="connsiteY2" fmla="*/ 235124 h 3121199"/>
              <a:gd name="connsiteX3" fmla="*/ 9020175 w 9039225"/>
              <a:gd name="connsiteY3" fmla="*/ 1054274 h 3121199"/>
              <a:gd name="connsiteX4" fmla="*/ 0 w 9039225"/>
              <a:gd name="connsiteY4" fmla="*/ 3121199 h 3121199"/>
              <a:gd name="connsiteX5" fmla="*/ 19050 w 9039225"/>
              <a:gd name="connsiteY5" fmla="*/ 120824 h 3121199"/>
              <a:gd name="connsiteX0" fmla="*/ 19050 w 9163050"/>
              <a:gd name="connsiteY0" fmla="*/ 120824 h 3197399"/>
              <a:gd name="connsiteX1" fmla="*/ 5534025 w 9163050"/>
              <a:gd name="connsiteY1" fmla="*/ 612096 h 3197399"/>
              <a:gd name="connsiteX2" fmla="*/ 9039225 w 9163050"/>
              <a:gd name="connsiteY2" fmla="*/ 235124 h 3197399"/>
              <a:gd name="connsiteX3" fmla="*/ 9163050 w 9163050"/>
              <a:gd name="connsiteY3" fmla="*/ 3197399 h 3197399"/>
              <a:gd name="connsiteX4" fmla="*/ 0 w 9163050"/>
              <a:gd name="connsiteY4" fmla="*/ 3121199 h 3197399"/>
              <a:gd name="connsiteX5" fmla="*/ 19050 w 9163050"/>
              <a:gd name="connsiteY5" fmla="*/ 120824 h 3197399"/>
              <a:gd name="connsiteX0" fmla="*/ 0 w 9144000"/>
              <a:gd name="connsiteY0" fmla="*/ 120824 h 3197399"/>
              <a:gd name="connsiteX1" fmla="*/ 5514975 w 9144000"/>
              <a:gd name="connsiteY1" fmla="*/ 612096 h 3197399"/>
              <a:gd name="connsiteX2" fmla="*/ 9020175 w 9144000"/>
              <a:gd name="connsiteY2" fmla="*/ 235124 h 3197399"/>
              <a:gd name="connsiteX3" fmla="*/ 9144000 w 9144000"/>
              <a:gd name="connsiteY3" fmla="*/ 3197399 h 3197399"/>
              <a:gd name="connsiteX4" fmla="*/ 9525 w 9144000"/>
              <a:gd name="connsiteY4" fmla="*/ 1330499 h 3197399"/>
              <a:gd name="connsiteX5" fmla="*/ 0 w 9144000"/>
              <a:gd name="connsiteY5" fmla="*/ 120824 h 3197399"/>
              <a:gd name="connsiteX0" fmla="*/ 0 w 9096375"/>
              <a:gd name="connsiteY0" fmla="*/ 120824 h 1530524"/>
              <a:gd name="connsiteX1" fmla="*/ 5514975 w 9096375"/>
              <a:gd name="connsiteY1" fmla="*/ 612096 h 1530524"/>
              <a:gd name="connsiteX2" fmla="*/ 9020175 w 9096375"/>
              <a:gd name="connsiteY2" fmla="*/ 235124 h 1530524"/>
              <a:gd name="connsiteX3" fmla="*/ 9096375 w 9096375"/>
              <a:gd name="connsiteY3" fmla="*/ 1530524 h 1530524"/>
              <a:gd name="connsiteX4" fmla="*/ 9525 w 9096375"/>
              <a:gd name="connsiteY4" fmla="*/ 1330499 h 1530524"/>
              <a:gd name="connsiteX5" fmla="*/ 0 w 9096375"/>
              <a:gd name="connsiteY5" fmla="*/ 120824 h 1530524"/>
              <a:gd name="connsiteX0" fmla="*/ 0 w 9096375"/>
              <a:gd name="connsiteY0" fmla="*/ 0 h 1409700"/>
              <a:gd name="connsiteX1" fmla="*/ 5514975 w 9096375"/>
              <a:gd name="connsiteY1" fmla="*/ 491272 h 1409700"/>
              <a:gd name="connsiteX2" fmla="*/ 9020175 w 9096375"/>
              <a:gd name="connsiteY2" fmla="*/ 114300 h 1409700"/>
              <a:gd name="connsiteX3" fmla="*/ 9096375 w 9096375"/>
              <a:gd name="connsiteY3" fmla="*/ 1409700 h 1409700"/>
              <a:gd name="connsiteX4" fmla="*/ 9525 w 9096375"/>
              <a:gd name="connsiteY4" fmla="*/ 1209675 h 1409700"/>
              <a:gd name="connsiteX5" fmla="*/ 0 w 9096375"/>
              <a:gd name="connsiteY5" fmla="*/ 0 h 1409700"/>
              <a:gd name="connsiteX0" fmla="*/ 0 w 9096375"/>
              <a:gd name="connsiteY0" fmla="*/ 0 h 1409700"/>
              <a:gd name="connsiteX1" fmla="*/ 5514975 w 9096375"/>
              <a:gd name="connsiteY1" fmla="*/ 491272 h 1409700"/>
              <a:gd name="connsiteX2" fmla="*/ 9029700 w 9096375"/>
              <a:gd name="connsiteY2" fmla="*/ 533400 h 1409700"/>
              <a:gd name="connsiteX3" fmla="*/ 9096375 w 9096375"/>
              <a:gd name="connsiteY3" fmla="*/ 1409700 h 1409700"/>
              <a:gd name="connsiteX4" fmla="*/ 9525 w 9096375"/>
              <a:gd name="connsiteY4" fmla="*/ 1209675 h 1409700"/>
              <a:gd name="connsiteX5" fmla="*/ 0 w 9096375"/>
              <a:gd name="connsiteY5" fmla="*/ 0 h 1409700"/>
              <a:gd name="connsiteX0" fmla="*/ 0 w 9096375"/>
              <a:gd name="connsiteY0" fmla="*/ 0 h 1409700"/>
              <a:gd name="connsiteX1" fmla="*/ 5429250 w 9096375"/>
              <a:gd name="connsiteY1" fmla="*/ 824647 h 1409700"/>
              <a:gd name="connsiteX2" fmla="*/ 9029700 w 9096375"/>
              <a:gd name="connsiteY2" fmla="*/ 533400 h 1409700"/>
              <a:gd name="connsiteX3" fmla="*/ 9096375 w 9096375"/>
              <a:gd name="connsiteY3" fmla="*/ 1409700 h 1409700"/>
              <a:gd name="connsiteX4" fmla="*/ 9525 w 9096375"/>
              <a:gd name="connsiteY4" fmla="*/ 1209675 h 1409700"/>
              <a:gd name="connsiteX5" fmla="*/ 0 w 9096375"/>
              <a:gd name="connsiteY5" fmla="*/ 0 h 1409700"/>
              <a:gd name="connsiteX0" fmla="*/ 0 w 9096375"/>
              <a:gd name="connsiteY0" fmla="*/ 19169 h 1428869"/>
              <a:gd name="connsiteX1" fmla="*/ 9029700 w 9096375"/>
              <a:gd name="connsiteY1" fmla="*/ 552569 h 1428869"/>
              <a:gd name="connsiteX2" fmla="*/ 9096375 w 9096375"/>
              <a:gd name="connsiteY2" fmla="*/ 1428869 h 1428869"/>
              <a:gd name="connsiteX3" fmla="*/ 9525 w 9096375"/>
              <a:gd name="connsiteY3" fmla="*/ 1228844 h 1428869"/>
              <a:gd name="connsiteX4" fmla="*/ 0 w 9096375"/>
              <a:gd name="connsiteY4" fmla="*/ 19169 h 1428869"/>
              <a:gd name="connsiteX0" fmla="*/ 0 w 9096375"/>
              <a:gd name="connsiteY0" fmla="*/ 0 h 1409700"/>
              <a:gd name="connsiteX1" fmla="*/ 9029700 w 9096375"/>
              <a:gd name="connsiteY1" fmla="*/ 533400 h 1409700"/>
              <a:gd name="connsiteX2" fmla="*/ 9096375 w 9096375"/>
              <a:gd name="connsiteY2" fmla="*/ 1409700 h 1409700"/>
              <a:gd name="connsiteX3" fmla="*/ 9525 w 9096375"/>
              <a:gd name="connsiteY3" fmla="*/ 1209675 h 1409700"/>
              <a:gd name="connsiteX4" fmla="*/ 0 w 9096375"/>
              <a:gd name="connsiteY4" fmla="*/ 0 h 1409700"/>
              <a:gd name="connsiteX0" fmla="*/ 0 w 9096375"/>
              <a:gd name="connsiteY0" fmla="*/ 0 h 1409700"/>
              <a:gd name="connsiteX1" fmla="*/ 9029700 w 9096375"/>
              <a:gd name="connsiteY1" fmla="*/ 533400 h 1409700"/>
              <a:gd name="connsiteX2" fmla="*/ 9096375 w 9096375"/>
              <a:gd name="connsiteY2" fmla="*/ 1409700 h 1409700"/>
              <a:gd name="connsiteX3" fmla="*/ 9525 w 9096375"/>
              <a:gd name="connsiteY3" fmla="*/ 1209675 h 1409700"/>
              <a:gd name="connsiteX4" fmla="*/ 0 w 9096375"/>
              <a:gd name="connsiteY4" fmla="*/ 0 h 1409700"/>
              <a:gd name="connsiteX0" fmla="*/ 0 w 9096375"/>
              <a:gd name="connsiteY0" fmla="*/ 0 h 1409700"/>
              <a:gd name="connsiteX1" fmla="*/ 9029700 w 9096375"/>
              <a:gd name="connsiteY1" fmla="*/ 533400 h 1409700"/>
              <a:gd name="connsiteX2" fmla="*/ 9096375 w 9096375"/>
              <a:gd name="connsiteY2" fmla="*/ 1409700 h 1409700"/>
              <a:gd name="connsiteX3" fmla="*/ 9525 w 9096375"/>
              <a:gd name="connsiteY3" fmla="*/ 1209675 h 1409700"/>
              <a:gd name="connsiteX4" fmla="*/ 0 w 9096375"/>
              <a:gd name="connsiteY4" fmla="*/ 0 h 1409700"/>
              <a:gd name="connsiteX0" fmla="*/ 0 w 9105900"/>
              <a:gd name="connsiteY0" fmla="*/ 0 h 1409700"/>
              <a:gd name="connsiteX1" fmla="*/ 9105900 w 9105900"/>
              <a:gd name="connsiteY1" fmla="*/ 523875 h 1409700"/>
              <a:gd name="connsiteX2" fmla="*/ 9096375 w 9105900"/>
              <a:gd name="connsiteY2" fmla="*/ 1409700 h 1409700"/>
              <a:gd name="connsiteX3" fmla="*/ 9525 w 9105900"/>
              <a:gd name="connsiteY3" fmla="*/ 1209675 h 1409700"/>
              <a:gd name="connsiteX4" fmla="*/ 0 w 9105900"/>
              <a:gd name="connsiteY4" fmla="*/ 0 h 1409700"/>
              <a:gd name="connsiteX0" fmla="*/ 0 w 9105900"/>
              <a:gd name="connsiteY0" fmla="*/ 0 h 1409700"/>
              <a:gd name="connsiteX1" fmla="*/ 9105900 w 9105900"/>
              <a:gd name="connsiteY1" fmla="*/ 523875 h 1409700"/>
              <a:gd name="connsiteX2" fmla="*/ 9096375 w 9105900"/>
              <a:gd name="connsiteY2" fmla="*/ 1409700 h 1409700"/>
              <a:gd name="connsiteX3" fmla="*/ 9525 w 9105900"/>
              <a:gd name="connsiteY3" fmla="*/ 1209675 h 1409700"/>
              <a:gd name="connsiteX4" fmla="*/ 0 w 9105900"/>
              <a:gd name="connsiteY4" fmla="*/ 0 h 1409700"/>
              <a:gd name="connsiteX0" fmla="*/ 0 w 9105900"/>
              <a:gd name="connsiteY0" fmla="*/ 0 h 1409700"/>
              <a:gd name="connsiteX1" fmla="*/ 9105900 w 9105900"/>
              <a:gd name="connsiteY1" fmla="*/ 523875 h 1409700"/>
              <a:gd name="connsiteX2" fmla="*/ 9096375 w 9105900"/>
              <a:gd name="connsiteY2" fmla="*/ 1409700 h 1409700"/>
              <a:gd name="connsiteX3" fmla="*/ 9525 w 9105900"/>
              <a:gd name="connsiteY3" fmla="*/ 1209675 h 1409700"/>
              <a:gd name="connsiteX4" fmla="*/ 0 w 9105900"/>
              <a:gd name="connsiteY4" fmla="*/ 0 h 1409700"/>
              <a:gd name="connsiteX0" fmla="*/ 0 w 9105900"/>
              <a:gd name="connsiteY0" fmla="*/ 0 h 1409700"/>
              <a:gd name="connsiteX1" fmla="*/ 9105900 w 9105900"/>
              <a:gd name="connsiteY1" fmla="*/ 401411 h 1409700"/>
              <a:gd name="connsiteX2" fmla="*/ 9096375 w 9105900"/>
              <a:gd name="connsiteY2" fmla="*/ 1409700 h 1409700"/>
              <a:gd name="connsiteX3" fmla="*/ 9525 w 9105900"/>
              <a:gd name="connsiteY3" fmla="*/ 1209675 h 1409700"/>
              <a:gd name="connsiteX4" fmla="*/ 0 w 9105900"/>
              <a:gd name="connsiteY4" fmla="*/ 0 h 1409700"/>
              <a:gd name="connsiteX0" fmla="*/ 0 w 9105900"/>
              <a:gd name="connsiteY0" fmla="*/ 0 h 1209675"/>
              <a:gd name="connsiteX1" fmla="*/ 9105900 w 9105900"/>
              <a:gd name="connsiteY1" fmla="*/ 401411 h 1209675"/>
              <a:gd name="connsiteX2" fmla="*/ 8917572 w 9105900"/>
              <a:gd name="connsiteY2" fmla="*/ 687088 h 1209675"/>
              <a:gd name="connsiteX3" fmla="*/ 9525 w 9105900"/>
              <a:gd name="connsiteY3" fmla="*/ 1209675 h 1209675"/>
              <a:gd name="connsiteX4" fmla="*/ 0 w 9105900"/>
              <a:gd name="connsiteY4" fmla="*/ 0 h 1209675"/>
              <a:gd name="connsiteX0" fmla="*/ 0 w 8956897"/>
              <a:gd name="connsiteY0" fmla="*/ 0 h 1209675"/>
              <a:gd name="connsiteX1" fmla="*/ 8956897 w 8956897"/>
              <a:gd name="connsiteY1" fmla="*/ 393105 h 1209675"/>
              <a:gd name="connsiteX2" fmla="*/ 8917572 w 8956897"/>
              <a:gd name="connsiteY2" fmla="*/ 687088 h 1209675"/>
              <a:gd name="connsiteX3" fmla="*/ 9525 w 8956897"/>
              <a:gd name="connsiteY3" fmla="*/ 1209675 h 1209675"/>
              <a:gd name="connsiteX4" fmla="*/ 0 w 8956897"/>
              <a:gd name="connsiteY4" fmla="*/ 0 h 1209675"/>
              <a:gd name="connsiteX0" fmla="*/ 409 w 8957306"/>
              <a:gd name="connsiteY0" fmla="*/ 0 h 711322"/>
              <a:gd name="connsiteX1" fmla="*/ 8957306 w 8957306"/>
              <a:gd name="connsiteY1" fmla="*/ 393105 h 711322"/>
              <a:gd name="connsiteX2" fmla="*/ 8917981 w 8957306"/>
              <a:gd name="connsiteY2" fmla="*/ 687088 h 711322"/>
              <a:gd name="connsiteX3" fmla="*/ 0 w 8957306"/>
              <a:gd name="connsiteY3" fmla="*/ 711322 h 711322"/>
              <a:gd name="connsiteX4" fmla="*/ 409 w 8957306"/>
              <a:gd name="connsiteY4" fmla="*/ 0 h 711322"/>
              <a:gd name="connsiteX0" fmla="*/ 1 w 8956898"/>
              <a:gd name="connsiteY0" fmla="*/ 0 h 711322"/>
              <a:gd name="connsiteX1" fmla="*/ 8956898 w 8956898"/>
              <a:gd name="connsiteY1" fmla="*/ 393105 h 711322"/>
              <a:gd name="connsiteX2" fmla="*/ 8917573 w 8956898"/>
              <a:gd name="connsiteY2" fmla="*/ 687088 h 711322"/>
              <a:gd name="connsiteX3" fmla="*/ 29393 w 8956898"/>
              <a:gd name="connsiteY3" fmla="*/ 711322 h 711322"/>
              <a:gd name="connsiteX4" fmla="*/ 1 w 8956898"/>
              <a:gd name="connsiteY4" fmla="*/ 0 h 711322"/>
              <a:gd name="connsiteX0" fmla="*/ 1 w 8946964"/>
              <a:gd name="connsiteY0" fmla="*/ 0 h 644875"/>
              <a:gd name="connsiteX1" fmla="*/ 8946964 w 8946964"/>
              <a:gd name="connsiteY1" fmla="*/ 326658 h 644875"/>
              <a:gd name="connsiteX2" fmla="*/ 8907639 w 8946964"/>
              <a:gd name="connsiteY2" fmla="*/ 620641 h 644875"/>
              <a:gd name="connsiteX3" fmla="*/ 19459 w 8946964"/>
              <a:gd name="connsiteY3" fmla="*/ 644875 h 644875"/>
              <a:gd name="connsiteX4" fmla="*/ 1 w 8946964"/>
              <a:gd name="connsiteY4" fmla="*/ 0 h 644875"/>
              <a:gd name="connsiteX0" fmla="*/ 1 w 8946964"/>
              <a:gd name="connsiteY0" fmla="*/ 0 h 644875"/>
              <a:gd name="connsiteX1" fmla="*/ 8946964 w 8946964"/>
              <a:gd name="connsiteY1" fmla="*/ 326658 h 644875"/>
              <a:gd name="connsiteX2" fmla="*/ 8907639 w 8946964"/>
              <a:gd name="connsiteY2" fmla="*/ 620641 h 644875"/>
              <a:gd name="connsiteX3" fmla="*/ 19459 w 8946964"/>
              <a:gd name="connsiteY3" fmla="*/ 644875 h 644875"/>
              <a:gd name="connsiteX4" fmla="*/ 1 w 8946964"/>
              <a:gd name="connsiteY4" fmla="*/ 0 h 644875"/>
              <a:gd name="connsiteX0" fmla="*/ 1 w 8946964"/>
              <a:gd name="connsiteY0" fmla="*/ 0 h 652841"/>
              <a:gd name="connsiteX1" fmla="*/ 8946964 w 8946964"/>
              <a:gd name="connsiteY1" fmla="*/ 326658 h 652841"/>
              <a:gd name="connsiteX2" fmla="*/ 8931345 w 8946964"/>
              <a:gd name="connsiteY2" fmla="*/ 652841 h 652841"/>
              <a:gd name="connsiteX3" fmla="*/ 19459 w 8946964"/>
              <a:gd name="connsiteY3" fmla="*/ 644875 h 652841"/>
              <a:gd name="connsiteX4" fmla="*/ 1 w 8946964"/>
              <a:gd name="connsiteY4" fmla="*/ 0 h 652841"/>
              <a:gd name="connsiteX0" fmla="*/ 12149 w 8927505"/>
              <a:gd name="connsiteY0" fmla="*/ 0 h 665721"/>
              <a:gd name="connsiteX1" fmla="*/ 8927505 w 8927505"/>
              <a:gd name="connsiteY1" fmla="*/ 339538 h 665721"/>
              <a:gd name="connsiteX2" fmla="*/ 8911886 w 8927505"/>
              <a:gd name="connsiteY2" fmla="*/ 665721 h 665721"/>
              <a:gd name="connsiteX3" fmla="*/ 0 w 8927505"/>
              <a:gd name="connsiteY3" fmla="*/ 657755 h 665721"/>
              <a:gd name="connsiteX4" fmla="*/ 12149 w 8927505"/>
              <a:gd name="connsiteY4" fmla="*/ 0 h 665721"/>
              <a:gd name="connsiteX0" fmla="*/ 4 w 8915360"/>
              <a:gd name="connsiteY0" fmla="*/ 0 h 665721"/>
              <a:gd name="connsiteX1" fmla="*/ 8915360 w 8915360"/>
              <a:gd name="connsiteY1" fmla="*/ 339538 h 665721"/>
              <a:gd name="connsiteX2" fmla="*/ 8899741 w 8915360"/>
              <a:gd name="connsiteY2" fmla="*/ 665721 h 665721"/>
              <a:gd name="connsiteX3" fmla="*/ 3658 w 8915360"/>
              <a:gd name="connsiteY3" fmla="*/ 651315 h 665721"/>
              <a:gd name="connsiteX4" fmla="*/ 4 w 8915360"/>
              <a:gd name="connsiteY4" fmla="*/ 0 h 665721"/>
              <a:gd name="connsiteX0" fmla="*/ 4 w 8915360"/>
              <a:gd name="connsiteY0" fmla="*/ 0 h 659281"/>
              <a:gd name="connsiteX1" fmla="*/ 8915360 w 8915360"/>
              <a:gd name="connsiteY1" fmla="*/ 339538 h 659281"/>
              <a:gd name="connsiteX2" fmla="*/ 8907643 w 8915360"/>
              <a:gd name="connsiteY2" fmla="*/ 659281 h 659281"/>
              <a:gd name="connsiteX3" fmla="*/ 3658 w 8915360"/>
              <a:gd name="connsiteY3" fmla="*/ 651315 h 659281"/>
              <a:gd name="connsiteX4" fmla="*/ 4 w 8915360"/>
              <a:gd name="connsiteY4" fmla="*/ 0 h 659281"/>
              <a:gd name="connsiteX0" fmla="*/ 4 w 8907643"/>
              <a:gd name="connsiteY0" fmla="*/ 0 h 659281"/>
              <a:gd name="connsiteX1" fmla="*/ 8875852 w 8907643"/>
              <a:gd name="connsiteY1" fmla="*/ 333098 h 659281"/>
              <a:gd name="connsiteX2" fmla="*/ 8907643 w 8907643"/>
              <a:gd name="connsiteY2" fmla="*/ 659281 h 659281"/>
              <a:gd name="connsiteX3" fmla="*/ 3658 w 8907643"/>
              <a:gd name="connsiteY3" fmla="*/ 651315 h 659281"/>
              <a:gd name="connsiteX4" fmla="*/ 4 w 8907643"/>
              <a:gd name="connsiteY4" fmla="*/ 0 h 659281"/>
              <a:gd name="connsiteX0" fmla="*/ 4 w 8875852"/>
              <a:gd name="connsiteY0" fmla="*/ 0 h 659281"/>
              <a:gd name="connsiteX1" fmla="*/ 8875852 w 8875852"/>
              <a:gd name="connsiteY1" fmla="*/ 333098 h 659281"/>
              <a:gd name="connsiteX2" fmla="*/ 8868134 w 8875852"/>
              <a:gd name="connsiteY2" fmla="*/ 659281 h 659281"/>
              <a:gd name="connsiteX3" fmla="*/ 3658 w 8875852"/>
              <a:gd name="connsiteY3" fmla="*/ 651315 h 659281"/>
              <a:gd name="connsiteX4" fmla="*/ 4 w 8875852"/>
              <a:gd name="connsiteY4" fmla="*/ 0 h 659281"/>
              <a:gd name="connsiteX0" fmla="*/ 4 w 8875852"/>
              <a:gd name="connsiteY0" fmla="*/ 0 h 700958"/>
              <a:gd name="connsiteX1" fmla="*/ 8875852 w 8875852"/>
              <a:gd name="connsiteY1" fmla="*/ 333098 h 700958"/>
              <a:gd name="connsiteX2" fmla="*/ 8794042 w 8875852"/>
              <a:gd name="connsiteY2" fmla="*/ 700958 h 700958"/>
              <a:gd name="connsiteX3" fmla="*/ 3658 w 8875852"/>
              <a:gd name="connsiteY3" fmla="*/ 651315 h 700958"/>
              <a:gd name="connsiteX4" fmla="*/ 4 w 8875852"/>
              <a:gd name="connsiteY4" fmla="*/ 0 h 700958"/>
              <a:gd name="connsiteX0" fmla="*/ 4 w 8823988"/>
              <a:gd name="connsiteY0" fmla="*/ 0 h 700958"/>
              <a:gd name="connsiteX1" fmla="*/ 8823988 w 8823988"/>
              <a:gd name="connsiteY1" fmla="*/ 339051 h 700958"/>
              <a:gd name="connsiteX2" fmla="*/ 8794042 w 8823988"/>
              <a:gd name="connsiteY2" fmla="*/ 700958 h 700958"/>
              <a:gd name="connsiteX3" fmla="*/ 3658 w 8823988"/>
              <a:gd name="connsiteY3" fmla="*/ 651315 h 700958"/>
              <a:gd name="connsiteX4" fmla="*/ 4 w 8823988"/>
              <a:gd name="connsiteY4" fmla="*/ 0 h 700958"/>
              <a:gd name="connsiteX0" fmla="*/ 4 w 8816579"/>
              <a:gd name="connsiteY0" fmla="*/ 0 h 700958"/>
              <a:gd name="connsiteX1" fmla="*/ 8816579 w 8816579"/>
              <a:gd name="connsiteY1" fmla="*/ 356913 h 700958"/>
              <a:gd name="connsiteX2" fmla="*/ 8794042 w 8816579"/>
              <a:gd name="connsiteY2" fmla="*/ 700958 h 700958"/>
              <a:gd name="connsiteX3" fmla="*/ 3658 w 8816579"/>
              <a:gd name="connsiteY3" fmla="*/ 651315 h 700958"/>
              <a:gd name="connsiteX4" fmla="*/ 4 w 8816579"/>
              <a:gd name="connsiteY4" fmla="*/ 0 h 700958"/>
              <a:gd name="connsiteX0" fmla="*/ 4 w 8816579"/>
              <a:gd name="connsiteY0" fmla="*/ 0 h 700958"/>
              <a:gd name="connsiteX1" fmla="*/ 8816579 w 8816579"/>
              <a:gd name="connsiteY1" fmla="*/ 350959 h 700958"/>
              <a:gd name="connsiteX2" fmla="*/ 8794042 w 8816579"/>
              <a:gd name="connsiteY2" fmla="*/ 700958 h 700958"/>
              <a:gd name="connsiteX3" fmla="*/ 3658 w 8816579"/>
              <a:gd name="connsiteY3" fmla="*/ 651315 h 700958"/>
              <a:gd name="connsiteX4" fmla="*/ 4 w 8816579"/>
              <a:gd name="connsiteY4" fmla="*/ 0 h 700958"/>
              <a:gd name="connsiteX0" fmla="*/ 1 w 8816576"/>
              <a:gd name="connsiteY0" fmla="*/ 0 h 700958"/>
              <a:gd name="connsiteX1" fmla="*/ 8816576 w 8816576"/>
              <a:gd name="connsiteY1" fmla="*/ 350959 h 700958"/>
              <a:gd name="connsiteX2" fmla="*/ 8794039 w 8816576"/>
              <a:gd name="connsiteY2" fmla="*/ 700958 h 700958"/>
              <a:gd name="connsiteX3" fmla="*/ 33291 w 8816576"/>
              <a:gd name="connsiteY3" fmla="*/ 692992 h 700958"/>
              <a:gd name="connsiteX4" fmla="*/ 1 w 8816576"/>
              <a:gd name="connsiteY4" fmla="*/ 0 h 700958"/>
              <a:gd name="connsiteX0" fmla="*/ 1 w 8801758"/>
              <a:gd name="connsiteY0" fmla="*/ 0 h 677143"/>
              <a:gd name="connsiteX1" fmla="*/ 8801758 w 8801758"/>
              <a:gd name="connsiteY1" fmla="*/ 327144 h 677143"/>
              <a:gd name="connsiteX2" fmla="*/ 8779221 w 8801758"/>
              <a:gd name="connsiteY2" fmla="*/ 677143 h 677143"/>
              <a:gd name="connsiteX3" fmla="*/ 18473 w 8801758"/>
              <a:gd name="connsiteY3" fmla="*/ 669177 h 677143"/>
              <a:gd name="connsiteX4" fmla="*/ 1 w 8801758"/>
              <a:gd name="connsiteY4" fmla="*/ 0 h 677143"/>
              <a:gd name="connsiteX0" fmla="*/ 3 w 8801760"/>
              <a:gd name="connsiteY0" fmla="*/ 0 h 677143"/>
              <a:gd name="connsiteX1" fmla="*/ 8801760 w 8801760"/>
              <a:gd name="connsiteY1" fmla="*/ 327144 h 677143"/>
              <a:gd name="connsiteX2" fmla="*/ 8779223 w 8801760"/>
              <a:gd name="connsiteY2" fmla="*/ 677143 h 677143"/>
              <a:gd name="connsiteX3" fmla="*/ 3656 w 8801760"/>
              <a:gd name="connsiteY3" fmla="*/ 675131 h 677143"/>
              <a:gd name="connsiteX4" fmla="*/ 3 w 8801760"/>
              <a:gd name="connsiteY4" fmla="*/ 0 h 677143"/>
              <a:gd name="connsiteX0" fmla="*/ 3756 w 8798104"/>
              <a:gd name="connsiteY0" fmla="*/ 0 h 677143"/>
              <a:gd name="connsiteX1" fmla="*/ 8798104 w 8798104"/>
              <a:gd name="connsiteY1" fmla="*/ 327144 h 677143"/>
              <a:gd name="connsiteX2" fmla="*/ 8775567 w 8798104"/>
              <a:gd name="connsiteY2" fmla="*/ 677143 h 677143"/>
              <a:gd name="connsiteX3" fmla="*/ 0 w 8798104"/>
              <a:gd name="connsiteY3" fmla="*/ 675131 h 677143"/>
              <a:gd name="connsiteX4" fmla="*/ 3756 w 8798104"/>
              <a:gd name="connsiteY4" fmla="*/ 0 h 677143"/>
              <a:gd name="connsiteX0" fmla="*/ 3756 w 8798104"/>
              <a:gd name="connsiteY0" fmla="*/ 0 h 675131"/>
              <a:gd name="connsiteX1" fmla="*/ 8798104 w 8798104"/>
              <a:gd name="connsiteY1" fmla="*/ 327144 h 675131"/>
              <a:gd name="connsiteX2" fmla="*/ 8472725 w 8798104"/>
              <a:gd name="connsiteY2" fmla="*/ 630922 h 675131"/>
              <a:gd name="connsiteX3" fmla="*/ 0 w 8798104"/>
              <a:gd name="connsiteY3" fmla="*/ 675131 h 675131"/>
              <a:gd name="connsiteX4" fmla="*/ 3756 w 8798104"/>
              <a:gd name="connsiteY4" fmla="*/ 0 h 675131"/>
              <a:gd name="connsiteX0" fmla="*/ 3756 w 8514189"/>
              <a:gd name="connsiteY0" fmla="*/ 0 h 675131"/>
              <a:gd name="connsiteX1" fmla="*/ 8514189 w 8514189"/>
              <a:gd name="connsiteY1" fmla="*/ 296330 h 675131"/>
              <a:gd name="connsiteX2" fmla="*/ 8472725 w 8514189"/>
              <a:gd name="connsiteY2" fmla="*/ 630922 h 675131"/>
              <a:gd name="connsiteX3" fmla="*/ 0 w 8514189"/>
              <a:gd name="connsiteY3" fmla="*/ 675131 h 675131"/>
              <a:gd name="connsiteX4" fmla="*/ 3756 w 8514189"/>
              <a:gd name="connsiteY4" fmla="*/ 0 h 675131"/>
              <a:gd name="connsiteX0" fmla="*/ 3756 w 8476334"/>
              <a:gd name="connsiteY0" fmla="*/ 0 h 675131"/>
              <a:gd name="connsiteX1" fmla="*/ 8476334 w 8476334"/>
              <a:gd name="connsiteY1" fmla="*/ 296330 h 675131"/>
              <a:gd name="connsiteX2" fmla="*/ 8472725 w 8476334"/>
              <a:gd name="connsiteY2" fmla="*/ 630922 h 675131"/>
              <a:gd name="connsiteX3" fmla="*/ 0 w 8476334"/>
              <a:gd name="connsiteY3" fmla="*/ 675131 h 675131"/>
              <a:gd name="connsiteX4" fmla="*/ 3756 w 8476334"/>
              <a:gd name="connsiteY4" fmla="*/ 0 h 675131"/>
              <a:gd name="connsiteX0" fmla="*/ 3756 w 8476334"/>
              <a:gd name="connsiteY0" fmla="*/ 0 h 675131"/>
              <a:gd name="connsiteX1" fmla="*/ 8476334 w 8476334"/>
              <a:gd name="connsiteY1" fmla="*/ 238881 h 675131"/>
              <a:gd name="connsiteX2" fmla="*/ 8472725 w 8476334"/>
              <a:gd name="connsiteY2" fmla="*/ 630922 h 675131"/>
              <a:gd name="connsiteX3" fmla="*/ 0 w 8476334"/>
              <a:gd name="connsiteY3" fmla="*/ 675131 h 675131"/>
              <a:gd name="connsiteX4" fmla="*/ 3756 w 8476334"/>
              <a:gd name="connsiteY4" fmla="*/ 0 h 675131"/>
              <a:gd name="connsiteX0" fmla="*/ 3756 w 8476334"/>
              <a:gd name="connsiteY0" fmla="*/ 0 h 675131"/>
              <a:gd name="connsiteX1" fmla="*/ 8476334 w 8476334"/>
              <a:gd name="connsiteY1" fmla="*/ 238881 h 675131"/>
              <a:gd name="connsiteX2" fmla="*/ 8472725 w 8476334"/>
              <a:gd name="connsiteY2" fmla="*/ 630922 h 675131"/>
              <a:gd name="connsiteX3" fmla="*/ 0 w 8476334"/>
              <a:gd name="connsiteY3" fmla="*/ 675131 h 675131"/>
              <a:gd name="connsiteX4" fmla="*/ 3756 w 8476334"/>
              <a:gd name="connsiteY4" fmla="*/ 0 h 675131"/>
              <a:gd name="connsiteX0" fmla="*/ 3756 w 8476334"/>
              <a:gd name="connsiteY0" fmla="*/ 0 h 675131"/>
              <a:gd name="connsiteX1" fmla="*/ 8476334 w 8476334"/>
              <a:gd name="connsiteY1" fmla="*/ 238881 h 675131"/>
              <a:gd name="connsiteX2" fmla="*/ 8464790 w 8476334"/>
              <a:gd name="connsiteY2" fmla="*/ 579856 h 675131"/>
              <a:gd name="connsiteX3" fmla="*/ 0 w 8476334"/>
              <a:gd name="connsiteY3" fmla="*/ 675131 h 675131"/>
              <a:gd name="connsiteX4" fmla="*/ 3756 w 8476334"/>
              <a:gd name="connsiteY4" fmla="*/ 0 h 675131"/>
              <a:gd name="connsiteX0" fmla="*/ 3756 w 8476334"/>
              <a:gd name="connsiteY0" fmla="*/ 0 h 758586"/>
              <a:gd name="connsiteX1" fmla="*/ 8476334 w 8476334"/>
              <a:gd name="connsiteY1" fmla="*/ 238881 h 758586"/>
              <a:gd name="connsiteX2" fmla="*/ 8472725 w 8476334"/>
              <a:gd name="connsiteY2" fmla="*/ 758586 h 758586"/>
              <a:gd name="connsiteX3" fmla="*/ 0 w 8476334"/>
              <a:gd name="connsiteY3" fmla="*/ 675131 h 758586"/>
              <a:gd name="connsiteX4" fmla="*/ 3756 w 8476334"/>
              <a:gd name="connsiteY4" fmla="*/ 0 h 758586"/>
              <a:gd name="connsiteX0" fmla="*/ 3756 w 8476334"/>
              <a:gd name="connsiteY0" fmla="*/ 0 h 758586"/>
              <a:gd name="connsiteX1" fmla="*/ 8476334 w 8476334"/>
              <a:gd name="connsiteY1" fmla="*/ 238881 h 758586"/>
              <a:gd name="connsiteX2" fmla="*/ 8472725 w 8476334"/>
              <a:gd name="connsiteY2" fmla="*/ 758586 h 758586"/>
              <a:gd name="connsiteX3" fmla="*/ 0 w 8476334"/>
              <a:gd name="connsiteY3" fmla="*/ 675131 h 758586"/>
              <a:gd name="connsiteX4" fmla="*/ 3756 w 8476334"/>
              <a:gd name="connsiteY4" fmla="*/ 0 h 758586"/>
              <a:gd name="connsiteX0" fmla="*/ 11690 w 8484268"/>
              <a:gd name="connsiteY0" fmla="*/ 0 h 793792"/>
              <a:gd name="connsiteX1" fmla="*/ 8484268 w 8484268"/>
              <a:gd name="connsiteY1" fmla="*/ 238881 h 793792"/>
              <a:gd name="connsiteX2" fmla="*/ 8480659 w 8484268"/>
              <a:gd name="connsiteY2" fmla="*/ 758586 h 793792"/>
              <a:gd name="connsiteX3" fmla="*/ 0 w 8484268"/>
              <a:gd name="connsiteY3" fmla="*/ 790029 h 793792"/>
              <a:gd name="connsiteX4" fmla="*/ 11690 w 8484268"/>
              <a:gd name="connsiteY4" fmla="*/ 0 h 793792"/>
              <a:gd name="connsiteX0" fmla="*/ 11690 w 8484268"/>
              <a:gd name="connsiteY0" fmla="*/ 0 h 803268"/>
              <a:gd name="connsiteX1" fmla="*/ 8484268 w 8484268"/>
              <a:gd name="connsiteY1" fmla="*/ 238881 h 803268"/>
              <a:gd name="connsiteX2" fmla="*/ 8472725 w 8484268"/>
              <a:gd name="connsiteY2" fmla="*/ 803268 h 803268"/>
              <a:gd name="connsiteX3" fmla="*/ 0 w 8484268"/>
              <a:gd name="connsiteY3" fmla="*/ 790029 h 803268"/>
              <a:gd name="connsiteX4" fmla="*/ 11690 w 8484268"/>
              <a:gd name="connsiteY4" fmla="*/ 0 h 8032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8484268" h="803268">
                <a:moveTo>
                  <a:pt x="11690" y="0"/>
                </a:moveTo>
                <a:cubicBezTo>
                  <a:pt x="1795236" y="846622"/>
                  <a:pt x="5398217" y="-303413"/>
                  <a:pt x="8484268" y="238881"/>
                </a:cubicBezTo>
                <a:lnTo>
                  <a:pt x="8472725" y="803268"/>
                </a:lnTo>
                <a:cubicBezTo>
                  <a:pt x="5711954" y="724384"/>
                  <a:pt x="2824242" y="817847"/>
                  <a:pt x="0" y="790029"/>
                </a:cubicBezTo>
                <a:cubicBezTo>
                  <a:pt x="136" y="552922"/>
                  <a:pt x="11554" y="237107"/>
                  <a:pt x="11690" y="0"/>
                </a:cubicBezTo>
                <a:close/>
              </a:path>
            </a:pathLst>
          </a:custGeom>
          <a:gradFill flip="none" rotWithShape="1">
            <a:gsLst>
              <a:gs pos="0">
                <a:schemeClr val="accent1">
                  <a:alpha val="38000"/>
                </a:schemeClr>
              </a:gs>
              <a:gs pos="100000">
                <a:schemeClr val="bg1">
                  <a:alpha val="0"/>
                </a:schemeClr>
              </a:gs>
              <a:gs pos="68000">
                <a:schemeClr val="accent1">
                  <a:alpha val="19000"/>
                </a:schemeClr>
              </a:gs>
            </a:gsLst>
            <a:lin ang="5400000" scaled="1"/>
            <a:tileRect/>
          </a:gra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1" name="Forma libre 40"/>
          <xdr:cNvSpPr/>
        </xdr:nvSpPr>
        <xdr:spPr>
          <a:xfrm flipH="1" flipV="1">
            <a:off x="315540" y="1031015"/>
            <a:ext cx="8306360" cy="444581"/>
          </a:xfrm>
          <a:custGeom>
            <a:avLst/>
            <a:gdLst>
              <a:gd name="connsiteX0" fmla="*/ 38100 w 8248650"/>
              <a:gd name="connsiteY0" fmla="*/ 0 h 3686175"/>
              <a:gd name="connsiteX1" fmla="*/ 4857750 w 8248650"/>
              <a:gd name="connsiteY1" fmla="*/ 962025 h 3686175"/>
              <a:gd name="connsiteX2" fmla="*/ 8248650 w 8248650"/>
              <a:gd name="connsiteY2" fmla="*/ 190500 h 3686175"/>
              <a:gd name="connsiteX3" fmla="*/ 8248650 w 8248650"/>
              <a:gd name="connsiteY3" fmla="*/ 3686175 h 3686175"/>
              <a:gd name="connsiteX4" fmla="*/ 0 w 8248650"/>
              <a:gd name="connsiteY4" fmla="*/ 3667125 h 3686175"/>
              <a:gd name="connsiteX5" fmla="*/ 38100 w 8248650"/>
              <a:gd name="connsiteY5" fmla="*/ 0 h 3686175"/>
              <a:gd name="connsiteX0" fmla="*/ 38100 w 8248650"/>
              <a:gd name="connsiteY0" fmla="*/ 90366 h 3776541"/>
              <a:gd name="connsiteX1" fmla="*/ 4857750 w 8248650"/>
              <a:gd name="connsiteY1" fmla="*/ 1052391 h 3776541"/>
              <a:gd name="connsiteX2" fmla="*/ 8248650 w 8248650"/>
              <a:gd name="connsiteY2" fmla="*/ 280866 h 3776541"/>
              <a:gd name="connsiteX3" fmla="*/ 8248650 w 8248650"/>
              <a:gd name="connsiteY3" fmla="*/ 3776541 h 3776541"/>
              <a:gd name="connsiteX4" fmla="*/ 0 w 8248650"/>
              <a:gd name="connsiteY4" fmla="*/ 3757491 h 3776541"/>
              <a:gd name="connsiteX5" fmla="*/ 38100 w 8248650"/>
              <a:gd name="connsiteY5" fmla="*/ 90366 h 3776541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204054 h 3890229"/>
              <a:gd name="connsiteX1" fmla="*/ 4857750 w 8248650"/>
              <a:gd name="connsiteY1" fmla="*/ 1166079 h 3890229"/>
              <a:gd name="connsiteX2" fmla="*/ 8248650 w 8248650"/>
              <a:gd name="connsiteY2" fmla="*/ 1994754 h 3890229"/>
              <a:gd name="connsiteX3" fmla="*/ 8248650 w 8248650"/>
              <a:gd name="connsiteY3" fmla="*/ 3890229 h 3890229"/>
              <a:gd name="connsiteX4" fmla="*/ 0 w 8248650"/>
              <a:gd name="connsiteY4" fmla="*/ 3871179 h 3890229"/>
              <a:gd name="connsiteX5" fmla="*/ 38100 w 8248650"/>
              <a:gd name="connsiteY5" fmla="*/ 204054 h 3890229"/>
              <a:gd name="connsiteX0" fmla="*/ 38100 w 8248650"/>
              <a:gd name="connsiteY0" fmla="*/ 89615 h 3775790"/>
              <a:gd name="connsiteX1" fmla="*/ 4857750 w 8248650"/>
              <a:gd name="connsiteY1" fmla="*/ 1051640 h 3775790"/>
              <a:gd name="connsiteX2" fmla="*/ 8231357 w 8248650"/>
              <a:gd name="connsiteY2" fmla="*/ 190298 h 3775790"/>
              <a:gd name="connsiteX3" fmla="*/ 8248650 w 8248650"/>
              <a:gd name="connsiteY3" fmla="*/ 3775790 h 3775790"/>
              <a:gd name="connsiteX4" fmla="*/ 0 w 8248650"/>
              <a:gd name="connsiteY4" fmla="*/ 3756740 h 3775790"/>
              <a:gd name="connsiteX5" fmla="*/ 38100 w 8248650"/>
              <a:gd name="connsiteY5" fmla="*/ 89615 h 3775790"/>
              <a:gd name="connsiteX0" fmla="*/ 38100 w 8248650"/>
              <a:gd name="connsiteY0" fmla="*/ 366030 h 4052205"/>
              <a:gd name="connsiteX1" fmla="*/ 4857750 w 8248650"/>
              <a:gd name="connsiteY1" fmla="*/ 1328055 h 4052205"/>
              <a:gd name="connsiteX2" fmla="*/ 8231357 w 8248650"/>
              <a:gd name="connsiteY2" fmla="*/ 466713 h 4052205"/>
              <a:gd name="connsiteX3" fmla="*/ 8248650 w 8248650"/>
              <a:gd name="connsiteY3" fmla="*/ 4052205 h 4052205"/>
              <a:gd name="connsiteX4" fmla="*/ 0 w 8248650"/>
              <a:gd name="connsiteY4" fmla="*/ 4033155 h 4052205"/>
              <a:gd name="connsiteX5" fmla="*/ 38100 w 8248650"/>
              <a:gd name="connsiteY5" fmla="*/ 366030 h 4052205"/>
              <a:gd name="connsiteX0" fmla="*/ 38100 w 8248650"/>
              <a:gd name="connsiteY0" fmla="*/ 394750 h 4080925"/>
              <a:gd name="connsiteX1" fmla="*/ 4511894 w 8248650"/>
              <a:gd name="connsiteY1" fmla="*/ 1165451 h 4080925"/>
              <a:gd name="connsiteX2" fmla="*/ 8231357 w 8248650"/>
              <a:gd name="connsiteY2" fmla="*/ 495433 h 4080925"/>
              <a:gd name="connsiteX3" fmla="*/ 8248650 w 8248650"/>
              <a:gd name="connsiteY3" fmla="*/ 4080925 h 4080925"/>
              <a:gd name="connsiteX4" fmla="*/ 0 w 8248650"/>
              <a:gd name="connsiteY4" fmla="*/ 4061875 h 4080925"/>
              <a:gd name="connsiteX5" fmla="*/ 38100 w 8248650"/>
              <a:gd name="connsiteY5" fmla="*/ 394750 h 4080925"/>
              <a:gd name="connsiteX0" fmla="*/ 38100 w 8248650"/>
              <a:gd name="connsiteY0" fmla="*/ 394750 h 4080925"/>
              <a:gd name="connsiteX1" fmla="*/ 4511894 w 8248650"/>
              <a:gd name="connsiteY1" fmla="*/ 1165451 h 4080925"/>
              <a:gd name="connsiteX2" fmla="*/ 8231357 w 8248650"/>
              <a:gd name="connsiteY2" fmla="*/ 495433 h 4080925"/>
              <a:gd name="connsiteX3" fmla="*/ 8248650 w 8248650"/>
              <a:gd name="connsiteY3" fmla="*/ 4080925 h 4080925"/>
              <a:gd name="connsiteX4" fmla="*/ 0 w 8248650"/>
              <a:gd name="connsiteY4" fmla="*/ 4061875 h 4080925"/>
              <a:gd name="connsiteX5" fmla="*/ 38100 w 8248650"/>
              <a:gd name="connsiteY5" fmla="*/ 394750 h 4080925"/>
              <a:gd name="connsiteX0" fmla="*/ 38100 w 8248650"/>
              <a:gd name="connsiteY0" fmla="*/ 399879 h 4086054"/>
              <a:gd name="connsiteX1" fmla="*/ 4935567 w 8248650"/>
              <a:gd name="connsiteY1" fmla="*/ 1138693 h 4086054"/>
              <a:gd name="connsiteX2" fmla="*/ 8231357 w 8248650"/>
              <a:gd name="connsiteY2" fmla="*/ 500562 h 4086054"/>
              <a:gd name="connsiteX3" fmla="*/ 8248650 w 8248650"/>
              <a:gd name="connsiteY3" fmla="*/ 4086054 h 4086054"/>
              <a:gd name="connsiteX4" fmla="*/ 0 w 8248650"/>
              <a:gd name="connsiteY4" fmla="*/ 4067004 h 4086054"/>
              <a:gd name="connsiteX5" fmla="*/ 38100 w 8248650"/>
              <a:gd name="connsiteY5" fmla="*/ 399879 h 4086054"/>
              <a:gd name="connsiteX0" fmla="*/ 38100 w 8248650"/>
              <a:gd name="connsiteY0" fmla="*/ 352863 h 4039038"/>
              <a:gd name="connsiteX1" fmla="*/ 4935567 w 8248650"/>
              <a:gd name="connsiteY1" fmla="*/ 1091677 h 4039038"/>
              <a:gd name="connsiteX2" fmla="*/ 8231357 w 8248650"/>
              <a:gd name="connsiteY2" fmla="*/ 453546 h 4039038"/>
              <a:gd name="connsiteX3" fmla="*/ 8248650 w 8248650"/>
              <a:gd name="connsiteY3" fmla="*/ 4039038 h 4039038"/>
              <a:gd name="connsiteX4" fmla="*/ 0 w 8248650"/>
              <a:gd name="connsiteY4" fmla="*/ 4019988 h 4039038"/>
              <a:gd name="connsiteX5" fmla="*/ 38100 w 8248650"/>
              <a:gd name="connsiteY5" fmla="*/ 352863 h 4039038"/>
              <a:gd name="connsiteX0" fmla="*/ 38100 w 8248650"/>
              <a:gd name="connsiteY0" fmla="*/ 360827 h 4047002"/>
              <a:gd name="connsiteX1" fmla="*/ 4935567 w 8248650"/>
              <a:gd name="connsiteY1" fmla="*/ 1099641 h 4047002"/>
              <a:gd name="connsiteX2" fmla="*/ 8231357 w 8248650"/>
              <a:gd name="connsiteY2" fmla="*/ 461510 h 4047002"/>
              <a:gd name="connsiteX3" fmla="*/ 8248650 w 8248650"/>
              <a:gd name="connsiteY3" fmla="*/ 4047002 h 4047002"/>
              <a:gd name="connsiteX4" fmla="*/ 0 w 8248650"/>
              <a:gd name="connsiteY4" fmla="*/ 4027952 h 4047002"/>
              <a:gd name="connsiteX5" fmla="*/ 38100 w 8248650"/>
              <a:gd name="connsiteY5" fmla="*/ 360827 h 4047002"/>
              <a:gd name="connsiteX0" fmla="*/ 38100 w 8248650"/>
              <a:gd name="connsiteY0" fmla="*/ 179712 h 3865887"/>
              <a:gd name="connsiteX1" fmla="*/ 4719408 w 8248650"/>
              <a:gd name="connsiteY1" fmla="*/ 3054963 h 3865887"/>
              <a:gd name="connsiteX2" fmla="*/ 8231357 w 8248650"/>
              <a:gd name="connsiteY2" fmla="*/ 280395 h 3865887"/>
              <a:gd name="connsiteX3" fmla="*/ 8248650 w 8248650"/>
              <a:gd name="connsiteY3" fmla="*/ 3865887 h 3865887"/>
              <a:gd name="connsiteX4" fmla="*/ 0 w 8248650"/>
              <a:gd name="connsiteY4" fmla="*/ 3846837 h 3865887"/>
              <a:gd name="connsiteX5" fmla="*/ 38100 w 8248650"/>
              <a:gd name="connsiteY5" fmla="*/ 179712 h 3865887"/>
              <a:gd name="connsiteX0" fmla="*/ 38100 w 8248650"/>
              <a:gd name="connsiteY0" fmla="*/ 327735 h 4013910"/>
              <a:gd name="connsiteX1" fmla="*/ 5264131 w 8248650"/>
              <a:gd name="connsiteY1" fmla="*/ 1321646 h 4013910"/>
              <a:gd name="connsiteX2" fmla="*/ 8231357 w 8248650"/>
              <a:gd name="connsiteY2" fmla="*/ 428418 h 4013910"/>
              <a:gd name="connsiteX3" fmla="*/ 8248650 w 8248650"/>
              <a:gd name="connsiteY3" fmla="*/ 4013910 h 4013910"/>
              <a:gd name="connsiteX4" fmla="*/ 0 w 8248650"/>
              <a:gd name="connsiteY4" fmla="*/ 3994860 h 4013910"/>
              <a:gd name="connsiteX5" fmla="*/ 38100 w 8248650"/>
              <a:gd name="connsiteY5" fmla="*/ 327735 h 4013910"/>
              <a:gd name="connsiteX0" fmla="*/ 72686 w 8248650"/>
              <a:gd name="connsiteY0" fmla="*/ 1110817 h 4063587"/>
              <a:gd name="connsiteX1" fmla="*/ 5264131 w 8248650"/>
              <a:gd name="connsiteY1" fmla="*/ 1371323 h 4063587"/>
              <a:gd name="connsiteX2" fmla="*/ 8231357 w 8248650"/>
              <a:gd name="connsiteY2" fmla="*/ 478095 h 4063587"/>
              <a:gd name="connsiteX3" fmla="*/ 8248650 w 8248650"/>
              <a:gd name="connsiteY3" fmla="*/ 4063587 h 4063587"/>
              <a:gd name="connsiteX4" fmla="*/ 0 w 8248650"/>
              <a:gd name="connsiteY4" fmla="*/ 4044537 h 4063587"/>
              <a:gd name="connsiteX5" fmla="*/ 72686 w 8248650"/>
              <a:gd name="connsiteY5" fmla="*/ 1110817 h 4063587"/>
              <a:gd name="connsiteX0" fmla="*/ 72686 w 8248650"/>
              <a:gd name="connsiteY0" fmla="*/ 1110817 h 4063587"/>
              <a:gd name="connsiteX1" fmla="*/ 5264131 w 8248650"/>
              <a:gd name="connsiteY1" fmla="*/ 1371323 h 4063587"/>
              <a:gd name="connsiteX2" fmla="*/ 8231357 w 8248650"/>
              <a:gd name="connsiteY2" fmla="*/ 478095 h 4063587"/>
              <a:gd name="connsiteX3" fmla="*/ 8248650 w 8248650"/>
              <a:gd name="connsiteY3" fmla="*/ 4063587 h 4063587"/>
              <a:gd name="connsiteX4" fmla="*/ 0 w 8248650"/>
              <a:gd name="connsiteY4" fmla="*/ 4044537 h 4063587"/>
              <a:gd name="connsiteX5" fmla="*/ 72686 w 8248650"/>
              <a:gd name="connsiteY5" fmla="*/ 1110817 h 4063587"/>
              <a:gd name="connsiteX0" fmla="*/ 72686 w 8248650"/>
              <a:gd name="connsiteY0" fmla="*/ 2714788 h 5667558"/>
              <a:gd name="connsiteX1" fmla="*/ 4857751 w 8248650"/>
              <a:gd name="connsiteY1" fmla="*/ 9793 h 5667558"/>
              <a:gd name="connsiteX2" fmla="*/ 8231357 w 8248650"/>
              <a:gd name="connsiteY2" fmla="*/ 2082066 h 5667558"/>
              <a:gd name="connsiteX3" fmla="*/ 8248650 w 8248650"/>
              <a:gd name="connsiteY3" fmla="*/ 5667558 h 5667558"/>
              <a:gd name="connsiteX4" fmla="*/ 0 w 8248650"/>
              <a:gd name="connsiteY4" fmla="*/ 5648508 h 5667558"/>
              <a:gd name="connsiteX5" fmla="*/ 72686 w 8248650"/>
              <a:gd name="connsiteY5" fmla="*/ 2714788 h 5667558"/>
              <a:gd name="connsiteX0" fmla="*/ 72686 w 8248650"/>
              <a:gd name="connsiteY0" fmla="*/ 1097092 h 4049862"/>
              <a:gd name="connsiteX1" fmla="*/ 4166040 w 8248650"/>
              <a:gd name="connsiteY1" fmla="*/ 1453260 h 4049862"/>
              <a:gd name="connsiteX2" fmla="*/ 8231357 w 8248650"/>
              <a:gd name="connsiteY2" fmla="*/ 464370 h 4049862"/>
              <a:gd name="connsiteX3" fmla="*/ 8248650 w 8248650"/>
              <a:gd name="connsiteY3" fmla="*/ 4049862 h 4049862"/>
              <a:gd name="connsiteX4" fmla="*/ 0 w 8248650"/>
              <a:gd name="connsiteY4" fmla="*/ 4030812 h 4049862"/>
              <a:gd name="connsiteX5" fmla="*/ 72686 w 8248650"/>
              <a:gd name="connsiteY5" fmla="*/ 1097092 h 4049862"/>
              <a:gd name="connsiteX0" fmla="*/ 64040 w 8248650"/>
              <a:gd name="connsiteY0" fmla="*/ 325178 h 4362111"/>
              <a:gd name="connsiteX1" fmla="*/ 4166040 w 8248650"/>
              <a:gd name="connsiteY1" fmla="*/ 1765509 h 4362111"/>
              <a:gd name="connsiteX2" fmla="*/ 8231357 w 8248650"/>
              <a:gd name="connsiteY2" fmla="*/ 776619 h 4362111"/>
              <a:gd name="connsiteX3" fmla="*/ 8248650 w 8248650"/>
              <a:gd name="connsiteY3" fmla="*/ 4362111 h 4362111"/>
              <a:gd name="connsiteX4" fmla="*/ 0 w 8248650"/>
              <a:gd name="connsiteY4" fmla="*/ 4343061 h 4362111"/>
              <a:gd name="connsiteX5" fmla="*/ 64040 w 8248650"/>
              <a:gd name="connsiteY5" fmla="*/ 325178 h 4362111"/>
              <a:gd name="connsiteX0" fmla="*/ 64040 w 8248650"/>
              <a:gd name="connsiteY0" fmla="*/ 322403 h 4359336"/>
              <a:gd name="connsiteX1" fmla="*/ 4166040 w 8248650"/>
              <a:gd name="connsiteY1" fmla="*/ 1762734 h 4359336"/>
              <a:gd name="connsiteX2" fmla="*/ 8231357 w 8248650"/>
              <a:gd name="connsiteY2" fmla="*/ 773844 h 4359336"/>
              <a:gd name="connsiteX3" fmla="*/ 8248650 w 8248650"/>
              <a:gd name="connsiteY3" fmla="*/ 4359336 h 4359336"/>
              <a:gd name="connsiteX4" fmla="*/ 0 w 8248650"/>
              <a:gd name="connsiteY4" fmla="*/ 4340286 h 4359336"/>
              <a:gd name="connsiteX5" fmla="*/ 64040 w 8248650"/>
              <a:gd name="connsiteY5" fmla="*/ 322403 h 4359336"/>
              <a:gd name="connsiteX0" fmla="*/ 46748 w 8248650"/>
              <a:gd name="connsiteY0" fmla="*/ 330370 h 4303529"/>
              <a:gd name="connsiteX1" fmla="*/ 4166040 w 8248650"/>
              <a:gd name="connsiteY1" fmla="*/ 1706927 h 4303529"/>
              <a:gd name="connsiteX2" fmla="*/ 8231357 w 8248650"/>
              <a:gd name="connsiteY2" fmla="*/ 718037 h 4303529"/>
              <a:gd name="connsiteX3" fmla="*/ 8248650 w 8248650"/>
              <a:gd name="connsiteY3" fmla="*/ 4303529 h 4303529"/>
              <a:gd name="connsiteX4" fmla="*/ 0 w 8248650"/>
              <a:gd name="connsiteY4" fmla="*/ 4284479 h 4303529"/>
              <a:gd name="connsiteX5" fmla="*/ 46748 w 8248650"/>
              <a:gd name="connsiteY5" fmla="*/ 330370 h 4303529"/>
              <a:gd name="connsiteX0" fmla="*/ 46748 w 8248650"/>
              <a:gd name="connsiteY0" fmla="*/ 343322 h 4316481"/>
              <a:gd name="connsiteX1" fmla="*/ 4217918 w 8248650"/>
              <a:gd name="connsiteY1" fmla="*/ 1592330 h 4316481"/>
              <a:gd name="connsiteX2" fmla="*/ 8231357 w 8248650"/>
              <a:gd name="connsiteY2" fmla="*/ 730989 h 4316481"/>
              <a:gd name="connsiteX3" fmla="*/ 8248650 w 8248650"/>
              <a:gd name="connsiteY3" fmla="*/ 4316481 h 4316481"/>
              <a:gd name="connsiteX4" fmla="*/ 0 w 8248650"/>
              <a:gd name="connsiteY4" fmla="*/ 4297431 h 4316481"/>
              <a:gd name="connsiteX5" fmla="*/ 46748 w 8248650"/>
              <a:gd name="connsiteY5" fmla="*/ 343322 h 4316481"/>
              <a:gd name="connsiteX0" fmla="*/ 46748 w 8248650"/>
              <a:gd name="connsiteY0" fmla="*/ 343322 h 4316481"/>
              <a:gd name="connsiteX1" fmla="*/ 4217918 w 8248650"/>
              <a:gd name="connsiteY1" fmla="*/ 1592330 h 4316481"/>
              <a:gd name="connsiteX2" fmla="*/ 8231357 w 8248650"/>
              <a:gd name="connsiteY2" fmla="*/ 730989 h 4316481"/>
              <a:gd name="connsiteX3" fmla="*/ 8248650 w 8248650"/>
              <a:gd name="connsiteY3" fmla="*/ 4316481 h 4316481"/>
              <a:gd name="connsiteX4" fmla="*/ 0 w 8248650"/>
              <a:gd name="connsiteY4" fmla="*/ 4297431 h 4316481"/>
              <a:gd name="connsiteX5" fmla="*/ 46748 w 8248650"/>
              <a:gd name="connsiteY5" fmla="*/ 343322 h 4316481"/>
              <a:gd name="connsiteX0" fmla="*/ 29455 w 8231357"/>
              <a:gd name="connsiteY0" fmla="*/ 343322 h 4316481"/>
              <a:gd name="connsiteX1" fmla="*/ 4200625 w 8231357"/>
              <a:gd name="connsiteY1" fmla="*/ 1592330 h 4316481"/>
              <a:gd name="connsiteX2" fmla="*/ 8214064 w 8231357"/>
              <a:gd name="connsiteY2" fmla="*/ 730989 h 4316481"/>
              <a:gd name="connsiteX3" fmla="*/ 8231357 w 8231357"/>
              <a:gd name="connsiteY3" fmla="*/ 4316481 h 4316481"/>
              <a:gd name="connsiteX4" fmla="*/ 0 w 8231357"/>
              <a:gd name="connsiteY4" fmla="*/ 2384205 h 4316481"/>
              <a:gd name="connsiteX5" fmla="*/ 29455 w 8231357"/>
              <a:gd name="connsiteY5" fmla="*/ 343322 h 4316481"/>
              <a:gd name="connsiteX0" fmla="*/ 29455 w 8214563"/>
              <a:gd name="connsiteY0" fmla="*/ 343322 h 2435141"/>
              <a:gd name="connsiteX1" fmla="*/ 4200625 w 8214563"/>
              <a:gd name="connsiteY1" fmla="*/ 1592330 h 2435141"/>
              <a:gd name="connsiteX2" fmla="*/ 8214064 w 8214563"/>
              <a:gd name="connsiteY2" fmla="*/ 730989 h 2435141"/>
              <a:gd name="connsiteX3" fmla="*/ 8179479 w 8214563"/>
              <a:gd name="connsiteY3" fmla="*/ 2435141 h 2435141"/>
              <a:gd name="connsiteX4" fmla="*/ 0 w 8214563"/>
              <a:gd name="connsiteY4" fmla="*/ 2384205 h 2435141"/>
              <a:gd name="connsiteX5" fmla="*/ 29455 w 8214563"/>
              <a:gd name="connsiteY5" fmla="*/ 343322 h 2435141"/>
              <a:gd name="connsiteX0" fmla="*/ 29455 w 8214563"/>
              <a:gd name="connsiteY0" fmla="*/ 405509 h 2497328"/>
              <a:gd name="connsiteX1" fmla="*/ 4200625 w 8214563"/>
              <a:gd name="connsiteY1" fmla="*/ 1654517 h 2497328"/>
              <a:gd name="connsiteX2" fmla="*/ 8214064 w 8214563"/>
              <a:gd name="connsiteY2" fmla="*/ 793176 h 2497328"/>
              <a:gd name="connsiteX3" fmla="*/ 8179479 w 8214563"/>
              <a:gd name="connsiteY3" fmla="*/ 2497328 h 2497328"/>
              <a:gd name="connsiteX4" fmla="*/ 0 w 8214563"/>
              <a:gd name="connsiteY4" fmla="*/ 2446392 h 2497328"/>
              <a:gd name="connsiteX5" fmla="*/ 29455 w 8214563"/>
              <a:gd name="connsiteY5" fmla="*/ 405509 h 2497328"/>
              <a:gd name="connsiteX0" fmla="*/ 29455 w 8214563"/>
              <a:gd name="connsiteY0" fmla="*/ 380468 h 2472287"/>
              <a:gd name="connsiteX1" fmla="*/ 4200625 w 8214563"/>
              <a:gd name="connsiteY1" fmla="*/ 1629476 h 2472287"/>
              <a:gd name="connsiteX2" fmla="*/ 8214064 w 8214563"/>
              <a:gd name="connsiteY2" fmla="*/ 768135 h 2472287"/>
              <a:gd name="connsiteX3" fmla="*/ 8179479 w 8214563"/>
              <a:gd name="connsiteY3" fmla="*/ 2472287 h 2472287"/>
              <a:gd name="connsiteX4" fmla="*/ 0 w 8214563"/>
              <a:gd name="connsiteY4" fmla="*/ 2421351 h 2472287"/>
              <a:gd name="connsiteX5" fmla="*/ 29455 w 8214563"/>
              <a:gd name="connsiteY5" fmla="*/ 380468 h 2472287"/>
              <a:gd name="connsiteX0" fmla="*/ 29455 w 8214563"/>
              <a:gd name="connsiteY0" fmla="*/ 445715 h 2537534"/>
              <a:gd name="connsiteX1" fmla="*/ 4212922 w 8214563"/>
              <a:gd name="connsiteY1" fmla="*/ 1193642 h 2537534"/>
              <a:gd name="connsiteX2" fmla="*/ 8214064 w 8214563"/>
              <a:gd name="connsiteY2" fmla="*/ 833382 h 2537534"/>
              <a:gd name="connsiteX3" fmla="*/ 8179479 w 8214563"/>
              <a:gd name="connsiteY3" fmla="*/ 2537534 h 2537534"/>
              <a:gd name="connsiteX4" fmla="*/ 0 w 8214563"/>
              <a:gd name="connsiteY4" fmla="*/ 2486598 h 2537534"/>
              <a:gd name="connsiteX5" fmla="*/ 29455 w 8214563"/>
              <a:gd name="connsiteY5" fmla="*/ 445715 h 2537534"/>
              <a:gd name="connsiteX0" fmla="*/ 29455 w 8214464"/>
              <a:gd name="connsiteY0" fmla="*/ 445715 h 4951845"/>
              <a:gd name="connsiteX1" fmla="*/ 4212922 w 8214464"/>
              <a:gd name="connsiteY1" fmla="*/ 1193642 h 4951845"/>
              <a:gd name="connsiteX2" fmla="*/ 8214064 w 8214464"/>
              <a:gd name="connsiteY2" fmla="*/ 833382 h 4951845"/>
              <a:gd name="connsiteX3" fmla="*/ 8167182 w 8214464"/>
              <a:gd name="connsiteY3" fmla="*/ 4951845 h 4951845"/>
              <a:gd name="connsiteX4" fmla="*/ 0 w 8214464"/>
              <a:gd name="connsiteY4" fmla="*/ 2486598 h 4951845"/>
              <a:gd name="connsiteX5" fmla="*/ 29455 w 8214464"/>
              <a:gd name="connsiteY5" fmla="*/ 445715 h 4951845"/>
              <a:gd name="connsiteX0" fmla="*/ 29455 w 8214464"/>
              <a:gd name="connsiteY0" fmla="*/ 445715 h 4951845"/>
              <a:gd name="connsiteX1" fmla="*/ 4212922 w 8214464"/>
              <a:gd name="connsiteY1" fmla="*/ 1193642 h 4951845"/>
              <a:gd name="connsiteX2" fmla="*/ 8214064 w 8214464"/>
              <a:gd name="connsiteY2" fmla="*/ 833382 h 4951845"/>
              <a:gd name="connsiteX3" fmla="*/ 8167182 w 8214464"/>
              <a:gd name="connsiteY3" fmla="*/ 4951845 h 4951845"/>
              <a:gd name="connsiteX4" fmla="*/ 0 w 8214464"/>
              <a:gd name="connsiteY4" fmla="*/ 4946459 h 4951845"/>
              <a:gd name="connsiteX5" fmla="*/ 29455 w 8214464"/>
              <a:gd name="connsiteY5" fmla="*/ 445715 h 4951845"/>
              <a:gd name="connsiteX0" fmla="*/ 29455 w 8214464"/>
              <a:gd name="connsiteY0" fmla="*/ 743171 h 5249301"/>
              <a:gd name="connsiteX1" fmla="*/ 3512021 w 8214464"/>
              <a:gd name="connsiteY1" fmla="*/ 306719 h 5249301"/>
              <a:gd name="connsiteX2" fmla="*/ 8214064 w 8214464"/>
              <a:gd name="connsiteY2" fmla="*/ 1130838 h 5249301"/>
              <a:gd name="connsiteX3" fmla="*/ 8167182 w 8214464"/>
              <a:gd name="connsiteY3" fmla="*/ 5249301 h 5249301"/>
              <a:gd name="connsiteX4" fmla="*/ 0 w 8214464"/>
              <a:gd name="connsiteY4" fmla="*/ 5243915 h 5249301"/>
              <a:gd name="connsiteX5" fmla="*/ 29455 w 8214464"/>
              <a:gd name="connsiteY5" fmla="*/ 743171 h 5249301"/>
              <a:gd name="connsiteX0" fmla="*/ 29455 w 8265554"/>
              <a:gd name="connsiteY0" fmla="*/ 743171 h 5887043"/>
              <a:gd name="connsiteX1" fmla="*/ 3512021 w 8265554"/>
              <a:gd name="connsiteY1" fmla="*/ 306719 h 5887043"/>
              <a:gd name="connsiteX2" fmla="*/ 8214064 w 8265554"/>
              <a:gd name="connsiteY2" fmla="*/ 1130838 h 5887043"/>
              <a:gd name="connsiteX3" fmla="*/ 8265554 w 8265554"/>
              <a:gd name="connsiteY3" fmla="*/ 5887043 h 5887043"/>
              <a:gd name="connsiteX4" fmla="*/ 0 w 8265554"/>
              <a:gd name="connsiteY4" fmla="*/ 5243915 h 5887043"/>
              <a:gd name="connsiteX5" fmla="*/ 29455 w 8265554"/>
              <a:gd name="connsiteY5" fmla="*/ 743171 h 5887043"/>
              <a:gd name="connsiteX0" fmla="*/ 29455 w 8265554"/>
              <a:gd name="connsiteY0" fmla="*/ 738257 h 5882129"/>
              <a:gd name="connsiteX1" fmla="*/ 3512021 w 8265554"/>
              <a:gd name="connsiteY1" fmla="*/ 301805 h 5882129"/>
              <a:gd name="connsiteX2" fmla="*/ 8214064 w 8265554"/>
              <a:gd name="connsiteY2" fmla="*/ 1034820 h 5882129"/>
              <a:gd name="connsiteX3" fmla="*/ 8265554 w 8265554"/>
              <a:gd name="connsiteY3" fmla="*/ 5882129 h 5882129"/>
              <a:gd name="connsiteX4" fmla="*/ 0 w 8265554"/>
              <a:gd name="connsiteY4" fmla="*/ 5239001 h 5882129"/>
              <a:gd name="connsiteX5" fmla="*/ 29455 w 8265554"/>
              <a:gd name="connsiteY5" fmla="*/ 738257 h 5882129"/>
              <a:gd name="connsiteX0" fmla="*/ 0 w 8236099"/>
              <a:gd name="connsiteY0" fmla="*/ 738257 h 6970017"/>
              <a:gd name="connsiteX1" fmla="*/ 3482566 w 8236099"/>
              <a:gd name="connsiteY1" fmla="*/ 301805 h 6970017"/>
              <a:gd name="connsiteX2" fmla="*/ 8184609 w 8236099"/>
              <a:gd name="connsiteY2" fmla="*/ 1034820 h 6970017"/>
              <a:gd name="connsiteX3" fmla="*/ 8236099 w 8236099"/>
              <a:gd name="connsiteY3" fmla="*/ 5882129 h 6970017"/>
              <a:gd name="connsiteX4" fmla="*/ 7435 w 8236099"/>
              <a:gd name="connsiteY4" fmla="*/ 6970017 h 6970017"/>
              <a:gd name="connsiteX5" fmla="*/ 0 w 8236099"/>
              <a:gd name="connsiteY5" fmla="*/ 738257 h 6970017"/>
              <a:gd name="connsiteX0" fmla="*/ 0 w 8248395"/>
              <a:gd name="connsiteY0" fmla="*/ 738257 h 7203166"/>
              <a:gd name="connsiteX1" fmla="*/ 3482566 w 8248395"/>
              <a:gd name="connsiteY1" fmla="*/ 301805 h 7203166"/>
              <a:gd name="connsiteX2" fmla="*/ 8184609 w 8248395"/>
              <a:gd name="connsiteY2" fmla="*/ 1034820 h 7203166"/>
              <a:gd name="connsiteX3" fmla="*/ 8248395 w 8248395"/>
              <a:gd name="connsiteY3" fmla="*/ 7203166 h 7203166"/>
              <a:gd name="connsiteX4" fmla="*/ 7435 w 8248395"/>
              <a:gd name="connsiteY4" fmla="*/ 6970017 h 7203166"/>
              <a:gd name="connsiteX5" fmla="*/ 0 w 8248395"/>
              <a:gd name="connsiteY5" fmla="*/ 738257 h 7203166"/>
              <a:gd name="connsiteX0" fmla="*/ 0 w 8248395"/>
              <a:gd name="connsiteY0" fmla="*/ 586920 h 7051829"/>
              <a:gd name="connsiteX1" fmla="*/ 3482566 w 8248395"/>
              <a:gd name="connsiteY1" fmla="*/ 150468 h 7051829"/>
              <a:gd name="connsiteX2" fmla="*/ 8184609 w 8248395"/>
              <a:gd name="connsiteY2" fmla="*/ 883483 h 7051829"/>
              <a:gd name="connsiteX3" fmla="*/ 8248395 w 8248395"/>
              <a:gd name="connsiteY3" fmla="*/ 7051829 h 7051829"/>
              <a:gd name="connsiteX4" fmla="*/ 7435 w 8248395"/>
              <a:gd name="connsiteY4" fmla="*/ 6818680 h 7051829"/>
              <a:gd name="connsiteX5" fmla="*/ 0 w 8248395"/>
              <a:gd name="connsiteY5" fmla="*/ 586920 h 7051829"/>
              <a:gd name="connsiteX0" fmla="*/ 0 w 8248395"/>
              <a:gd name="connsiteY0" fmla="*/ 638211 h 7103120"/>
              <a:gd name="connsiteX1" fmla="*/ 8184609 w 8248395"/>
              <a:gd name="connsiteY1" fmla="*/ 934774 h 7103120"/>
              <a:gd name="connsiteX2" fmla="*/ 8248395 w 8248395"/>
              <a:gd name="connsiteY2" fmla="*/ 7103120 h 7103120"/>
              <a:gd name="connsiteX3" fmla="*/ 7435 w 8248395"/>
              <a:gd name="connsiteY3" fmla="*/ 6869971 h 7103120"/>
              <a:gd name="connsiteX4" fmla="*/ 0 w 8248395"/>
              <a:gd name="connsiteY4" fmla="*/ 638211 h 7103120"/>
              <a:gd name="connsiteX0" fmla="*/ 0 w 8259379"/>
              <a:gd name="connsiteY0" fmla="*/ 676991 h 7141900"/>
              <a:gd name="connsiteX1" fmla="*/ 8258389 w 8259379"/>
              <a:gd name="connsiteY1" fmla="*/ 882444 h 7141900"/>
              <a:gd name="connsiteX2" fmla="*/ 8248395 w 8259379"/>
              <a:gd name="connsiteY2" fmla="*/ 7141900 h 7141900"/>
              <a:gd name="connsiteX3" fmla="*/ 7435 w 8259379"/>
              <a:gd name="connsiteY3" fmla="*/ 6908751 h 7141900"/>
              <a:gd name="connsiteX4" fmla="*/ 0 w 8259379"/>
              <a:gd name="connsiteY4" fmla="*/ 676991 h 7141900"/>
              <a:gd name="connsiteX0" fmla="*/ 0 w 8259379"/>
              <a:gd name="connsiteY0" fmla="*/ 13076 h 6477985"/>
              <a:gd name="connsiteX1" fmla="*/ 8258389 w 8259379"/>
              <a:gd name="connsiteY1" fmla="*/ 218529 h 6477985"/>
              <a:gd name="connsiteX2" fmla="*/ 8248395 w 8259379"/>
              <a:gd name="connsiteY2" fmla="*/ 6477985 h 6477985"/>
              <a:gd name="connsiteX3" fmla="*/ 7435 w 8259379"/>
              <a:gd name="connsiteY3" fmla="*/ 6244836 h 6477985"/>
              <a:gd name="connsiteX4" fmla="*/ 0 w 8259379"/>
              <a:gd name="connsiteY4" fmla="*/ 13076 h 6477985"/>
              <a:gd name="connsiteX0" fmla="*/ 0 w 8259379"/>
              <a:gd name="connsiteY0" fmla="*/ 72833 h 6537742"/>
              <a:gd name="connsiteX1" fmla="*/ 8258389 w 8259379"/>
              <a:gd name="connsiteY1" fmla="*/ 278286 h 6537742"/>
              <a:gd name="connsiteX2" fmla="*/ 8248395 w 8259379"/>
              <a:gd name="connsiteY2" fmla="*/ 6537742 h 6537742"/>
              <a:gd name="connsiteX3" fmla="*/ 7435 w 8259379"/>
              <a:gd name="connsiteY3" fmla="*/ 6304593 h 6537742"/>
              <a:gd name="connsiteX4" fmla="*/ 0 w 8259379"/>
              <a:gd name="connsiteY4" fmla="*/ 72833 h 6537742"/>
              <a:gd name="connsiteX0" fmla="*/ 0 w 8259379"/>
              <a:gd name="connsiteY0" fmla="*/ 72833 h 6537742"/>
              <a:gd name="connsiteX1" fmla="*/ 8258389 w 8259379"/>
              <a:gd name="connsiteY1" fmla="*/ 278286 h 6537742"/>
              <a:gd name="connsiteX2" fmla="*/ 8248395 w 8259379"/>
              <a:gd name="connsiteY2" fmla="*/ 6537742 h 6537742"/>
              <a:gd name="connsiteX3" fmla="*/ 1016 w 8259379"/>
              <a:gd name="connsiteY3" fmla="*/ 1538458 h 6537742"/>
              <a:gd name="connsiteX4" fmla="*/ 0 w 8259379"/>
              <a:gd name="connsiteY4" fmla="*/ 72833 h 6537742"/>
              <a:gd name="connsiteX0" fmla="*/ 0 w 8258427"/>
              <a:gd name="connsiteY0" fmla="*/ 72833 h 1563666"/>
              <a:gd name="connsiteX1" fmla="*/ 8258389 w 8258427"/>
              <a:gd name="connsiteY1" fmla="*/ 278286 h 1563666"/>
              <a:gd name="connsiteX2" fmla="*/ 7625715 w 8258427"/>
              <a:gd name="connsiteY2" fmla="*/ 1559778 h 1563666"/>
              <a:gd name="connsiteX3" fmla="*/ 1016 w 8258427"/>
              <a:gd name="connsiteY3" fmla="*/ 1538458 h 1563666"/>
              <a:gd name="connsiteX4" fmla="*/ 0 w 8258427"/>
              <a:gd name="connsiteY4" fmla="*/ 72833 h 1563666"/>
              <a:gd name="connsiteX0" fmla="*/ 0 w 7625715"/>
              <a:gd name="connsiteY0" fmla="*/ 48159 h 1538992"/>
              <a:gd name="connsiteX1" fmla="*/ 7622870 w 7625715"/>
              <a:gd name="connsiteY1" fmla="*/ 280093 h 1538992"/>
              <a:gd name="connsiteX2" fmla="*/ 7625715 w 7625715"/>
              <a:gd name="connsiteY2" fmla="*/ 1535104 h 1538992"/>
              <a:gd name="connsiteX3" fmla="*/ 1016 w 7625715"/>
              <a:gd name="connsiteY3" fmla="*/ 1513784 h 1538992"/>
              <a:gd name="connsiteX4" fmla="*/ 0 w 7625715"/>
              <a:gd name="connsiteY4" fmla="*/ 48159 h 1538992"/>
              <a:gd name="connsiteX0" fmla="*/ 0 w 7625715"/>
              <a:gd name="connsiteY0" fmla="*/ 48155 h 1538988"/>
              <a:gd name="connsiteX1" fmla="*/ 7622870 w 7625715"/>
              <a:gd name="connsiteY1" fmla="*/ 280089 h 1538988"/>
              <a:gd name="connsiteX2" fmla="*/ 7625715 w 7625715"/>
              <a:gd name="connsiteY2" fmla="*/ 1535100 h 1538988"/>
              <a:gd name="connsiteX3" fmla="*/ 1016 w 7625715"/>
              <a:gd name="connsiteY3" fmla="*/ 1513780 h 1538988"/>
              <a:gd name="connsiteX4" fmla="*/ 0 w 7625715"/>
              <a:gd name="connsiteY4" fmla="*/ 48155 h 1538988"/>
              <a:gd name="connsiteX0" fmla="*/ 0 w 7625715"/>
              <a:gd name="connsiteY0" fmla="*/ 48155 h 1538988"/>
              <a:gd name="connsiteX1" fmla="*/ 7622870 w 7625715"/>
              <a:gd name="connsiteY1" fmla="*/ 280089 h 1538988"/>
              <a:gd name="connsiteX2" fmla="*/ 7625715 w 7625715"/>
              <a:gd name="connsiteY2" fmla="*/ 1535100 h 1538988"/>
              <a:gd name="connsiteX3" fmla="*/ 1016 w 7625715"/>
              <a:gd name="connsiteY3" fmla="*/ 1513780 h 1538988"/>
              <a:gd name="connsiteX4" fmla="*/ 0 w 7625715"/>
              <a:gd name="connsiteY4" fmla="*/ 48155 h 1538988"/>
              <a:gd name="connsiteX0" fmla="*/ 0 w 7622872"/>
              <a:gd name="connsiteY0" fmla="*/ 48155 h 1529644"/>
              <a:gd name="connsiteX1" fmla="*/ 7622870 w 7622872"/>
              <a:gd name="connsiteY1" fmla="*/ 280089 h 1529644"/>
              <a:gd name="connsiteX2" fmla="*/ 7395928 w 7622872"/>
              <a:gd name="connsiteY2" fmla="*/ 1432046 h 1529644"/>
              <a:gd name="connsiteX3" fmla="*/ 1016 w 7622872"/>
              <a:gd name="connsiteY3" fmla="*/ 1513780 h 1529644"/>
              <a:gd name="connsiteX4" fmla="*/ 0 w 7622872"/>
              <a:gd name="connsiteY4" fmla="*/ 48155 h 1529644"/>
              <a:gd name="connsiteX0" fmla="*/ 0 w 7395928"/>
              <a:gd name="connsiteY0" fmla="*/ 240829 h 1722318"/>
              <a:gd name="connsiteX1" fmla="*/ 7360257 w 7395928"/>
              <a:gd name="connsiteY1" fmla="*/ 266657 h 1722318"/>
              <a:gd name="connsiteX2" fmla="*/ 7395928 w 7395928"/>
              <a:gd name="connsiteY2" fmla="*/ 1624720 h 1722318"/>
              <a:gd name="connsiteX3" fmla="*/ 1016 w 7395928"/>
              <a:gd name="connsiteY3" fmla="*/ 1706454 h 1722318"/>
              <a:gd name="connsiteX4" fmla="*/ 0 w 7395928"/>
              <a:gd name="connsiteY4" fmla="*/ 240829 h 1722318"/>
              <a:gd name="connsiteX0" fmla="*/ 0 w 7371308"/>
              <a:gd name="connsiteY0" fmla="*/ 240829 h 1720598"/>
              <a:gd name="connsiteX1" fmla="*/ 7360257 w 7371308"/>
              <a:gd name="connsiteY1" fmla="*/ 266657 h 1720598"/>
              <a:gd name="connsiteX2" fmla="*/ 7371308 w 7371308"/>
              <a:gd name="connsiteY2" fmla="*/ 1590369 h 1720598"/>
              <a:gd name="connsiteX3" fmla="*/ 1016 w 7371308"/>
              <a:gd name="connsiteY3" fmla="*/ 1706454 h 1720598"/>
              <a:gd name="connsiteX4" fmla="*/ 0 w 7371308"/>
              <a:gd name="connsiteY4" fmla="*/ 240829 h 1720598"/>
              <a:gd name="connsiteX0" fmla="*/ 0 w 7371308"/>
              <a:gd name="connsiteY0" fmla="*/ 240829 h 1720594"/>
              <a:gd name="connsiteX1" fmla="*/ 7360257 w 7371308"/>
              <a:gd name="connsiteY1" fmla="*/ 266657 h 1720594"/>
              <a:gd name="connsiteX2" fmla="*/ 7371308 w 7371308"/>
              <a:gd name="connsiteY2" fmla="*/ 1590369 h 1720594"/>
              <a:gd name="connsiteX3" fmla="*/ 1016 w 7371308"/>
              <a:gd name="connsiteY3" fmla="*/ 1706454 h 1720594"/>
              <a:gd name="connsiteX4" fmla="*/ 0 w 7371308"/>
              <a:gd name="connsiteY4" fmla="*/ 240829 h 1720594"/>
              <a:gd name="connsiteX0" fmla="*/ 0 w 7371308"/>
              <a:gd name="connsiteY0" fmla="*/ 240829 h 1590369"/>
              <a:gd name="connsiteX1" fmla="*/ 7360257 w 7371308"/>
              <a:gd name="connsiteY1" fmla="*/ 266657 h 1590369"/>
              <a:gd name="connsiteX2" fmla="*/ 7371308 w 7371308"/>
              <a:gd name="connsiteY2" fmla="*/ 1590369 h 1590369"/>
              <a:gd name="connsiteX3" fmla="*/ 1016 w 7371308"/>
              <a:gd name="connsiteY3" fmla="*/ 1534696 h 1590369"/>
              <a:gd name="connsiteX4" fmla="*/ 0 w 7371308"/>
              <a:gd name="connsiteY4" fmla="*/ 240829 h 15903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7371308" h="1590369">
                <a:moveTo>
                  <a:pt x="0" y="240829"/>
                </a:moveTo>
                <a:cubicBezTo>
                  <a:pt x="1879315" y="2759211"/>
                  <a:pt x="5653520" y="-993039"/>
                  <a:pt x="7360257" y="266657"/>
                </a:cubicBezTo>
                <a:cubicBezTo>
                  <a:pt x="7363941" y="707894"/>
                  <a:pt x="7367624" y="1149132"/>
                  <a:pt x="7371308" y="1590369"/>
                </a:cubicBezTo>
                <a:cubicBezTo>
                  <a:pt x="4624321" y="1512653"/>
                  <a:pt x="2748003" y="1612412"/>
                  <a:pt x="1016" y="1534696"/>
                </a:cubicBezTo>
                <a:cubicBezTo>
                  <a:pt x="677" y="1046154"/>
                  <a:pt x="339" y="729371"/>
                  <a:pt x="0" y="240829"/>
                </a:cubicBezTo>
                <a:close/>
              </a:path>
            </a:pathLst>
          </a:custGeom>
          <a:gradFill flip="none" rotWithShape="1">
            <a:gsLst>
              <a:gs pos="82000">
                <a:schemeClr val="bg1">
                  <a:alpha val="0"/>
                </a:schemeClr>
              </a:gs>
              <a:gs pos="0">
                <a:schemeClr val="accent6">
                  <a:alpha val="42000"/>
                </a:schemeClr>
              </a:gs>
              <a:gs pos="32000">
                <a:schemeClr val="accent6">
                  <a:alpha val="24000"/>
                </a:schemeClr>
              </a:gs>
            </a:gsLst>
            <a:lin ang="5400000" scaled="1"/>
            <a:tileRect/>
          </a:gra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2" name="Forma libre 41"/>
          <xdr:cNvSpPr/>
        </xdr:nvSpPr>
        <xdr:spPr>
          <a:xfrm flipV="1">
            <a:off x="341193" y="1174960"/>
            <a:ext cx="8273347" cy="302289"/>
          </a:xfrm>
          <a:custGeom>
            <a:avLst/>
            <a:gdLst>
              <a:gd name="connsiteX0" fmla="*/ 38100 w 8248650"/>
              <a:gd name="connsiteY0" fmla="*/ 0 h 3686175"/>
              <a:gd name="connsiteX1" fmla="*/ 4857750 w 8248650"/>
              <a:gd name="connsiteY1" fmla="*/ 962025 h 3686175"/>
              <a:gd name="connsiteX2" fmla="*/ 8248650 w 8248650"/>
              <a:gd name="connsiteY2" fmla="*/ 190500 h 3686175"/>
              <a:gd name="connsiteX3" fmla="*/ 8248650 w 8248650"/>
              <a:gd name="connsiteY3" fmla="*/ 3686175 h 3686175"/>
              <a:gd name="connsiteX4" fmla="*/ 0 w 8248650"/>
              <a:gd name="connsiteY4" fmla="*/ 3667125 h 3686175"/>
              <a:gd name="connsiteX5" fmla="*/ 38100 w 8248650"/>
              <a:gd name="connsiteY5" fmla="*/ 0 h 3686175"/>
              <a:gd name="connsiteX0" fmla="*/ 38100 w 8248650"/>
              <a:gd name="connsiteY0" fmla="*/ 90366 h 3776541"/>
              <a:gd name="connsiteX1" fmla="*/ 4857750 w 8248650"/>
              <a:gd name="connsiteY1" fmla="*/ 1052391 h 3776541"/>
              <a:gd name="connsiteX2" fmla="*/ 8248650 w 8248650"/>
              <a:gd name="connsiteY2" fmla="*/ 280866 h 3776541"/>
              <a:gd name="connsiteX3" fmla="*/ 8248650 w 8248650"/>
              <a:gd name="connsiteY3" fmla="*/ 3776541 h 3776541"/>
              <a:gd name="connsiteX4" fmla="*/ 0 w 8248650"/>
              <a:gd name="connsiteY4" fmla="*/ 3757491 h 3776541"/>
              <a:gd name="connsiteX5" fmla="*/ 38100 w 8248650"/>
              <a:gd name="connsiteY5" fmla="*/ 90366 h 3776541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204054 h 3890229"/>
              <a:gd name="connsiteX1" fmla="*/ 4857750 w 8248650"/>
              <a:gd name="connsiteY1" fmla="*/ 1166079 h 3890229"/>
              <a:gd name="connsiteX2" fmla="*/ 8248650 w 8248650"/>
              <a:gd name="connsiteY2" fmla="*/ 1994754 h 3890229"/>
              <a:gd name="connsiteX3" fmla="*/ 8248650 w 8248650"/>
              <a:gd name="connsiteY3" fmla="*/ 3890229 h 3890229"/>
              <a:gd name="connsiteX4" fmla="*/ 0 w 8248650"/>
              <a:gd name="connsiteY4" fmla="*/ 3871179 h 3890229"/>
              <a:gd name="connsiteX5" fmla="*/ 38100 w 8248650"/>
              <a:gd name="connsiteY5" fmla="*/ 204054 h 3890229"/>
              <a:gd name="connsiteX0" fmla="*/ 38100 w 8248650"/>
              <a:gd name="connsiteY0" fmla="*/ 89615 h 3775790"/>
              <a:gd name="connsiteX1" fmla="*/ 4857750 w 8248650"/>
              <a:gd name="connsiteY1" fmla="*/ 1051640 h 3775790"/>
              <a:gd name="connsiteX2" fmla="*/ 8231357 w 8248650"/>
              <a:gd name="connsiteY2" fmla="*/ 190298 h 3775790"/>
              <a:gd name="connsiteX3" fmla="*/ 8248650 w 8248650"/>
              <a:gd name="connsiteY3" fmla="*/ 3775790 h 3775790"/>
              <a:gd name="connsiteX4" fmla="*/ 0 w 8248650"/>
              <a:gd name="connsiteY4" fmla="*/ 3756740 h 3775790"/>
              <a:gd name="connsiteX5" fmla="*/ 38100 w 8248650"/>
              <a:gd name="connsiteY5" fmla="*/ 89615 h 3775790"/>
              <a:gd name="connsiteX0" fmla="*/ 38100 w 8248650"/>
              <a:gd name="connsiteY0" fmla="*/ 366030 h 4052205"/>
              <a:gd name="connsiteX1" fmla="*/ 4857750 w 8248650"/>
              <a:gd name="connsiteY1" fmla="*/ 1328055 h 4052205"/>
              <a:gd name="connsiteX2" fmla="*/ 8231357 w 8248650"/>
              <a:gd name="connsiteY2" fmla="*/ 466713 h 4052205"/>
              <a:gd name="connsiteX3" fmla="*/ 8248650 w 8248650"/>
              <a:gd name="connsiteY3" fmla="*/ 4052205 h 4052205"/>
              <a:gd name="connsiteX4" fmla="*/ 0 w 8248650"/>
              <a:gd name="connsiteY4" fmla="*/ 4033155 h 4052205"/>
              <a:gd name="connsiteX5" fmla="*/ 38100 w 8248650"/>
              <a:gd name="connsiteY5" fmla="*/ 366030 h 4052205"/>
              <a:gd name="connsiteX0" fmla="*/ 38100 w 8248650"/>
              <a:gd name="connsiteY0" fmla="*/ 394750 h 4080925"/>
              <a:gd name="connsiteX1" fmla="*/ 4511894 w 8248650"/>
              <a:gd name="connsiteY1" fmla="*/ 1165451 h 4080925"/>
              <a:gd name="connsiteX2" fmla="*/ 8231357 w 8248650"/>
              <a:gd name="connsiteY2" fmla="*/ 495433 h 4080925"/>
              <a:gd name="connsiteX3" fmla="*/ 8248650 w 8248650"/>
              <a:gd name="connsiteY3" fmla="*/ 4080925 h 4080925"/>
              <a:gd name="connsiteX4" fmla="*/ 0 w 8248650"/>
              <a:gd name="connsiteY4" fmla="*/ 4061875 h 4080925"/>
              <a:gd name="connsiteX5" fmla="*/ 38100 w 8248650"/>
              <a:gd name="connsiteY5" fmla="*/ 394750 h 4080925"/>
              <a:gd name="connsiteX0" fmla="*/ 38100 w 8248650"/>
              <a:gd name="connsiteY0" fmla="*/ 394750 h 4080925"/>
              <a:gd name="connsiteX1" fmla="*/ 4511894 w 8248650"/>
              <a:gd name="connsiteY1" fmla="*/ 1165451 h 4080925"/>
              <a:gd name="connsiteX2" fmla="*/ 8231357 w 8248650"/>
              <a:gd name="connsiteY2" fmla="*/ 495433 h 4080925"/>
              <a:gd name="connsiteX3" fmla="*/ 8248650 w 8248650"/>
              <a:gd name="connsiteY3" fmla="*/ 4080925 h 4080925"/>
              <a:gd name="connsiteX4" fmla="*/ 0 w 8248650"/>
              <a:gd name="connsiteY4" fmla="*/ 4061875 h 4080925"/>
              <a:gd name="connsiteX5" fmla="*/ 38100 w 8248650"/>
              <a:gd name="connsiteY5" fmla="*/ 394750 h 4080925"/>
              <a:gd name="connsiteX0" fmla="*/ 38100 w 8248650"/>
              <a:gd name="connsiteY0" fmla="*/ 399879 h 4086054"/>
              <a:gd name="connsiteX1" fmla="*/ 4935567 w 8248650"/>
              <a:gd name="connsiteY1" fmla="*/ 1138693 h 4086054"/>
              <a:gd name="connsiteX2" fmla="*/ 8231357 w 8248650"/>
              <a:gd name="connsiteY2" fmla="*/ 500562 h 4086054"/>
              <a:gd name="connsiteX3" fmla="*/ 8248650 w 8248650"/>
              <a:gd name="connsiteY3" fmla="*/ 4086054 h 4086054"/>
              <a:gd name="connsiteX4" fmla="*/ 0 w 8248650"/>
              <a:gd name="connsiteY4" fmla="*/ 4067004 h 4086054"/>
              <a:gd name="connsiteX5" fmla="*/ 38100 w 8248650"/>
              <a:gd name="connsiteY5" fmla="*/ 399879 h 4086054"/>
              <a:gd name="connsiteX0" fmla="*/ 38100 w 8248650"/>
              <a:gd name="connsiteY0" fmla="*/ 352863 h 4039038"/>
              <a:gd name="connsiteX1" fmla="*/ 4935567 w 8248650"/>
              <a:gd name="connsiteY1" fmla="*/ 1091677 h 4039038"/>
              <a:gd name="connsiteX2" fmla="*/ 8231357 w 8248650"/>
              <a:gd name="connsiteY2" fmla="*/ 453546 h 4039038"/>
              <a:gd name="connsiteX3" fmla="*/ 8248650 w 8248650"/>
              <a:gd name="connsiteY3" fmla="*/ 4039038 h 4039038"/>
              <a:gd name="connsiteX4" fmla="*/ 0 w 8248650"/>
              <a:gd name="connsiteY4" fmla="*/ 4019988 h 4039038"/>
              <a:gd name="connsiteX5" fmla="*/ 38100 w 8248650"/>
              <a:gd name="connsiteY5" fmla="*/ 352863 h 4039038"/>
              <a:gd name="connsiteX0" fmla="*/ 38100 w 8248650"/>
              <a:gd name="connsiteY0" fmla="*/ 360827 h 4047002"/>
              <a:gd name="connsiteX1" fmla="*/ 4935567 w 8248650"/>
              <a:gd name="connsiteY1" fmla="*/ 1099641 h 4047002"/>
              <a:gd name="connsiteX2" fmla="*/ 8231357 w 8248650"/>
              <a:gd name="connsiteY2" fmla="*/ 461510 h 4047002"/>
              <a:gd name="connsiteX3" fmla="*/ 8248650 w 8248650"/>
              <a:gd name="connsiteY3" fmla="*/ 4047002 h 4047002"/>
              <a:gd name="connsiteX4" fmla="*/ 0 w 8248650"/>
              <a:gd name="connsiteY4" fmla="*/ 4027952 h 4047002"/>
              <a:gd name="connsiteX5" fmla="*/ 38100 w 8248650"/>
              <a:gd name="connsiteY5" fmla="*/ 360827 h 4047002"/>
              <a:gd name="connsiteX0" fmla="*/ 38100 w 8248650"/>
              <a:gd name="connsiteY0" fmla="*/ 179712 h 3865887"/>
              <a:gd name="connsiteX1" fmla="*/ 4719408 w 8248650"/>
              <a:gd name="connsiteY1" fmla="*/ 3054963 h 3865887"/>
              <a:gd name="connsiteX2" fmla="*/ 8231357 w 8248650"/>
              <a:gd name="connsiteY2" fmla="*/ 280395 h 3865887"/>
              <a:gd name="connsiteX3" fmla="*/ 8248650 w 8248650"/>
              <a:gd name="connsiteY3" fmla="*/ 3865887 h 3865887"/>
              <a:gd name="connsiteX4" fmla="*/ 0 w 8248650"/>
              <a:gd name="connsiteY4" fmla="*/ 3846837 h 3865887"/>
              <a:gd name="connsiteX5" fmla="*/ 38100 w 8248650"/>
              <a:gd name="connsiteY5" fmla="*/ 179712 h 3865887"/>
              <a:gd name="connsiteX0" fmla="*/ 38100 w 8248650"/>
              <a:gd name="connsiteY0" fmla="*/ 327735 h 4013910"/>
              <a:gd name="connsiteX1" fmla="*/ 5264131 w 8248650"/>
              <a:gd name="connsiteY1" fmla="*/ 1321646 h 4013910"/>
              <a:gd name="connsiteX2" fmla="*/ 8231357 w 8248650"/>
              <a:gd name="connsiteY2" fmla="*/ 428418 h 4013910"/>
              <a:gd name="connsiteX3" fmla="*/ 8248650 w 8248650"/>
              <a:gd name="connsiteY3" fmla="*/ 4013910 h 4013910"/>
              <a:gd name="connsiteX4" fmla="*/ 0 w 8248650"/>
              <a:gd name="connsiteY4" fmla="*/ 3994860 h 4013910"/>
              <a:gd name="connsiteX5" fmla="*/ 38100 w 8248650"/>
              <a:gd name="connsiteY5" fmla="*/ 327735 h 4013910"/>
              <a:gd name="connsiteX0" fmla="*/ 72686 w 8248650"/>
              <a:gd name="connsiteY0" fmla="*/ 1110817 h 4063587"/>
              <a:gd name="connsiteX1" fmla="*/ 5264131 w 8248650"/>
              <a:gd name="connsiteY1" fmla="*/ 1371323 h 4063587"/>
              <a:gd name="connsiteX2" fmla="*/ 8231357 w 8248650"/>
              <a:gd name="connsiteY2" fmla="*/ 478095 h 4063587"/>
              <a:gd name="connsiteX3" fmla="*/ 8248650 w 8248650"/>
              <a:gd name="connsiteY3" fmla="*/ 4063587 h 4063587"/>
              <a:gd name="connsiteX4" fmla="*/ 0 w 8248650"/>
              <a:gd name="connsiteY4" fmla="*/ 4044537 h 4063587"/>
              <a:gd name="connsiteX5" fmla="*/ 72686 w 8248650"/>
              <a:gd name="connsiteY5" fmla="*/ 1110817 h 4063587"/>
              <a:gd name="connsiteX0" fmla="*/ 72686 w 8248650"/>
              <a:gd name="connsiteY0" fmla="*/ 1110817 h 4063587"/>
              <a:gd name="connsiteX1" fmla="*/ 5264131 w 8248650"/>
              <a:gd name="connsiteY1" fmla="*/ 1371323 h 4063587"/>
              <a:gd name="connsiteX2" fmla="*/ 8231357 w 8248650"/>
              <a:gd name="connsiteY2" fmla="*/ 478095 h 4063587"/>
              <a:gd name="connsiteX3" fmla="*/ 8248650 w 8248650"/>
              <a:gd name="connsiteY3" fmla="*/ 4063587 h 4063587"/>
              <a:gd name="connsiteX4" fmla="*/ 0 w 8248650"/>
              <a:gd name="connsiteY4" fmla="*/ 4044537 h 4063587"/>
              <a:gd name="connsiteX5" fmla="*/ 72686 w 8248650"/>
              <a:gd name="connsiteY5" fmla="*/ 1110817 h 4063587"/>
              <a:gd name="connsiteX0" fmla="*/ 72686 w 8248650"/>
              <a:gd name="connsiteY0" fmla="*/ 2714788 h 5667558"/>
              <a:gd name="connsiteX1" fmla="*/ 4857751 w 8248650"/>
              <a:gd name="connsiteY1" fmla="*/ 9793 h 5667558"/>
              <a:gd name="connsiteX2" fmla="*/ 8231357 w 8248650"/>
              <a:gd name="connsiteY2" fmla="*/ 2082066 h 5667558"/>
              <a:gd name="connsiteX3" fmla="*/ 8248650 w 8248650"/>
              <a:gd name="connsiteY3" fmla="*/ 5667558 h 5667558"/>
              <a:gd name="connsiteX4" fmla="*/ 0 w 8248650"/>
              <a:gd name="connsiteY4" fmla="*/ 5648508 h 5667558"/>
              <a:gd name="connsiteX5" fmla="*/ 72686 w 8248650"/>
              <a:gd name="connsiteY5" fmla="*/ 2714788 h 5667558"/>
              <a:gd name="connsiteX0" fmla="*/ 72686 w 8248650"/>
              <a:gd name="connsiteY0" fmla="*/ 1097092 h 4049862"/>
              <a:gd name="connsiteX1" fmla="*/ 4166040 w 8248650"/>
              <a:gd name="connsiteY1" fmla="*/ 1453260 h 4049862"/>
              <a:gd name="connsiteX2" fmla="*/ 8231357 w 8248650"/>
              <a:gd name="connsiteY2" fmla="*/ 464370 h 4049862"/>
              <a:gd name="connsiteX3" fmla="*/ 8248650 w 8248650"/>
              <a:gd name="connsiteY3" fmla="*/ 4049862 h 4049862"/>
              <a:gd name="connsiteX4" fmla="*/ 0 w 8248650"/>
              <a:gd name="connsiteY4" fmla="*/ 4030812 h 4049862"/>
              <a:gd name="connsiteX5" fmla="*/ 72686 w 8248650"/>
              <a:gd name="connsiteY5" fmla="*/ 1097092 h 4049862"/>
              <a:gd name="connsiteX0" fmla="*/ 64040 w 8248650"/>
              <a:gd name="connsiteY0" fmla="*/ 325178 h 4362111"/>
              <a:gd name="connsiteX1" fmla="*/ 4166040 w 8248650"/>
              <a:gd name="connsiteY1" fmla="*/ 1765509 h 4362111"/>
              <a:gd name="connsiteX2" fmla="*/ 8231357 w 8248650"/>
              <a:gd name="connsiteY2" fmla="*/ 776619 h 4362111"/>
              <a:gd name="connsiteX3" fmla="*/ 8248650 w 8248650"/>
              <a:gd name="connsiteY3" fmla="*/ 4362111 h 4362111"/>
              <a:gd name="connsiteX4" fmla="*/ 0 w 8248650"/>
              <a:gd name="connsiteY4" fmla="*/ 4343061 h 4362111"/>
              <a:gd name="connsiteX5" fmla="*/ 64040 w 8248650"/>
              <a:gd name="connsiteY5" fmla="*/ 325178 h 4362111"/>
              <a:gd name="connsiteX0" fmla="*/ 64040 w 8248650"/>
              <a:gd name="connsiteY0" fmla="*/ 322403 h 4359336"/>
              <a:gd name="connsiteX1" fmla="*/ 4166040 w 8248650"/>
              <a:gd name="connsiteY1" fmla="*/ 1762734 h 4359336"/>
              <a:gd name="connsiteX2" fmla="*/ 8231357 w 8248650"/>
              <a:gd name="connsiteY2" fmla="*/ 773844 h 4359336"/>
              <a:gd name="connsiteX3" fmla="*/ 8248650 w 8248650"/>
              <a:gd name="connsiteY3" fmla="*/ 4359336 h 4359336"/>
              <a:gd name="connsiteX4" fmla="*/ 0 w 8248650"/>
              <a:gd name="connsiteY4" fmla="*/ 4340286 h 4359336"/>
              <a:gd name="connsiteX5" fmla="*/ 64040 w 8248650"/>
              <a:gd name="connsiteY5" fmla="*/ 322403 h 4359336"/>
              <a:gd name="connsiteX0" fmla="*/ 46748 w 8248650"/>
              <a:gd name="connsiteY0" fmla="*/ 330370 h 4303529"/>
              <a:gd name="connsiteX1" fmla="*/ 4166040 w 8248650"/>
              <a:gd name="connsiteY1" fmla="*/ 1706927 h 4303529"/>
              <a:gd name="connsiteX2" fmla="*/ 8231357 w 8248650"/>
              <a:gd name="connsiteY2" fmla="*/ 718037 h 4303529"/>
              <a:gd name="connsiteX3" fmla="*/ 8248650 w 8248650"/>
              <a:gd name="connsiteY3" fmla="*/ 4303529 h 4303529"/>
              <a:gd name="connsiteX4" fmla="*/ 0 w 8248650"/>
              <a:gd name="connsiteY4" fmla="*/ 4284479 h 4303529"/>
              <a:gd name="connsiteX5" fmla="*/ 46748 w 8248650"/>
              <a:gd name="connsiteY5" fmla="*/ 330370 h 4303529"/>
              <a:gd name="connsiteX0" fmla="*/ 46748 w 8248650"/>
              <a:gd name="connsiteY0" fmla="*/ 343322 h 4316481"/>
              <a:gd name="connsiteX1" fmla="*/ 4217918 w 8248650"/>
              <a:gd name="connsiteY1" fmla="*/ 1592330 h 4316481"/>
              <a:gd name="connsiteX2" fmla="*/ 8231357 w 8248650"/>
              <a:gd name="connsiteY2" fmla="*/ 730989 h 4316481"/>
              <a:gd name="connsiteX3" fmla="*/ 8248650 w 8248650"/>
              <a:gd name="connsiteY3" fmla="*/ 4316481 h 4316481"/>
              <a:gd name="connsiteX4" fmla="*/ 0 w 8248650"/>
              <a:gd name="connsiteY4" fmla="*/ 4297431 h 4316481"/>
              <a:gd name="connsiteX5" fmla="*/ 46748 w 8248650"/>
              <a:gd name="connsiteY5" fmla="*/ 343322 h 4316481"/>
              <a:gd name="connsiteX0" fmla="*/ 46748 w 8248650"/>
              <a:gd name="connsiteY0" fmla="*/ 343322 h 4316481"/>
              <a:gd name="connsiteX1" fmla="*/ 4217918 w 8248650"/>
              <a:gd name="connsiteY1" fmla="*/ 1592330 h 4316481"/>
              <a:gd name="connsiteX2" fmla="*/ 8231357 w 8248650"/>
              <a:gd name="connsiteY2" fmla="*/ 730989 h 4316481"/>
              <a:gd name="connsiteX3" fmla="*/ 8248650 w 8248650"/>
              <a:gd name="connsiteY3" fmla="*/ 4316481 h 4316481"/>
              <a:gd name="connsiteX4" fmla="*/ 0 w 8248650"/>
              <a:gd name="connsiteY4" fmla="*/ 4297431 h 4316481"/>
              <a:gd name="connsiteX5" fmla="*/ 46748 w 8248650"/>
              <a:gd name="connsiteY5" fmla="*/ 343322 h 4316481"/>
              <a:gd name="connsiteX0" fmla="*/ 8248650 w 8331655"/>
              <a:gd name="connsiteY0" fmla="*/ 4316481 h 4622597"/>
              <a:gd name="connsiteX1" fmla="*/ 0 w 8331655"/>
              <a:gd name="connsiteY1" fmla="*/ 4297431 h 4622597"/>
              <a:gd name="connsiteX2" fmla="*/ 46748 w 8331655"/>
              <a:gd name="connsiteY2" fmla="*/ 343322 h 4622597"/>
              <a:gd name="connsiteX3" fmla="*/ 4217918 w 8331655"/>
              <a:gd name="connsiteY3" fmla="*/ 1592330 h 4622597"/>
              <a:gd name="connsiteX4" fmla="*/ 8231357 w 8331655"/>
              <a:gd name="connsiteY4" fmla="*/ 730989 h 4622597"/>
              <a:gd name="connsiteX5" fmla="*/ 8331655 w 8331655"/>
              <a:gd name="connsiteY5" fmla="*/ 4622597 h 4622597"/>
              <a:gd name="connsiteX0" fmla="*/ 8248650 w 8248650"/>
              <a:gd name="connsiteY0" fmla="*/ 4316481 h 4316481"/>
              <a:gd name="connsiteX1" fmla="*/ 0 w 8248650"/>
              <a:gd name="connsiteY1" fmla="*/ 4297431 h 4316481"/>
              <a:gd name="connsiteX2" fmla="*/ 46748 w 8248650"/>
              <a:gd name="connsiteY2" fmla="*/ 343322 h 4316481"/>
              <a:gd name="connsiteX3" fmla="*/ 4217918 w 8248650"/>
              <a:gd name="connsiteY3" fmla="*/ 1592330 h 4316481"/>
              <a:gd name="connsiteX4" fmla="*/ 8231357 w 8248650"/>
              <a:gd name="connsiteY4" fmla="*/ 730989 h 4316481"/>
              <a:gd name="connsiteX0" fmla="*/ 0 w 8231357"/>
              <a:gd name="connsiteY0" fmla="*/ 4297431 h 4297432"/>
              <a:gd name="connsiteX1" fmla="*/ 46748 w 8231357"/>
              <a:gd name="connsiteY1" fmla="*/ 343322 h 4297432"/>
              <a:gd name="connsiteX2" fmla="*/ 4217918 w 8231357"/>
              <a:gd name="connsiteY2" fmla="*/ 1592330 h 4297432"/>
              <a:gd name="connsiteX3" fmla="*/ 8231357 w 8231357"/>
              <a:gd name="connsiteY3" fmla="*/ 730989 h 4297432"/>
              <a:gd name="connsiteX0" fmla="*/ 0 w 8184609"/>
              <a:gd name="connsiteY0" fmla="*/ 343322 h 1593639"/>
              <a:gd name="connsiteX1" fmla="*/ 4171170 w 8184609"/>
              <a:gd name="connsiteY1" fmla="*/ 1592330 h 1593639"/>
              <a:gd name="connsiteX2" fmla="*/ 8184609 w 8184609"/>
              <a:gd name="connsiteY2" fmla="*/ 730989 h 1593639"/>
              <a:gd name="connsiteX0" fmla="*/ 0 w 8155480"/>
              <a:gd name="connsiteY0" fmla="*/ 325345 h 1790000"/>
              <a:gd name="connsiteX1" fmla="*/ 4142041 w 8155480"/>
              <a:gd name="connsiteY1" fmla="*/ 1786933 h 1790000"/>
              <a:gd name="connsiteX2" fmla="*/ 8155480 w 8155480"/>
              <a:gd name="connsiteY2" fmla="*/ 925592 h 1790000"/>
              <a:gd name="connsiteX0" fmla="*/ 0 w 8155480"/>
              <a:gd name="connsiteY0" fmla="*/ 156844 h 1621499"/>
              <a:gd name="connsiteX1" fmla="*/ 4142041 w 8155480"/>
              <a:gd name="connsiteY1" fmla="*/ 1618432 h 1621499"/>
              <a:gd name="connsiteX2" fmla="*/ 8155480 w 8155480"/>
              <a:gd name="connsiteY2" fmla="*/ 757091 h 1621499"/>
              <a:gd name="connsiteX0" fmla="*/ 0 w 8257432"/>
              <a:gd name="connsiteY0" fmla="*/ 156844 h 1621499"/>
              <a:gd name="connsiteX1" fmla="*/ 4142041 w 8257432"/>
              <a:gd name="connsiteY1" fmla="*/ 1618432 h 1621499"/>
              <a:gd name="connsiteX2" fmla="*/ 8257432 w 8257432"/>
              <a:gd name="connsiteY2" fmla="*/ 757092 h 1621499"/>
              <a:gd name="connsiteX0" fmla="*/ 0 w 8257432"/>
              <a:gd name="connsiteY0" fmla="*/ 156844 h 1621499"/>
              <a:gd name="connsiteX1" fmla="*/ 4142041 w 8257432"/>
              <a:gd name="connsiteY1" fmla="*/ 1618432 h 1621499"/>
              <a:gd name="connsiteX2" fmla="*/ 8257432 w 8257432"/>
              <a:gd name="connsiteY2" fmla="*/ 757092 h 1621499"/>
              <a:gd name="connsiteX0" fmla="*/ 0 w 8257432"/>
              <a:gd name="connsiteY0" fmla="*/ 174256 h 1638911"/>
              <a:gd name="connsiteX1" fmla="*/ 4142041 w 8257432"/>
              <a:gd name="connsiteY1" fmla="*/ 1635844 h 1638911"/>
              <a:gd name="connsiteX2" fmla="*/ 8257432 w 8257432"/>
              <a:gd name="connsiteY2" fmla="*/ 774504 h 1638911"/>
              <a:gd name="connsiteX0" fmla="*/ 0 w 8257432"/>
              <a:gd name="connsiteY0" fmla="*/ 183362 h 1487199"/>
              <a:gd name="connsiteX1" fmla="*/ 4142041 w 8257432"/>
              <a:gd name="connsiteY1" fmla="*/ 1485514 h 1487199"/>
              <a:gd name="connsiteX2" fmla="*/ 8257432 w 8257432"/>
              <a:gd name="connsiteY2" fmla="*/ 624174 h 1487199"/>
              <a:gd name="connsiteX0" fmla="*/ 0 w 8257432"/>
              <a:gd name="connsiteY0" fmla="*/ 258924 h 1562757"/>
              <a:gd name="connsiteX1" fmla="*/ 4142041 w 8257432"/>
              <a:gd name="connsiteY1" fmla="*/ 1561076 h 1562757"/>
              <a:gd name="connsiteX2" fmla="*/ 8257432 w 8257432"/>
              <a:gd name="connsiteY2" fmla="*/ 699736 h 1562757"/>
              <a:gd name="connsiteX0" fmla="*/ 0 w 8257432"/>
              <a:gd name="connsiteY0" fmla="*/ 258924 h 1562968"/>
              <a:gd name="connsiteX1" fmla="*/ 4142041 w 8257432"/>
              <a:gd name="connsiteY1" fmla="*/ 1561076 h 1562968"/>
              <a:gd name="connsiteX2" fmla="*/ 8257432 w 8257432"/>
              <a:gd name="connsiteY2" fmla="*/ 699736 h 1562968"/>
              <a:gd name="connsiteX0" fmla="*/ 0 w 8257432"/>
              <a:gd name="connsiteY0" fmla="*/ 272630 h 1591785"/>
              <a:gd name="connsiteX1" fmla="*/ 4142041 w 8257432"/>
              <a:gd name="connsiteY1" fmla="*/ 1574782 h 1591785"/>
              <a:gd name="connsiteX2" fmla="*/ 8257432 w 8257432"/>
              <a:gd name="connsiteY2" fmla="*/ 713442 h 1591785"/>
              <a:gd name="connsiteX0" fmla="*/ 0 w 9263282"/>
              <a:gd name="connsiteY0" fmla="*/ 272630 h 5198896"/>
              <a:gd name="connsiteX1" fmla="*/ 4142041 w 9263282"/>
              <a:gd name="connsiteY1" fmla="*/ 1574782 h 5198896"/>
              <a:gd name="connsiteX2" fmla="*/ 9263282 w 9263282"/>
              <a:gd name="connsiteY2" fmla="*/ 5198896 h 5198896"/>
              <a:gd name="connsiteX0" fmla="*/ 0 w 9263282"/>
              <a:gd name="connsiteY0" fmla="*/ 1 h 4926267"/>
              <a:gd name="connsiteX1" fmla="*/ 9263282 w 9263282"/>
              <a:gd name="connsiteY1" fmla="*/ 4926267 h 4926267"/>
              <a:gd name="connsiteX0" fmla="*/ 0 w 8206178"/>
              <a:gd name="connsiteY0" fmla="*/ 1 h 3076814"/>
              <a:gd name="connsiteX1" fmla="*/ 8206178 w 8206178"/>
              <a:gd name="connsiteY1" fmla="*/ 3076814 h 3076814"/>
              <a:gd name="connsiteX0" fmla="*/ 0 w 8206178"/>
              <a:gd name="connsiteY0" fmla="*/ 1 h 3076814"/>
              <a:gd name="connsiteX1" fmla="*/ 8206178 w 8206178"/>
              <a:gd name="connsiteY1" fmla="*/ 3076814 h 3076814"/>
              <a:gd name="connsiteX0" fmla="*/ 0 w 8206178"/>
              <a:gd name="connsiteY0" fmla="*/ 178328 h 3255141"/>
              <a:gd name="connsiteX1" fmla="*/ 8206178 w 8206178"/>
              <a:gd name="connsiteY1" fmla="*/ 3255141 h 3255141"/>
              <a:gd name="connsiteX0" fmla="*/ 0 w 8151020"/>
              <a:gd name="connsiteY0" fmla="*/ 449692 h 1789592"/>
              <a:gd name="connsiteX1" fmla="*/ 8151020 w 8151020"/>
              <a:gd name="connsiteY1" fmla="*/ 1789593 h 1789592"/>
              <a:gd name="connsiteX0" fmla="*/ 0 w 8151020"/>
              <a:gd name="connsiteY0" fmla="*/ 197269 h 1537169"/>
              <a:gd name="connsiteX1" fmla="*/ 8151020 w 8151020"/>
              <a:gd name="connsiteY1" fmla="*/ 1537170 h 1537169"/>
              <a:gd name="connsiteX0" fmla="*/ 0 w 8157915"/>
              <a:gd name="connsiteY0" fmla="*/ 208140 h 1430684"/>
              <a:gd name="connsiteX1" fmla="*/ 8157915 w 8157915"/>
              <a:gd name="connsiteY1" fmla="*/ 1430684 h 1430684"/>
              <a:gd name="connsiteX0" fmla="*/ 0 w 8157915"/>
              <a:gd name="connsiteY0" fmla="*/ 188689 h 1411233"/>
              <a:gd name="connsiteX1" fmla="*/ 8157915 w 8157915"/>
              <a:gd name="connsiteY1" fmla="*/ 1411233 h 1411233"/>
              <a:gd name="connsiteX0" fmla="*/ 0 w 8268233"/>
              <a:gd name="connsiteY0" fmla="*/ 361585 h 457483"/>
              <a:gd name="connsiteX1" fmla="*/ 8268233 w 8268233"/>
              <a:gd name="connsiteY1" fmla="*/ 457483 h 457483"/>
              <a:gd name="connsiteX0" fmla="*/ 0 w 7695959"/>
              <a:gd name="connsiteY0" fmla="*/ 325244 h 561974"/>
              <a:gd name="connsiteX1" fmla="*/ 7695959 w 7695959"/>
              <a:gd name="connsiteY1" fmla="*/ 561974 h 561974"/>
              <a:gd name="connsiteX0" fmla="*/ 0 w 8213075"/>
              <a:gd name="connsiteY0" fmla="*/ 461395 h 461395"/>
              <a:gd name="connsiteX1" fmla="*/ 8213075 w 8213075"/>
              <a:gd name="connsiteY1" fmla="*/ 275635 h 461395"/>
              <a:gd name="connsiteX0" fmla="*/ 0 w 8213075"/>
              <a:gd name="connsiteY0" fmla="*/ 185761 h 713139"/>
              <a:gd name="connsiteX1" fmla="*/ 8213075 w 8213075"/>
              <a:gd name="connsiteY1" fmla="*/ 1 h 713139"/>
              <a:gd name="connsiteX0" fmla="*/ 0 w 8213075"/>
              <a:gd name="connsiteY0" fmla="*/ 255470 h 731696"/>
              <a:gd name="connsiteX1" fmla="*/ 8213075 w 8213075"/>
              <a:gd name="connsiteY1" fmla="*/ 69710 h 731696"/>
              <a:gd name="connsiteX0" fmla="*/ 0 w 8213075"/>
              <a:gd name="connsiteY0" fmla="*/ 263846 h 736402"/>
              <a:gd name="connsiteX1" fmla="*/ 8213075 w 8213075"/>
              <a:gd name="connsiteY1" fmla="*/ 78086 h 736402"/>
              <a:gd name="connsiteX0" fmla="*/ 0 w 8213075"/>
              <a:gd name="connsiteY0" fmla="*/ 239417 h 864052"/>
              <a:gd name="connsiteX1" fmla="*/ 8213075 w 8213075"/>
              <a:gd name="connsiteY1" fmla="*/ 53657 h 864052"/>
              <a:gd name="connsiteX0" fmla="*/ 0 w 7878384"/>
              <a:gd name="connsiteY0" fmla="*/ 231491 h 956412"/>
              <a:gd name="connsiteX1" fmla="*/ 7878384 w 7878384"/>
              <a:gd name="connsiteY1" fmla="*/ 168089 h 95641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7878384" h="956412">
                <a:moveTo>
                  <a:pt x="0" y="231491"/>
                </a:moveTo>
                <a:cubicBezTo>
                  <a:pt x="1759324" y="-857189"/>
                  <a:pt x="6324706" y="2370481"/>
                  <a:pt x="7878384" y="168089"/>
                </a:cubicBezTo>
              </a:path>
            </a:pathLst>
          </a:custGeom>
          <a:noFill/>
          <a:ln w="50800">
            <a:gradFill flip="none" rotWithShape="1">
              <a:gsLst>
                <a:gs pos="0">
                  <a:schemeClr val="accent6">
                    <a:alpha val="35000"/>
                  </a:schemeClr>
                </a:gs>
                <a:gs pos="41000">
                  <a:schemeClr val="accent6">
                    <a:alpha val="0"/>
                  </a:schemeClr>
                </a:gs>
                <a:gs pos="100000">
                  <a:schemeClr val="bg1">
                    <a:alpha val="0"/>
                  </a:schemeClr>
                </a:gs>
              </a:gsLst>
              <a:lin ang="2700000" scaled="1"/>
              <a:tileRect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3" name="Forma libre 42"/>
          <xdr:cNvSpPr/>
        </xdr:nvSpPr>
        <xdr:spPr>
          <a:xfrm flipH="1" flipV="1">
            <a:off x="350645" y="1340732"/>
            <a:ext cx="8261062" cy="413414"/>
          </a:xfrm>
          <a:custGeom>
            <a:avLst/>
            <a:gdLst>
              <a:gd name="connsiteX0" fmla="*/ 38100 w 8248650"/>
              <a:gd name="connsiteY0" fmla="*/ 0 h 3686175"/>
              <a:gd name="connsiteX1" fmla="*/ 4857750 w 8248650"/>
              <a:gd name="connsiteY1" fmla="*/ 962025 h 3686175"/>
              <a:gd name="connsiteX2" fmla="*/ 8248650 w 8248650"/>
              <a:gd name="connsiteY2" fmla="*/ 190500 h 3686175"/>
              <a:gd name="connsiteX3" fmla="*/ 8248650 w 8248650"/>
              <a:gd name="connsiteY3" fmla="*/ 3686175 h 3686175"/>
              <a:gd name="connsiteX4" fmla="*/ 0 w 8248650"/>
              <a:gd name="connsiteY4" fmla="*/ 3667125 h 3686175"/>
              <a:gd name="connsiteX5" fmla="*/ 38100 w 8248650"/>
              <a:gd name="connsiteY5" fmla="*/ 0 h 3686175"/>
              <a:gd name="connsiteX0" fmla="*/ 38100 w 8248650"/>
              <a:gd name="connsiteY0" fmla="*/ 90366 h 3776541"/>
              <a:gd name="connsiteX1" fmla="*/ 4857750 w 8248650"/>
              <a:gd name="connsiteY1" fmla="*/ 1052391 h 3776541"/>
              <a:gd name="connsiteX2" fmla="*/ 8248650 w 8248650"/>
              <a:gd name="connsiteY2" fmla="*/ 280866 h 3776541"/>
              <a:gd name="connsiteX3" fmla="*/ 8248650 w 8248650"/>
              <a:gd name="connsiteY3" fmla="*/ 3776541 h 3776541"/>
              <a:gd name="connsiteX4" fmla="*/ 0 w 8248650"/>
              <a:gd name="connsiteY4" fmla="*/ 3757491 h 3776541"/>
              <a:gd name="connsiteX5" fmla="*/ 38100 w 8248650"/>
              <a:gd name="connsiteY5" fmla="*/ 90366 h 3776541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204054 h 3890229"/>
              <a:gd name="connsiteX1" fmla="*/ 4857750 w 8248650"/>
              <a:gd name="connsiteY1" fmla="*/ 1166079 h 3890229"/>
              <a:gd name="connsiteX2" fmla="*/ 8248650 w 8248650"/>
              <a:gd name="connsiteY2" fmla="*/ 1994754 h 3890229"/>
              <a:gd name="connsiteX3" fmla="*/ 8248650 w 8248650"/>
              <a:gd name="connsiteY3" fmla="*/ 3890229 h 3890229"/>
              <a:gd name="connsiteX4" fmla="*/ 0 w 8248650"/>
              <a:gd name="connsiteY4" fmla="*/ 3871179 h 3890229"/>
              <a:gd name="connsiteX5" fmla="*/ 38100 w 8248650"/>
              <a:gd name="connsiteY5" fmla="*/ 204054 h 3890229"/>
              <a:gd name="connsiteX0" fmla="*/ 38100 w 8248650"/>
              <a:gd name="connsiteY0" fmla="*/ 89615 h 3775790"/>
              <a:gd name="connsiteX1" fmla="*/ 4857750 w 8248650"/>
              <a:gd name="connsiteY1" fmla="*/ 1051640 h 3775790"/>
              <a:gd name="connsiteX2" fmla="*/ 8231357 w 8248650"/>
              <a:gd name="connsiteY2" fmla="*/ 190298 h 3775790"/>
              <a:gd name="connsiteX3" fmla="*/ 8248650 w 8248650"/>
              <a:gd name="connsiteY3" fmla="*/ 3775790 h 3775790"/>
              <a:gd name="connsiteX4" fmla="*/ 0 w 8248650"/>
              <a:gd name="connsiteY4" fmla="*/ 3756740 h 3775790"/>
              <a:gd name="connsiteX5" fmla="*/ 38100 w 8248650"/>
              <a:gd name="connsiteY5" fmla="*/ 89615 h 3775790"/>
              <a:gd name="connsiteX0" fmla="*/ 38100 w 8248650"/>
              <a:gd name="connsiteY0" fmla="*/ 366030 h 4052205"/>
              <a:gd name="connsiteX1" fmla="*/ 4857750 w 8248650"/>
              <a:gd name="connsiteY1" fmla="*/ 1328055 h 4052205"/>
              <a:gd name="connsiteX2" fmla="*/ 8231357 w 8248650"/>
              <a:gd name="connsiteY2" fmla="*/ 466713 h 4052205"/>
              <a:gd name="connsiteX3" fmla="*/ 8248650 w 8248650"/>
              <a:gd name="connsiteY3" fmla="*/ 4052205 h 4052205"/>
              <a:gd name="connsiteX4" fmla="*/ 0 w 8248650"/>
              <a:gd name="connsiteY4" fmla="*/ 4033155 h 4052205"/>
              <a:gd name="connsiteX5" fmla="*/ 38100 w 8248650"/>
              <a:gd name="connsiteY5" fmla="*/ 366030 h 4052205"/>
              <a:gd name="connsiteX0" fmla="*/ 38100 w 8248650"/>
              <a:gd name="connsiteY0" fmla="*/ 394750 h 4080925"/>
              <a:gd name="connsiteX1" fmla="*/ 4511894 w 8248650"/>
              <a:gd name="connsiteY1" fmla="*/ 1165451 h 4080925"/>
              <a:gd name="connsiteX2" fmla="*/ 8231357 w 8248650"/>
              <a:gd name="connsiteY2" fmla="*/ 495433 h 4080925"/>
              <a:gd name="connsiteX3" fmla="*/ 8248650 w 8248650"/>
              <a:gd name="connsiteY3" fmla="*/ 4080925 h 4080925"/>
              <a:gd name="connsiteX4" fmla="*/ 0 w 8248650"/>
              <a:gd name="connsiteY4" fmla="*/ 4061875 h 4080925"/>
              <a:gd name="connsiteX5" fmla="*/ 38100 w 8248650"/>
              <a:gd name="connsiteY5" fmla="*/ 394750 h 4080925"/>
              <a:gd name="connsiteX0" fmla="*/ 38100 w 8248650"/>
              <a:gd name="connsiteY0" fmla="*/ 394750 h 4080925"/>
              <a:gd name="connsiteX1" fmla="*/ 4511894 w 8248650"/>
              <a:gd name="connsiteY1" fmla="*/ 1165451 h 4080925"/>
              <a:gd name="connsiteX2" fmla="*/ 8231357 w 8248650"/>
              <a:gd name="connsiteY2" fmla="*/ 495433 h 4080925"/>
              <a:gd name="connsiteX3" fmla="*/ 8248650 w 8248650"/>
              <a:gd name="connsiteY3" fmla="*/ 4080925 h 4080925"/>
              <a:gd name="connsiteX4" fmla="*/ 0 w 8248650"/>
              <a:gd name="connsiteY4" fmla="*/ 4061875 h 4080925"/>
              <a:gd name="connsiteX5" fmla="*/ 38100 w 8248650"/>
              <a:gd name="connsiteY5" fmla="*/ 394750 h 4080925"/>
              <a:gd name="connsiteX0" fmla="*/ 38100 w 8248650"/>
              <a:gd name="connsiteY0" fmla="*/ 399879 h 4086054"/>
              <a:gd name="connsiteX1" fmla="*/ 4935567 w 8248650"/>
              <a:gd name="connsiteY1" fmla="*/ 1138693 h 4086054"/>
              <a:gd name="connsiteX2" fmla="*/ 8231357 w 8248650"/>
              <a:gd name="connsiteY2" fmla="*/ 500562 h 4086054"/>
              <a:gd name="connsiteX3" fmla="*/ 8248650 w 8248650"/>
              <a:gd name="connsiteY3" fmla="*/ 4086054 h 4086054"/>
              <a:gd name="connsiteX4" fmla="*/ 0 w 8248650"/>
              <a:gd name="connsiteY4" fmla="*/ 4067004 h 4086054"/>
              <a:gd name="connsiteX5" fmla="*/ 38100 w 8248650"/>
              <a:gd name="connsiteY5" fmla="*/ 399879 h 4086054"/>
              <a:gd name="connsiteX0" fmla="*/ 38100 w 8248650"/>
              <a:gd name="connsiteY0" fmla="*/ 352863 h 4039038"/>
              <a:gd name="connsiteX1" fmla="*/ 4935567 w 8248650"/>
              <a:gd name="connsiteY1" fmla="*/ 1091677 h 4039038"/>
              <a:gd name="connsiteX2" fmla="*/ 8231357 w 8248650"/>
              <a:gd name="connsiteY2" fmla="*/ 453546 h 4039038"/>
              <a:gd name="connsiteX3" fmla="*/ 8248650 w 8248650"/>
              <a:gd name="connsiteY3" fmla="*/ 4039038 h 4039038"/>
              <a:gd name="connsiteX4" fmla="*/ 0 w 8248650"/>
              <a:gd name="connsiteY4" fmla="*/ 4019988 h 4039038"/>
              <a:gd name="connsiteX5" fmla="*/ 38100 w 8248650"/>
              <a:gd name="connsiteY5" fmla="*/ 352863 h 4039038"/>
              <a:gd name="connsiteX0" fmla="*/ 38100 w 8248650"/>
              <a:gd name="connsiteY0" fmla="*/ 360827 h 4047002"/>
              <a:gd name="connsiteX1" fmla="*/ 4935567 w 8248650"/>
              <a:gd name="connsiteY1" fmla="*/ 1099641 h 4047002"/>
              <a:gd name="connsiteX2" fmla="*/ 8231357 w 8248650"/>
              <a:gd name="connsiteY2" fmla="*/ 461510 h 4047002"/>
              <a:gd name="connsiteX3" fmla="*/ 8248650 w 8248650"/>
              <a:gd name="connsiteY3" fmla="*/ 4047002 h 4047002"/>
              <a:gd name="connsiteX4" fmla="*/ 0 w 8248650"/>
              <a:gd name="connsiteY4" fmla="*/ 4027952 h 4047002"/>
              <a:gd name="connsiteX5" fmla="*/ 38100 w 8248650"/>
              <a:gd name="connsiteY5" fmla="*/ 360827 h 4047002"/>
              <a:gd name="connsiteX0" fmla="*/ 38100 w 8248650"/>
              <a:gd name="connsiteY0" fmla="*/ 179712 h 3865887"/>
              <a:gd name="connsiteX1" fmla="*/ 4719408 w 8248650"/>
              <a:gd name="connsiteY1" fmla="*/ 3054963 h 3865887"/>
              <a:gd name="connsiteX2" fmla="*/ 8231357 w 8248650"/>
              <a:gd name="connsiteY2" fmla="*/ 280395 h 3865887"/>
              <a:gd name="connsiteX3" fmla="*/ 8248650 w 8248650"/>
              <a:gd name="connsiteY3" fmla="*/ 3865887 h 3865887"/>
              <a:gd name="connsiteX4" fmla="*/ 0 w 8248650"/>
              <a:gd name="connsiteY4" fmla="*/ 3846837 h 3865887"/>
              <a:gd name="connsiteX5" fmla="*/ 38100 w 8248650"/>
              <a:gd name="connsiteY5" fmla="*/ 179712 h 3865887"/>
              <a:gd name="connsiteX0" fmla="*/ 38100 w 8248650"/>
              <a:gd name="connsiteY0" fmla="*/ 327735 h 4013910"/>
              <a:gd name="connsiteX1" fmla="*/ 5264131 w 8248650"/>
              <a:gd name="connsiteY1" fmla="*/ 1321646 h 4013910"/>
              <a:gd name="connsiteX2" fmla="*/ 8231357 w 8248650"/>
              <a:gd name="connsiteY2" fmla="*/ 428418 h 4013910"/>
              <a:gd name="connsiteX3" fmla="*/ 8248650 w 8248650"/>
              <a:gd name="connsiteY3" fmla="*/ 4013910 h 4013910"/>
              <a:gd name="connsiteX4" fmla="*/ 0 w 8248650"/>
              <a:gd name="connsiteY4" fmla="*/ 3994860 h 4013910"/>
              <a:gd name="connsiteX5" fmla="*/ 38100 w 8248650"/>
              <a:gd name="connsiteY5" fmla="*/ 327735 h 4013910"/>
              <a:gd name="connsiteX0" fmla="*/ 72686 w 8248650"/>
              <a:gd name="connsiteY0" fmla="*/ 1110817 h 4063587"/>
              <a:gd name="connsiteX1" fmla="*/ 5264131 w 8248650"/>
              <a:gd name="connsiteY1" fmla="*/ 1371323 h 4063587"/>
              <a:gd name="connsiteX2" fmla="*/ 8231357 w 8248650"/>
              <a:gd name="connsiteY2" fmla="*/ 478095 h 4063587"/>
              <a:gd name="connsiteX3" fmla="*/ 8248650 w 8248650"/>
              <a:gd name="connsiteY3" fmla="*/ 4063587 h 4063587"/>
              <a:gd name="connsiteX4" fmla="*/ 0 w 8248650"/>
              <a:gd name="connsiteY4" fmla="*/ 4044537 h 4063587"/>
              <a:gd name="connsiteX5" fmla="*/ 72686 w 8248650"/>
              <a:gd name="connsiteY5" fmla="*/ 1110817 h 4063587"/>
              <a:gd name="connsiteX0" fmla="*/ 72686 w 8248650"/>
              <a:gd name="connsiteY0" fmla="*/ 1110817 h 4063587"/>
              <a:gd name="connsiteX1" fmla="*/ 5264131 w 8248650"/>
              <a:gd name="connsiteY1" fmla="*/ 1371323 h 4063587"/>
              <a:gd name="connsiteX2" fmla="*/ 8231357 w 8248650"/>
              <a:gd name="connsiteY2" fmla="*/ 478095 h 4063587"/>
              <a:gd name="connsiteX3" fmla="*/ 8248650 w 8248650"/>
              <a:gd name="connsiteY3" fmla="*/ 4063587 h 4063587"/>
              <a:gd name="connsiteX4" fmla="*/ 0 w 8248650"/>
              <a:gd name="connsiteY4" fmla="*/ 4044537 h 4063587"/>
              <a:gd name="connsiteX5" fmla="*/ 72686 w 8248650"/>
              <a:gd name="connsiteY5" fmla="*/ 1110817 h 4063587"/>
              <a:gd name="connsiteX0" fmla="*/ 72686 w 8248650"/>
              <a:gd name="connsiteY0" fmla="*/ 2714788 h 5667558"/>
              <a:gd name="connsiteX1" fmla="*/ 4857751 w 8248650"/>
              <a:gd name="connsiteY1" fmla="*/ 9793 h 5667558"/>
              <a:gd name="connsiteX2" fmla="*/ 8231357 w 8248650"/>
              <a:gd name="connsiteY2" fmla="*/ 2082066 h 5667558"/>
              <a:gd name="connsiteX3" fmla="*/ 8248650 w 8248650"/>
              <a:gd name="connsiteY3" fmla="*/ 5667558 h 5667558"/>
              <a:gd name="connsiteX4" fmla="*/ 0 w 8248650"/>
              <a:gd name="connsiteY4" fmla="*/ 5648508 h 5667558"/>
              <a:gd name="connsiteX5" fmla="*/ 72686 w 8248650"/>
              <a:gd name="connsiteY5" fmla="*/ 2714788 h 5667558"/>
              <a:gd name="connsiteX0" fmla="*/ 72686 w 8248650"/>
              <a:gd name="connsiteY0" fmla="*/ 1097092 h 4049862"/>
              <a:gd name="connsiteX1" fmla="*/ 4166040 w 8248650"/>
              <a:gd name="connsiteY1" fmla="*/ 1453260 h 4049862"/>
              <a:gd name="connsiteX2" fmla="*/ 8231357 w 8248650"/>
              <a:gd name="connsiteY2" fmla="*/ 464370 h 4049862"/>
              <a:gd name="connsiteX3" fmla="*/ 8248650 w 8248650"/>
              <a:gd name="connsiteY3" fmla="*/ 4049862 h 4049862"/>
              <a:gd name="connsiteX4" fmla="*/ 0 w 8248650"/>
              <a:gd name="connsiteY4" fmla="*/ 4030812 h 4049862"/>
              <a:gd name="connsiteX5" fmla="*/ 72686 w 8248650"/>
              <a:gd name="connsiteY5" fmla="*/ 1097092 h 4049862"/>
              <a:gd name="connsiteX0" fmla="*/ 64040 w 8248650"/>
              <a:gd name="connsiteY0" fmla="*/ 325178 h 4362111"/>
              <a:gd name="connsiteX1" fmla="*/ 4166040 w 8248650"/>
              <a:gd name="connsiteY1" fmla="*/ 1765509 h 4362111"/>
              <a:gd name="connsiteX2" fmla="*/ 8231357 w 8248650"/>
              <a:gd name="connsiteY2" fmla="*/ 776619 h 4362111"/>
              <a:gd name="connsiteX3" fmla="*/ 8248650 w 8248650"/>
              <a:gd name="connsiteY3" fmla="*/ 4362111 h 4362111"/>
              <a:gd name="connsiteX4" fmla="*/ 0 w 8248650"/>
              <a:gd name="connsiteY4" fmla="*/ 4343061 h 4362111"/>
              <a:gd name="connsiteX5" fmla="*/ 64040 w 8248650"/>
              <a:gd name="connsiteY5" fmla="*/ 325178 h 4362111"/>
              <a:gd name="connsiteX0" fmla="*/ 64040 w 8248650"/>
              <a:gd name="connsiteY0" fmla="*/ 322403 h 4359336"/>
              <a:gd name="connsiteX1" fmla="*/ 4166040 w 8248650"/>
              <a:gd name="connsiteY1" fmla="*/ 1762734 h 4359336"/>
              <a:gd name="connsiteX2" fmla="*/ 8231357 w 8248650"/>
              <a:gd name="connsiteY2" fmla="*/ 773844 h 4359336"/>
              <a:gd name="connsiteX3" fmla="*/ 8248650 w 8248650"/>
              <a:gd name="connsiteY3" fmla="*/ 4359336 h 4359336"/>
              <a:gd name="connsiteX4" fmla="*/ 0 w 8248650"/>
              <a:gd name="connsiteY4" fmla="*/ 4340286 h 4359336"/>
              <a:gd name="connsiteX5" fmla="*/ 64040 w 8248650"/>
              <a:gd name="connsiteY5" fmla="*/ 322403 h 4359336"/>
              <a:gd name="connsiteX0" fmla="*/ 46748 w 8248650"/>
              <a:gd name="connsiteY0" fmla="*/ 330370 h 4303529"/>
              <a:gd name="connsiteX1" fmla="*/ 4166040 w 8248650"/>
              <a:gd name="connsiteY1" fmla="*/ 1706927 h 4303529"/>
              <a:gd name="connsiteX2" fmla="*/ 8231357 w 8248650"/>
              <a:gd name="connsiteY2" fmla="*/ 718037 h 4303529"/>
              <a:gd name="connsiteX3" fmla="*/ 8248650 w 8248650"/>
              <a:gd name="connsiteY3" fmla="*/ 4303529 h 4303529"/>
              <a:gd name="connsiteX4" fmla="*/ 0 w 8248650"/>
              <a:gd name="connsiteY4" fmla="*/ 4284479 h 4303529"/>
              <a:gd name="connsiteX5" fmla="*/ 46748 w 8248650"/>
              <a:gd name="connsiteY5" fmla="*/ 330370 h 4303529"/>
              <a:gd name="connsiteX0" fmla="*/ 46748 w 8248650"/>
              <a:gd name="connsiteY0" fmla="*/ 343322 h 4316481"/>
              <a:gd name="connsiteX1" fmla="*/ 4217918 w 8248650"/>
              <a:gd name="connsiteY1" fmla="*/ 1592330 h 4316481"/>
              <a:gd name="connsiteX2" fmla="*/ 8231357 w 8248650"/>
              <a:gd name="connsiteY2" fmla="*/ 730989 h 4316481"/>
              <a:gd name="connsiteX3" fmla="*/ 8248650 w 8248650"/>
              <a:gd name="connsiteY3" fmla="*/ 4316481 h 4316481"/>
              <a:gd name="connsiteX4" fmla="*/ 0 w 8248650"/>
              <a:gd name="connsiteY4" fmla="*/ 4297431 h 4316481"/>
              <a:gd name="connsiteX5" fmla="*/ 46748 w 8248650"/>
              <a:gd name="connsiteY5" fmla="*/ 343322 h 4316481"/>
              <a:gd name="connsiteX0" fmla="*/ 46748 w 8248650"/>
              <a:gd name="connsiteY0" fmla="*/ 343322 h 4316481"/>
              <a:gd name="connsiteX1" fmla="*/ 4217918 w 8248650"/>
              <a:gd name="connsiteY1" fmla="*/ 1592330 h 4316481"/>
              <a:gd name="connsiteX2" fmla="*/ 8231357 w 8248650"/>
              <a:gd name="connsiteY2" fmla="*/ 730989 h 4316481"/>
              <a:gd name="connsiteX3" fmla="*/ 8248650 w 8248650"/>
              <a:gd name="connsiteY3" fmla="*/ 4316481 h 4316481"/>
              <a:gd name="connsiteX4" fmla="*/ 0 w 8248650"/>
              <a:gd name="connsiteY4" fmla="*/ 4297431 h 4316481"/>
              <a:gd name="connsiteX5" fmla="*/ 46748 w 8248650"/>
              <a:gd name="connsiteY5" fmla="*/ 343322 h 4316481"/>
              <a:gd name="connsiteX0" fmla="*/ 8248650 w 8331655"/>
              <a:gd name="connsiteY0" fmla="*/ 4316481 h 4622597"/>
              <a:gd name="connsiteX1" fmla="*/ 0 w 8331655"/>
              <a:gd name="connsiteY1" fmla="*/ 4297431 h 4622597"/>
              <a:gd name="connsiteX2" fmla="*/ 46748 w 8331655"/>
              <a:gd name="connsiteY2" fmla="*/ 343322 h 4622597"/>
              <a:gd name="connsiteX3" fmla="*/ 4217918 w 8331655"/>
              <a:gd name="connsiteY3" fmla="*/ 1592330 h 4622597"/>
              <a:gd name="connsiteX4" fmla="*/ 8231357 w 8331655"/>
              <a:gd name="connsiteY4" fmla="*/ 730989 h 4622597"/>
              <a:gd name="connsiteX5" fmla="*/ 8331655 w 8331655"/>
              <a:gd name="connsiteY5" fmla="*/ 4622597 h 4622597"/>
              <a:gd name="connsiteX0" fmla="*/ 8248650 w 8248650"/>
              <a:gd name="connsiteY0" fmla="*/ 4316481 h 4316481"/>
              <a:gd name="connsiteX1" fmla="*/ 0 w 8248650"/>
              <a:gd name="connsiteY1" fmla="*/ 4297431 h 4316481"/>
              <a:gd name="connsiteX2" fmla="*/ 46748 w 8248650"/>
              <a:gd name="connsiteY2" fmla="*/ 343322 h 4316481"/>
              <a:gd name="connsiteX3" fmla="*/ 4217918 w 8248650"/>
              <a:gd name="connsiteY3" fmla="*/ 1592330 h 4316481"/>
              <a:gd name="connsiteX4" fmla="*/ 8231357 w 8248650"/>
              <a:gd name="connsiteY4" fmla="*/ 730989 h 4316481"/>
              <a:gd name="connsiteX0" fmla="*/ 0 w 8231357"/>
              <a:gd name="connsiteY0" fmla="*/ 4297431 h 4297432"/>
              <a:gd name="connsiteX1" fmla="*/ 46748 w 8231357"/>
              <a:gd name="connsiteY1" fmla="*/ 343322 h 4297432"/>
              <a:gd name="connsiteX2" fmla="*/ 4217918 w 8231357"/>
              <a:gd name="connsiteY2" fmla="*/ 1592330 h 4297432"/>
              <a:gd name="connsiteX3" fmla="*/ 8231357 w 8231357"/>
              <a:gd name="connsiteY3" fmla="*/ 730989 h 4297432"/>
              <a:gd name="connsiteX0" fmla="*/ 0 w 8184609"/>
              <a:gd name="connsiteY0" fmla="*/ 343322 h 1593639"/>
              <a:gd name="connsiteX1" fmla="*/ 4171170 w 8184609"/>
              <a:gd name="connsiteY1" fmla="*/ 1592330 h 1593639"/>
              <a:gd name="connsiteX2" fmla="*/ 8184609 w 8184609"/>
              <a:gd name="connsiteY2" fmla="*/ 730989 h 1593639"/>
              <a:gd name="connsiteX0" fmla="*/ 0 w 8155480"/>
              <a:gd name="connsiteY0" fmla="*/ 325345 h 1790000"/>
              <a:gd name="connsiteX1" fmla="*/ 4142041 w 8155480"/>
              <a:gd name="connsiteY1" fmla="*/ 1786933 h 1790000"/>
              <a:gd name="connsiteX2" fmla="*/ 8155480 w 8155480"/>
              <a:gd name="connsiteY2" fmla="*/ 925592 h 1790000"/>
              <a:gd name="connsiteX0" fmla="*/ 0 w 8155480"/>
              <a:gd name="connsiteY0" fmla="*/ 156844 h 1621499"/>
              <a:gd name="connsiteX1" fmla="*/ 4142041 w 8155480"/>
              <a:gd name="connsiteY1" fmla="*/ 1618432 h 1621499"/>
              <a:gd name="connsiteX2" fmla="*/ 8155480 w 8155480"/>
              <a:gd name="connsiteY2" fmla="*/ 757091 h 1621499"/>
              <a:gd name="connsiteX0" fmla="*/ 0 w 8257432"/>
              <a:gd name="connsiteY0" fmla="*/ 156844 h 1621499"/>
              <a:gd name="connsiteX1" fmla="*/ 4142041 w 8257432"/>
              <a:gd name="connsiteY1" fmla="*/ 1618432 h 1621499"/>
              <a:gd name="connsiteX2" fmla="*/ 8257432 w 8257432"/>
              <a:gd name="connsiteY2" fmla="*/ 757092 h 1621499"/>
              <a:gd name="connsiteX0" fmla="*/ 0 w 8257432"/>
              <a:gd name="connsiteY0" fmla="*/ 156844 h 1621499"/>
              <a:gd name="connsiteX1" fmla="*/ 4142041 w 8257432"/>
              <a:gd name="connsiteY1" fmla="*/ 1618432 h 1621499"/>
              <a:gd name="connsiteX2" fmla="*/ 8257432 w 8257432"/>
              <a:gd name="connsiteY2" fmla="*/ 757092 h 1621499"/>
              <a:gd name="connsiteX0" fmla="*/ 0 w 8257432"/>
              <a:gd name="connsiteY0" fmla="*/ 174256 h 1638911"/>
              <a:gd name="connsiteX1" fmla="*/ 4142041 w 8257432"/>
              <a:gd name="connsiteY1" fmla="*/ 1635844 h 1638911"/>
              <a:gd name="connsiteX2" fmla="*/ 8257432 w 8257432"/>
              <a:gd name="connsiteY2" fmla="*/ 774504 h 1638911"/>
              <a:gd name="connsiteX0" fmla="*/ 0 w 8257432"/>
              <a:gd name="connsiteY0" fmla="*/ 183362 h 1487199"/>
              <a:gd name="connsiteX1" fmla="*/ 4142041 w 8257432"/>
              <a:gd name="connsiteY1" fmla="*/ 1485514 h 1487199"/>
              <a:gd name="connsiteX2" fmla="*/ 8257432 w 8257432"/>
              <a:gd name="connsiteY2" fmla="*/ 624174 h 1487199"/>
              <a:gd name="connsiteX0" fmla="*/ 0 w 8257432"/>
              <a:gd name="connsiteY0" fmla="*/ 258924 h 1562757"/>
              <a:gd name="connsiteX1" fmla="*/ 4142041 w 8257432"/>
              <a:gd name="connsiteY1" fmla="*/ 1561076 h 1562757"/>
              <a:gd name="connsiteX2" fmla="*/ 8257432 w 8257432"/>
              <a:gd name="connsiteY2" fmla="*/ 699736 h 1562757"/>
              <a:gd name="connsiteX0" fmla="*/ 0 w 8257432"/>
              <a:gd name="connsiteY0" fmla="*/ 258924 h 1562968"/>
              <a:gd name="connsiteX1" fmla="*/ 4142041 w 8257432"/>
              <a:gd name="connsiteY1" fmla="*/ 1561076 h 1562968"/>
              <a:gd name="connsiteX2" fmla="*/ 8257432 w 8257432"/>
              <a:gd name="connsiteY2" fmla="*/ 699736 h 1562968"/>
              <a:gd name="connsiteX0" fmla="*/ 0 w 8257432"/>
              <a:gd name="connsiteY0" fmla="*/ 272630 h 1591785"/>
              <a:gd name="connsiteX1" fmla="*/ 4142041 w 8257432"/>
              <a:gd name="connsiteY1" fmla="*/ 1574782 h 1591785"/>
              <a:gd name="connsiteX2" fmla="*/ 8257432 w 8257432"/>
              <a:gd name="connsiteY2" fmla="*/ 713442 h 1591785"/>
              <a:gd name="connsiteX0" fmla="*/ 0 w 9263282"/>
              <a:gd name="connsiteY0" fmla="*/ 272630 h 5198896"/>
              <a:gd name="connsiteX1" fmla="*/ 4142041 w 9263282"/>
              <a:gd name="connsiteY1" fmla="*/ 1574782 h 5198896"/>
              <a:gd name="connsiteX2" fmla="*/ 9263282 w 9263282"/>
              <a:gd name="connsiteY2" fmla="*/ 5198896 h 5198896"/>
              <a:gd name="connsiteX0" fmla="*/ 0 w 9263282"/>
              <a:gd name="connsiteY0" fmla="*/ 1 h 4926267"/>
              <a:gd name="connsiteX1" fmla="*/ 9263282 w 9263282"/>
              <a:gd name="connsiteY1" fmla="*/ 4926267 h 4926267"/>
              <a:gd name="connsiteX0" fmla="*/ 0 w 8206178"/>
              <a:gd name="connsiteY0" fmla="*/ 1 h 3076814"/>
              <a:gd name="connsiteX1" fmla="*/ 8206178 w 8206178"/>
              <a:gd name="connsiteY1" fmla="*/ 3076814 h 3076814"/>
              <a:gd name="connsiteX0" fmla="*/ 0 w 8206178"/>
              <a:gd name="connsiteY0" fmla="*/ 1 h 3076814"/>
              <a:gd name="connsiteX1" fmla="*/ 8206178 w 8206178"/>
              <a:gd name="connsiteY1" fmla="*/ 3076814 h 3076814"/>
              <a:gd name="connsiteX0" fmla="*/ 0 w 8206178"/>
              <a:gd name="connsiteY0" fmla="*/ 178328 h 3255141"/>
              <a:gd name="connsiteX1" fmla="*/ 8206178 w 8206178"/>
              <a:gd name="connsiteY1" fmla="*/ 3255141 h 3255141"/>
              <a:gd name="connsiteX0" fmla="*/ 0 w 8151020"/>
              <a:gd name="connsiteY0" fmla="*/ 449692 h 1789592"/>
              <a:gd name="connsiteX1" fmla="*/ 8151020 w 8151020"/>
              <a:gd name="connsiteY1" fmla="*/ 1789593 h 1789592"/>
              <a:gd name="connsiteX0" fmla="*/ 0 w 8151020"/>
              <a:gd name="connsiteY0" fmla="*/ 197269 h 1537169"/>
              <a:gd name="connsiteX1" fmla="*/ 8151020 w 8151020"/>
              <a:gd name="connsiteY1" fmla="*/ 1537170 h 1537169"/>
              <a:gd name="connsiteX0" fmla="*/ 0 w 8157915"/>
              <a:gd name="connsiteY0" fmla="*/ 208140 h 1430684"/>
              <a:gd name="connsiteX1" fmla="*/ 8157915 w 8157915"/>
              <a:gd name="connsiteY1" fmla="*/ 1430684 h 1430684"/>
              <a:gd name="connsiteX0" fmla="*/ 0 w 8157915"/>
              <a:gd name="connsiteY0" fmla="*/ 188689 h 1411233"/>
              <a:gd name="connsiteX1" fmla="*/ 8157915 w 8157915"/>
              <a:gd name="connsiteY1" fmla="*/ 1411233 h 1411233"/>
              <a:gd name="connsiteX0" fmla="*/ 0 w 8268233"/>
              <a:gd name="connsiteY0" fmla="*/ 361585 h 457483"/>
              <a:gd name="connsiteX1" fmla="*/ 8268233 w 8268233"/>
              <a:gd name="connsiteY1" fmla="*/ 457483 h 457483"/>
              <a:gd name="connsiteX0" fmla="*/ 0 w 7695959"/>
              <a:gd name="connsiteY0" fmla="*/ 325244 h 561974"/>
              <a:gd name="connsiteX1" fmla="*/ 7695959 w 7695959"/>
              <a:gd name="connsiteY1" fmla="*/ 561974 h 561974"/>
              <a:gd name="connsiteX0" fmla="*/ 0 w 8213075"/>
              <a:gd name="connsiteY0" fmla="*/ 461395 h 461395"/>
              <a:gd name="connsiteX1" fmla="*/ 8213075 w 8213075"/>
              <a:gd name="connsiteY1" fmla="*/ 275635 h 461395"/>
              <a:gd name="connsiteX0" fmla="*/ 0 w 8213075"/>
              <a:gd name="connsiteY0" fmla="*/ 185761 h 713139"/>
              <a:gd name="connsiteX1" fmla="*/ 8213075 w 8213075"/>
              <a:gd name="connsiteY1" fmla="*/ 1 h 713139"/>
              <a:gd name="connsiteX0" fmla="*/ 0 w 8213075"/>
              <a:gd name="connsiteY0" fmla="*/ 255470 h 731696"/>
              <a:gd name="connsiteX1" fmla="*/ 8213075 w 8213075"/>
              <a:gd name="connsiteY1" fmla="*/ 69710 h 731696"/>
              <a:gd name="connsiteX0" fmla="*/ 0 w 8213075"/>
              <a:gd name="connsiteY0" fmla="*/ 263846 h 736402"/>
              <a:gd name="connsiteX1" fmla="*/ 8213075 w 8213075"/>
              <a:gd name="connsiteY1" fmla="*/ 78086 h 736402"/>
              <a:gd name="connsiteX0" fmla="*/ 0 w 8213075"/>
              <a:gd name="connsiteY0" fmla="*/ 239417 h 864052"/>
              <a:gd name="connsiteX1" fmla="*/ 8213075 w 8213075"/>
              <a:gd name="connsiteY1" fmla="*/ 53657 h 864052"/>
              <a:gd name="connsiteX0" fmla="*/ 0 w 8247550"/>
              <a:gd name="connsiteY0" fmla="*/ 205805 h 1321597"/>
              <a:gd name="connsiteX1" fmla="*/ 8247550 w 8247550"/>
              <a:gd name="connsiteY1" fmla="*/ 606837 h 1321597"/>
              <a:gd name="connsiteX0" fmla="*/ 0 w 8247550"/>
              <a:gd name="connsiteY0" fmla="*/ 0 h 1832736"/>
              <a:gd name="connsiteX1" fmla="*/ 8247550 w 8247550"/>
              <a:gd name="connsiteY1" fmla="*/ 401032 h 1832736"/>
              <a:gd name="connsiteX0" fmla="*/ 0 w 8157917"/>
              <a:gd name="connsiteY0" fmla="*/ 0 h 2408623"/>
              <a:gd name="connsiteX1" fmla="*/ 8157917 w 8157917"/>
              <a:gd name="connsiteY1" fmla="*/ 1292955 h 2408623"/>
              <a:gd name="connsiteX0" fmla="*/ 0 w 8157917"/>
              <a:gd name="connsiteY0" fmla="*/ 0 h 1292955"/>
              <a:gd name="connsiteX1" fmla="*/ 8157917 w 8157917"/>
              <a:gd name="connsiteY1" fmla="*/ 1292955 h 1292955"/>
              <a:gd name="connsiteX0" fmla="*/ 0 w 8157917"/>
              <a:gd name="connsiteY0" fmla="*/ 0 h 1292955"/>
              <a:gd name="connsiteX1" fmla="*/ 8157917 w 8157917"/>
              <a:gd name="connsiteY1" fmla="*/ 1292955 h 1292955"/>
              <a:gd name="connsiteX0" fmla="*/ 0 w 7840753"/>
              <a:gd name="connsiteY0" fmla="*/ 0 h 1249707"/>
              <a:gd name="connsiteX1" fmla="*/ 7840753 w 7840753"/>
              <a:gd name="connsiteY1" fmla="*/ 1128653 h 1249707"/>
              <a:gd name="connsiteX0" fmla="*/ 0 w 7840753"/>
              <a:gd name="connsiteY0" fmla="*/ 0 h 1309691"/>
              <a:gd name="connsiteX1" fmla="*/ 7840753 w 7840753"/>
              <a:gd name="connsiteY1" fmla="*/ 1128653 h 1309691"/>
              <a:gd name="connsiteX0" fmla="*/ 0 w 7826963"/>
              <a:gd name="connsiteY0" fmla="*/ 0 h 1284686"/>
              <a:gd name="connsiteX1" fmla="*/ 7826963 w 7826963"/>
              <a:gd name="connsiteY1" fmla="*/ 1011294 h 1284686"/>
              <a:gd name="connsiteX0" fmla="*/ 0 w 8157917"/>
              <a:gd name="connsiteY0" fmla="*/ 0 h 1357465"/>
              <a:gd name="connsiteX1" fmla="*/ 8157917 w 8157917"/>
              <a:gd name="connsiteY1" fmla="*/ 1339898 h 1357465"/>
              <a:gd name="connsiteX0" fmla="*/ 0 w 8157917"/>
              <a:gd name="connsiteY0" fmla="*/ 0 h 1339898"/>
              <a:gd name="connsiteX1" fmla="*/ 8157917 w 8157917"/>
              <a:gd name="connsiteY1" fmla="*/ 1339898 h 1339898"/>
              <a:gd name="connsiteX0" fmla="*/ 0 w 8157917"/>
              <a:gd name="connsiteY0" fmla="*/ 0 h 1339898"/>
              <a:gd name="connsiteX1" fmla="*/ 8157917 w 8157917"/>
              <a:gd name="connsiteY1" fmla="*/ 1339898 h 1339898"/>
              <a:gd name="connsiteX0" fmla="*/ 0 w 8171707"/>
              <a:gd name="connsiteY0" fmla="*/ 0 h 1339898"/>
              <a:gd name="connsiteX1" fmla="*/ 8171707 w 8171707"/>
              <a:gd name="connsiteY1" fmla="*/ 1339898 h 1339898"/>
              <a:gd name="connsiteX0" fmla="*/ 0 w 8171707"/>
              <a:gd name="connsiteY0" fmla="*/ 0 h 1339898"/>
              <a:gd name="connsiteX1" fmla="*/ 8171707 w 8171707"/>
              <a:gd name="connsiteY1" fmla="*/ 1339898 h 1339898"/>
              <a:gd name="connsiteX0" fmla="*/ 0 w 7880859"/>
              <a:gd name="connsiteY0" fmla="*/ 0 h 1265562"/>
              <a:gd name="connsiteX1" fmla="*/ 7880859 w 7880859"/>
              <a:gd name="connsiteY1" fmla="*/ 1249048 h 1265562"/>
              <a:gd name="connsiteX0" fmla="*/ 0 w 7872045"/>
              <a:gd name="connsiteY0" fmla="*/ 0 h 1237031"/>
              <a:gd name="connsiteX1" fmla="*/ 7872045 w 7872045"/>
              <a:gd name="connsiteY1" fmla="*/ 1097632 h 1237031"/>
              <a:gd name="connsiteX0" fmla="*/ 0 w 7872045"/>
              <a:gd name="connsiteY0" fmla="*/ 0 h 1272541"/>
              <a:gd name="connsiteX1" fmla="*/ 7872045 w 7872045"/>
              <a:gd name="connsiteY1" fmla="*/ 1097632 h 1272541"/>
              <a:gd name="connsiteX0" fmla="*/ 0 w 7872045"/>
              <a:gd name="connsiteY0" fmla="*/ 0 h 1212261"/>
              <a:gd name="connsiteX1" fmla="*/ 7872045 w 7872045"/>
              <a:gd name="connsiteY1" fmla="*/ 770861 h 1212261"/>
              <a:gd name="connsiteX0" fmla="*/ 0 w 7872045"/>
              <a:gd name="connsiteY0" fmla="*/ 0 h 1308965"/>
              <a:gd name="connsiteX1" fmla="*/ 7872045 w 7872045"/>
              <a:gd name="connsiteY1" fmla="*/ 770861 h 1308965"/>
              <a:gd name="connsiteX0" fmla="*/ 0 w 7872045"/>
              <a:gd name="connsiteY0" fmla="*/ 0 h 1335050"/>
              <a:gd name="connsiteX1" fmla="*/ 7872045 w 7872045"/>
              <a:gd name="connsiteY1" fmla="*/ 896544 h 1335050"/>
              <a:gd name="connsiteX0" fmla="*/ 0 w 7872045"/>
              <a:gd name="connsiteY0" fmla="*/ 0 h 1368450"/>
              <a:gd name="connsiteX1" fmla="*/ 7872045 w 7872045"/>
              <a:gd name="connsiteY1" fmla="*/ 896544 h 1368450"/>
              <a:gd name="connsiteX0" fmla="*/ 0 w 7872045"/>
              <a:gd name="connsiteY0" fmla="*/ 0 h 1339734"/>
              <a:gd name="connsiteX1" fmla="*/ 7872045 w 7872045"/>
              <a:gd name="connsiteY1" fmla="*/ 896544 h 1339734"/>
              <a:gd name="connsiteX0" fmla="*/ 0 w 7872045"/>
              <a:gd name="connsiteY0" fmla="*/ 0 h 1350555"/>
              <a:gd name="connsiteX1" fmla="*/ 7872045 w 7872045"/>
              <a:gd name="connsiteY1" fmla="*/ 946817 h 1350555"/>
              <a:gd name="connsiteX0" fmla="*/ 0 w 7872045"/>
              <a:gd name="connsiteY0" fmla="*/ 0 h 1284040"/>
              <a:gd name="connsiteX1" fmla="*/ 7872045 w 7872045"/>
              <a:gd name="connsiteY1" fmla="*/ 946817 h 1284040"/>
              <a:gd name="connsiteX0" fmla="*/ 0 w 7872045"/>
              <a:gd name="connsiteY0" fmla="*/ 0 h 1317295"/>
              <a:gd name="connsiteX1" fmla="*/ 7872045 w 7872045"/>
              <a:gd name="connsiteY1" fmla="*/ 946817 h 13172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7872045" h="1317295">
                <a:moveTo>
                  <a:pt x="0" y="0"/>
                </a:moveTo>
                <a:cubicBezTo>
                  <a:pt x="1526382" y="3342491"/>
                  <a:pt x="4648800" y="-964598"/>
                  <a:pt x="7872045" y="946817"/>
                </a:cubicBezTo>
              </a:path>
            </a:pathLst>
          </a:custGeom>
          <a:noFill/>
          <a:ln w="19050">
            <a:gradFill flip="none" rotWithShape="1">
              <a:gsLst>
                <a:gs pos="0">
                  <a:schemeClr val="accent1"/>
                </a:gs>
                <a:gs pos="41000">
                  <a:schemeClr val="accent1">
                    <a:alpha val="47000"/>
                  </a:schemeClr>
                </a:gs>
                <a:gs pos="100000">
                  <a:schemeClr val="bg1">
                    <a:alpha val="0"/>
                  </a:schemeClr>
                </a:gs>
              </a:gsLst>
              <a:lin ang="2700000" scaled="1"/>
              <a:tileRect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4" name="Forma libre 43"/>
          <xdr:cNvSpPr/>
        </xdr:nvSpPr>
        <xdr:spPr>
          <a:xfrm flipV="1">
            <a:off x="355257" y="1145591"/>
            <a:ext cx="8281429" cy="328144"/>
          </a:xfrm>
          <a:custGeom>
            <a:avLst/>
            <a:gdLst>
              <a:gd name="connsiteX0" fmla="*/ 38100 w 8248650"/>
              <a:gd name="connsiteY0" fmla="*/ 0 h 3686175"/>
              <a:gd name="connsiteX1" fmla="*/ 4857750 w 8248650"/>
              <a:gd name="connsiteY1" fmla="*/ 962025 h 3686175"/>
              <a:gd name="connsiteX2" fmla="*/ 8248650 w 8248650"/>
              <a:gd name="connsiteY2" fmla="*/ 190500 h 3686175"/>
              <a:gd name="connsiteX3" fmla="*/ 8248650 w 8248650"/>
              <a:gd name="connsiteY3" fmla="*/ 3686175 h 3686175"/>
              <a:gd name="connsiteX4" fmla="*/ 0 w 8248650"/>
              <a:gd name="connsiteY4" fmla="*/ 3667125 h 3686175"/>
              <a:gd name="connsiteX5" fmla="*/ 38100 w 8248650"/>
              <a:gd name="connsiteY5" fmla="*/ 0 h 3686175"/>
              <a:gd name="connsiteX0" fmla="*/ 38100 w 8248650"/>
              <a:gd name="connsiteY0" fmla="*/ 90366 h 3776541"/>
              <a:gd name="connsiteX1" fmla="*/ 4857750 w 8248650"/>
              <a:gd name="connsiteY1" fmla="*/ 1052391 h 3776541"/>
              <a:gd name="connsiteX2" fmla="*/ 8248650 w 8248650"/>
              <a:gd name="connsiteY2" fmla="*/ 280866 h 3776541"/>
              <a:gd name="connsiteX3" fmla="*/ 8248650 w 8248650"/>
              <a:gd name="connsiteY3" fmla="*/ 3776541 h 3776541"/>
              <a:gd name="connsiteX4" fmla="*/ 0 w 8248650"/>
              <a:gd name="connsiteY4" fmla="*/ 3757491 h 3776541"/>
              <a:gd name="connsiteX5" fmla="*/ 38100 w 8248650"/>
              <a:gd name="connsiteY5" fmla="*/ 90366 h 3776541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106024 h 3792199"/>
              <a:gd name="connsiteX1" fmla="*/ 4857750 w 8248650"/>
              <a:gd name="connsiteY1" fmla="*/ 1068049 h 3792199"/>
              <a:gd name="connsiteX2" fmla="*/ 8248650 w 8248650"/>
              <a:gd name="connsiteY2" fmla="*/ 1896724 h 3792199"/>
              <a:gd name="connsiteX3" fmla="*/ 8248650 w 8248650"/>
              <a:gd name="connsiteY3" fmla="*/ 3792199 h 3792199"/>
              <a:gd name="connsiteX4" fmla="*/ 0 w 8248650"/>
              <a:gd name="connsiteY4" fmla="*/ 3773149 h 3792199"/>
              <a:gd name="connsiteX5" fmla="*/ 38100 w 8248650"/>
              <a:gd name="connsiteY5" fmla="*/ 106024 h 3792199"/>
              <a:gd name="connsiteX0" fmla="*/ 38100 w 8248650"/>
              <a:gd name="connsiteY0" fmla="*/ 204054 h 3890229"/>
              <a:gd name="connsiteX1" fmla="*/ 4857750 w 8248650"/>
              <a:gd name="connsiteY1" fmla="*/ 1166079 h 3890229"/>
              <a:gd name="connsiteX2" fmla="*/ 8248650 w 8248650"/>
              <a:gd name="connsiteY2" fmla="*/ 1994754 h 3890229"/>
              <a:gd name="connsiteX3" fmla="*/ 8248650 w 8248650"/>
              <a:gd name="connsiteY3" fmla="*/ 3890229 h 3890229"/>
              <a:gd name="connsiteX4" fmla="*/ 0 w 8248650"/>
              <a:gd name="connsiteY4" fmla="*/ 3871179 h 3890229"/>
              <a:gd name="connsiteX5" fmla="*/ 38100 w 8248650"/>
              <a:gd name="connsiteY5" fmla="*/ 204054 h 3890229"/>
              <a:gd name="connsiteX0" fmla="*/ 38100 w 8248650"/>
              <a:gd name="connsiteY0" fmla="*/ 89615 h 3775790"/>
              <a:gd name="connsiteX1" fmla="*/ 4857750 w 8248650"/>
              <a:gd name="connsiteY1" fmla="*/ 1051640 h 3775790"/>
              <a:gd name="connsiteX2" fmla="*/ 8231357 w 8248650"/>
              <a:gd name="connsiteY2" fmla="*/ 190298 h 3775790"/>
              <a:gd name="connsiteX3" fmla="*/ 8248650 w 8248650"/>
              <a:gd name="connsiteY3" fmla="*/ 3775790 h 3775790"/>
              <a:gd name="connsiteX4" fmla="*/ 0 w 8248650"/>
              <a:gd name="connsiteY4" fmla="*/ 3756740 h 3775790"/>
              <a:gd name="connsiteX5" fmla="*/ 38100 w 8248650"/>
              <a:gd name="connsiteY5" fmla="*/ 89615 h 3775790"/>
              <a:gd name="connsiteX0" fmla="*/ 38100 w 8248650"/>
              <a:gd name="connsiteY0" fmla="*/ 366030 h 4052205"/>
              <a:gd name="connsiteX1" fmla="*/ 4857750 w 8248650"/>
              <a:gd name="connsiteY1" fmla="*/ 1328055 h 4052205"/>
              <a:gd name="connsiteX2" fmla="*/ 8231357 w 8248650"/>
              <a:gd name="connsiteY2" fmla="*/ 466713 h 4052205"/>
              <a:gd name="connsiteX3" fmla="*/ 8248650 w 8248650"/>
              <a:gd name="connsiteY3" fmla="*/ 4052205 h 4052205"/>
              <a:gd name="connsiteX4" fmla="*/ 0 w 8248650"/>
              <a:gd name="connsiteY4" fmla="*/ 4033155 h 4052205"/>
              <a:gd name="connsiteX5" fmla="*/ 38100 w 8248650"/>
              <a:gd name="connsiteY5" fmla="*/ 366030 h 4052205"/>
              <a:gd name="connsiteX0" fmla="*/ 38100 w 8248650"/>
              <a:gd name="connsiteY0" fmla="*/ 394750 h 4080925"/>
              <a:gd name="connsiteX1" fmla="*/ 4511894 w 8248650"/>
              <a:gd name="connsiteY1" fmla="*/ 1165451 h 4080925"/>
              <a:gd name="connsiteX2" fmla="*/ 8231357 w 8248650"/>
              <a:gd name="connsiteY2" fmla="*/ 495433 h 4080925"/>
              <a:gd name="connsiteX3" fmla="*/ 8248650 w 8248650"/>
              <a:gd name="connsiteY3" fmla="*/ 4080925 h 4080925"/>
              <a:gd name="connsiteX4" fmla="*/ 0 w 8248650"/>
              <a:gd name="connsiteY4" fmla="*/ 4061875 h 4080925"/>
              <a:gd name="connsiteX5" fmla="*/ 38100 w 8248650"/>
              <a:gd name="connsiteY5" fmla="*/ 394750 h 4080925"/>
              <a:gd name="connsiteX0" fmla="*/ 38100 w 8248650"/>
              <a:gd name="connsiteY0" fmla="*/ 394750 h 4080925"/>
              <a:gd name="connsiteX1" fmla="*/ 4511894 w 8248650"/>
              <a:gd name="connsiteY1" fmla="*/ 1165451 h 4080925"/>
              <a:gd name="connsiteX2" fmla="*/ 8231357 w 8248650"/>
              <a:gd name="connsiteY2" fmla="*/ 495433 h 4080925"/>
              <a:gd name="connsiteX3" fmla="*/ 8248650 w 8248650"/>
              <a:gd name="connsiteY3" fmla="*/ 4080925 h 4080925"/>
              <a:gd name="connsiteX4" fmla="*/ 0 w 8248650"/>
              <a:gd name="connsiteY4" fmla="*/ 4061875 h 4080925"/>
              <a:gd name="connsiteX5" fmla="*/ 38100 w 8248650"/>
              <a:gd name="connsiteY5" fmla="*/ 394750 h 4080925"/>
              <a:gd name="connsiteX0" fmla="*/ 38100 w 8248650"/>
              <a:gd name="connsiteY0" fmla="*/ 399879 h 4086054"/>
              <a:gd name="connsiteX1" fmla="*/ 4935567 w 8248650"/>
              <a:gd name="connsiteY1" fmla="*/ 1138693 h 4086054"/>
              <a:gd name="connsiteX2" fmla="*/ 8231357 w 8248650"/>
              <a:gd name="connsiteY2" fmla="*/ 500562 h 4086054"/>
              <a:gd name="connsiteX3" fmla="*/ 8248650 w 8248650"/>
              <a:gd name="connsiteY3" fmla="*/ 4086054 h 4086054"/>
              <a:gd name="connsiteX4" fmla="*/ 0 w 8248650"/>
              <a:gd name="connsiteY4" fmla="*/ 4067004 h 4086054"/>
              <a:gd name="connsiteX5" fmla="*/ 38100 w 8248650"/>
              <a:gd name="connsiteY5" fmla="*/ 399879 h 4086054"/>
              <a:gd name="connsiteX0" fmla="*/ 38100 w 8248650"/>
              <a:gd name="connsiteY0" fmla="*/ 352863 h 4039038"/>
              <a:gd name="connsiteX1" fmla="*/ 4935567 w 8248650"/>
              <a:gd name="connsiteY1" fmla="*/ 1091677 h 4039038"/>
              <a:gd name="connsiteX2" fmla="*/ 8231357 w 8248650"/>
              <a:gd name="connsiteY2" fmla="*/ 453546 h 4039038"/>
              <a:gd name="connsiteX3" fmla="*/ 8248650 w 8248650"/>
              <a:gd name="connsiteY3" fmla="*/ 4039038 h 4039038"/>
              <a:gd name="connsiteX4" fmla="*/ 0 w 8248650"/>
              <a:gd name="connsiteY4" fmla="*/ 4019988 h 4039038"/>
              <a:gd name="connsiteX5" fmla="*/ 38100 w 8248650"/>
              <a:gd name="connsiteY5" fmla="*/ 352863 h 4039038"/>
              <a:gd name="connsiteX0" fmla="*/ 38100 w 8248650"/>
              <a:gd name="connsiteY0" fmla="*/ 360827 h 4047002"/>
              <a:gd name="connsiteX1" fmla="*/ 4935567 w 8248650"/>
              <a:gd name="connsiteY1" fmla="*/ 1099641 h 4047002"/>
              <a:gd name="connsiteX2" fmla="*/ 8231357 w 8248650"/>
              <a:gd name="connsiteY2" fmla="*/ 461510 h 4047002"/>
              <a:gd name="connsiteX3" fmla="*/ 8248650 w 8248650"/>
              <a:gd name="connsiteY3" fmla="*/ 4047002 h 4047002"/>
              <a:gd name="connsiteX4" fmla="*/ 0 w 8248650"/>
              <a:gd name="connsiteY4" fmla="*/ 4027952 h 4047002"/>
              <a:gd name="connsiteX5" fmla="*/ 38100 w 8248650"/>
              <a:gd name="connsiteY5" fmla="*/ 360827 h 4047002"/>
              <a:gd name="connsiteX0" fmla="*/ 38100 w 8248650"/>
              <a:gd name="connsiteY0" fmla="*/ 179712 h 3865887"/>
              <a:gd name="connsiteX1" fmla="*/ 4719408 w 8248650"/>
              <a:gd name="connsiteY1" fmla="*/ 3054963 h 3865887"/>
              <a:gd name="connsiteX2" fmla="*/ 8231357 w 8248650"/>
              <a:gd name="connsiteY2" fmla="*/ 280395 h 3865887"/>
              <a:gd name="connsiteX3" fmla="*/ 8248650 w 8248650"/>
              <a:gd name="connsiteY3" fmla="*/ 3865887 h 3865887"/>
              <a:gd name="connsiteX4" fmla="*/ 0 w 8248650"/>
              <a:gd name="connsiteY4" fmla="*/ 3846837 h 3865887"/>
              <a:gd name="connsiteX5" fmla="*/ 38100 w 8248650"/>
              <a:gd name="connsiteY5" fmla="*/ 179712 h 3865887"/>
              <a:gd name="connsiteX0" fmla="*/ 38100 w 8248650"/>
              <a:gd name="connsiteY0" fmla="*/ 327735 h 4013910"/>
              <a:gd name="connsiteX1" fmla="*/ 5264131 w 8248650"/>
              <a:gd name="connsiteY1" fmla="*/ 1321646 h 4013910"/>
              <a:gd name="connsiteX2" fmla="*/ 8231357 w 8248650"/>
              <a:gd name="connsiteY2" fmla="*/ 428418 h 4013910"/>
              <a:gd name="connsiteX3" fmla="*/ 8248650 w 8248650"/>
              <a:gd name="connsiteY3" fmla="*/ 4013910 h 4013910"/>
              <a:gd name="connsiteX4" fmla="*/ 0 w 8248650"/>
              <a:gd name="connsiteY4" fmla="*/ 3994860 h 4013910"/>
              <a:gd name="connsiteX5" fmla="*/ 38100 w 8248650"/>
              <a:gd name="connsiteY5" fmla="*/ 327735 h 4013910"/>
              <a:gd name="connsiteX0" fmla="*/ 72686 w 8248650"/>
              <a:gd name="connsiteY0" fmla="*/ 1110817 h 4063587"/>
              <a:gd name="connsiteX1" fmla="*/ 5264131 w 8248650"/>
              <a:gd name="connsiteY1" fmla="*/ 1371323 h 4063587"/>
              <a:gd name="connsiteX2" fmla="*/ 8231357 w 8248650"/>
              <a:gd name="connsiteY2" fmla="*/ 478095 h 4063587"/>
              <a:gd name="connsiteX3" fmla="*/ 8248650 w 8248650"/>
              <a:gd name="connsiteY3" fmla="*/ 4063587 h 4063587"/>
              <a:gd name="connsiteX4" fmla="*/ 0 w 8248650"/>
              <a:gd name="connsiteY4" fmla="*/ 4044537 h 4063587"/>
              <a:gd name="connsiteX5" fmla="*/ 72686 w 8248650"/>
              <a:gd name="connsiteY5" fmla="*/ 1110817 h 4063587"/>
              <a:gd name="connsiteX0" fmla="*/ 72686 w 8248650"/>
              <a:gd name="connsiteY0" fmla="*/ 1110817 h 4063587"/>
              <a:gd name="connsiteX1" fmla="*/ 5264131 w 8248650"/>
              <a:gd name="connsiteY1" fmla="*/ 1371323 h 4063587"/>
              <a:gd name="connsiteX2" fmla="*/ 8231357 w 8248650"/>
              <a:gd name="connsiteY2" fmla="*/ 478095 h 4063587"/>
              <a:gd name="connsiteX3" fmla="*/ 8248650 w 8248650"/>
              <a:gd name="connsiteY3" fmla="*/ 4063587 h 4063587"/>
              <a:gd name="connsiteX4" fmla="*/ 0 w 8248650"/>
              <a:gd name="connsiteY4" fmla="*/ 4044537 h 4063587"/>
              <a:gd name="connsiteX5" fmla="*/ 72686 w 8248650"/>
              <a:gd name="connsiteY5" fmla="*/ 1110817 h 4063587"/>
              <a:gd name="connsiteX0" fmla="*/ 72686 w 8248650"/>
              <a:gd name="connsiteY0" fmla="*/ 2714788 h 5667558"/>
              <a:gd name="connsiteX1" fmla="*/ 4857751 w 8248650"/>
              <a:gd name="connsiteY1" fmla="*/ 9793 h 5667558"/>
              <a:gd name="connsiteX2" fmla="*/ 8231357 w 8248650"/>
              <a:gd name="connsiteY2" fmla="*/ 2082066 h 5667558"/>
              <a:gd name="connsiteX3" fmla="*/ 8248650 w 8248650"/>
              <a:gd name="connsiteY3" fmla="*/ 5667558 h 5667558"/>
              <a:gd name="connsiteX4" fmla="*/ 0 w 8248650"/>
              <a:gd name="connsiteY4" fmla="*/ 5648508 h 5667558"/>
              <a:gd name="connsiteX5" fmla="*/ 72686 w 8248650"/>
              <a:gd name="connsiteY5" fmla="*/ 2714788 h 5667558"/>
              <a:gd name="connsiteX0" fmla="*/ 72686 w 8248650"/>
              <a:gd name="connsiteY0" fmla="*/ 1097092 h 4049862"/>
              <a:gd name="connsiteX1" fmla="*/ 4166040 w 8248650"/>
              <a:gd name="connsiteY1" fmla="*/ 1453260 h 4049862"/>
              <a:gd name="connsiteX2" fmla="*/ 8231357 w 8248650"/>
              <a:gd name="connsiteY2" fmla="*/ 464370 h 4049862"/>
              <a:gd name="connsiteX3" fmla="*/ 8248650 w 8248650"/>
              <a:gd name="connsiteY3" fmla="*/ 4049862 h 4049862"/>
              <a:gd name="connsiteX4" fmla="*/ 0 w 8248650"/>
              <a:gd name="connsiteY4" fmla="*/ 4030812 h 4049862"/>
              <a:gd name="connsiteX5" fmla="*/ 72686 w 8248650"/>
              <a:gd name="connsiteY5" fmla="*/ 1097092 h 4049862"/>
              <a:gd name="connsiteX0" fmla="*/ 64040 w 8248650"/>
              <a:gd name="connsiteY0" fmla="*/ 325178 h 4362111"/>
              <a:gd name="connsiteX1" fmla="*/ 4166040 w 8248650"/>
              <a:gd name="connsiteY1" fmla="*/ 1765509 h 4362111"/>
              <a:gd name="connsiteX2" fmla="*/ 8231357 w 8248650"/>
              <a:gd name="connsiteY2" fmla="*/ 776619 h 4362111"/>
              <a:gd name="connsiteX3" fmla="*/ 8248650 w 8248650"/>
              <a:gd name="connsiteY3" fmla="*/ 4362111 h 4362111"/>
              <a:gd name="connsiteX4" fmla="*/ 0 w 8248650"/>
              <a:gd name="connsiteY4" fmla="*/ 4343061 h 4362111"/>
              <a:gd name="connsiteX5" fmla="*/ 64040 w 8248650"/>
              <a:gd name="connsiteY5" fmla="*/ 325178 h 4362111"/>
              <a:gd name="connsiteX0" fmla="*/ 64040 w 8248650"/>
              <a:gd name="connsiteY0" fmla="*/ 322403 h 4359336"/>
              <a:gd name="connsiteX1" fmla="*/ 4166040 w 8248650"/>
              <a:gd name="connsiteY1" fmla="*/ 1762734 h 4359336"/>
              <a:gd name="connsiteX2" fmla="*/ 8231357 w 8248650"/>
              <a:gd name="connsiteY2" fmla="*/ 773844 h 4359336"/>
              <a:gd name="connsiteX3" fmla="*/ 8248650 w 8248650"/>
              <a:gd name="connsiteY3" fmla="*/ 4359336 h 4359336"/>
              <a:gd name="connsiteX4" fmla="*/ 0 w 8248650"/>
              <a:gd name="connsiteY4" fmla="*/ 4340286 h 4359336"/>
              <a:gd name="connsiteX5" fmla="*/ 64040 w 8248650"/>
              <a:gd name="connsiteY5" fmla="*/ 322403 h 4359336"/>
              <a:gd name="connsiteX0" fmla="*/ 46748 w 8248650"/>
              <a:gd name="connsiteY0" fmla="*/ 330370 h 4303529"/>
              <a:gd name="connsiteX1" fmla="*/ 4166040 w 8248650"/>
              <a:gd name="connsiteY1" fmla="*/ 1706927 h 4303529"/>
              <a:gd name="connsiteX2" fmla="*/ 8231357 w 8248650"/>
              <a:gd name="connsiteY2" fmla="*/ 718037 h 4303529"/>
              <a:gd name="connsiteX3" fmla="*/ 8248650 w 8248650"/>
              <a:gd name="connsiteY3" fmla="*/ 4303529 h 4303529"/>
              <a:gd name="connsiteX4" fmla="*/ 0 w 8248650"/>
              <a:gd name="connsiteY4" fmla="*/ 4284479 h 4303529"/>
              <a:gd name="connsiteX5" fmla="*/ 46748 w 8248650"/>
              <a:gd name="connsiteY5" fmla="*/ 330370 h 4303529"/>
              <a:gd name="connsiteX0" fmla="*/ 46748 w 8248650"/>
              <a:gd name="connsiteY0" fmla="*/ 343322 h 4316481"/>
              <a:gd name="connsiteX1" fmla="*/ 4217918 w 8248650"/>
              <a:gd name="connsiteY1" fmla="*/ 1592330 h 4316481"/>
              <a:gd name="connsiteX2" fmla="*/ 8231357 w 8248650"/>
              <a:gd name="connsiteY2" fmla="*/ 730989 h 4316481"/>
              <a:gd name="connsiteX3" fmla="*/ 8248650 w 8248650"/>
              <a:gd name="connsiteY3" fmla="*/ 4316481 h 4316481"/>
              <a:gd name="connsiteX4" fmla="*/ 0 w 8248650"/>
              <a:gd name="connsiteY4" fmla="*/ 4297431 h 4316481"/>
              <a:gd name="connsiteX5" fmla="*/ 46748 w 8248650"/>
              <a:gd name="connsiteY5" fmla="*/ 343322 h 4316481"/>
              <a:gd name="connsiteX0" fmla="*/ 46748 w 8248650"/>
              <a:gd name="connsiteY0" fmla="*/ 343322 h 4316481"/>
              <a:gd name="connsiteX1" fmla="*/ 4217918 w 8248650"/>
              <a:gd name="connsiteY1" fmla="*/ 1592330 h 4316481"/>
              <a:gd name="connsiteX2" fmla="*/ 8231357 w 8248650"/>
              <a:gd name="connsiteY2" fmla="*/ 730989 h 4316481"/>
              <a:gd name="connsiteX3" fmla="*/ 8248650 w 8248650"/>
              <a:gd name="connsiteY3" fmla="*/ 4316481 h 4316481"/>
              <a:gd name="connsiteX4" fmla="*/ 0 w 8248650"/>
              <a:gd name="connsiteY4" fmla="*/ 4297431 h 4316481"/>
              <a:gd name="connsiteX5" fmla="*/ 46748 w 8248650"/>
              <a:gd name="connsiteY5" fmla="*/ 343322 h 4316481"/>
              <a:gd name="connsiteX0" fmla="*/ 8248650 w 8331655"/>
              <a:gd name="connsiteY0" fmla="*/ 4316481 h 4622597"/>
              <a:gd name="connsiteX1" fmla="*/ 0 w 8331655"/>
              <a:gd name="connsiteY1" fmla="*/ 4297431 h 4622597"/>
              <a:gd name="connsiteX2" fmla="*/ 46748 w 8331655"/>
              <a:gd name="connsiteY2" fmla="*/ 343322 h 4622597"/>
              <a:gd name="connsiteX3" fmla="*/ 4217918 w 8331655"/>
              <a:gd name="connsiteY3" fmla="*/ 1592330 h 4622597"/>
              <a:gd name="connsiteX4" fmla="*/ 8231357 w 8331655"/>
              <a:gd name="connsiteY4" fmla="*/ 730989 h 4622597"/>
              <a:gd name="connsiteX5" fmla="*/ 8331655 w 8331655"/>
              <a:gd name="connsiteY5" fmla="*/ 4622597 h 4622597"/>
              <a:gd name="connsiteX0" fmla="*/ 8248650 w 8248650"/>
              <a:gd name="connsiteY0" fmla="*/ 4316481 h 4316481"/>
              <a:gd name="connsiteX1" fmla="*/ 0 w 8248650"/>
              <a:gd name="connsiteY1" fmla="*/ 4297431 h 4316481"/>
              <a:gd name="connsiteX2" fmla="*/ 46748 w 8248650"/>
              <a:gd name="connsiteY2" fmla="*/ 343322 h 4316481"/>
              <a:gd name="connsiteX3" fmla="*/ 4217918 w 8248650"/>
              <a:gd name="connsiteY3" fmla="*/ 1592330 h 4316481"/>
              <a:gd name="connsiteX4" fmla="*/ 8231357 w 8248650"/>
              <a:gd name="connsiteY4" fmla="*/ 730989 h 4316481"/>
              <a:gd name="connsiteX0" fmla="*/ 0 w 8231357"/>
              <a:gd name="connsiteY0" fmla="*/ 4297431 h 4297432"/>
              <a:gd name="connsiteX1" fmla="*/ 46748 w 8231357"/>
              <a:gd name="connsiteY1" fmla="*/ 343322 h 4297432"/>
              <a:gd name="connsiteX2" fmla="*/ 4217918 w 8231357"/>
              <a:gd name="connsiteY2" fmla="*/ 1592330 h 4297432"/>
              <a:gd name="connsiteX3" fmla="*/ 8231357 w 8231357"/>
              <a:gd name="connsiteY3" fmla="*/ 730989 h 4297432"/>
              <a:gd name="connsiteX0" fmla="*/ 0 w 8184609"/>
              <a:gd name="connsiteY0" fmla="*/ 343322 h 1593639"/>
              <a:gd name="connsiteX1" fmla="*/ 4171170 w 8184609"/>
              <a:gd name="connsiteY1" fmla="*/ 1592330 h 1593639"/>
              <a:gd name="connsiteX2" fmla="*/ 8184609 w 8184609"/>
              <a:gd name="connsiteY2" fmla="*/ 730989 h 1593639"/>
              <a:gd name="connsiteX0" fmla="*/ 0 w 8155480"/>
              <a:gd name="connsiteY0" fmla="*/ 325345 h 1790000"/>
              <a:gd name="connsiteX1" fmla="*/ 4142041 w 8155480"/>
              <a:gd name="connsiteY1" fmla="*/ 1786933 h 1790000"/>
              <a:gd name="connsiteX2" fmla="*/ 8155480 w 8155480"/>
              <a:gd name="connsiteY2" fmla="*/ 925592 h 1790000"/>
              <a:gd name="connsiteX0" fmla="*/ 0 w 8155480"/>
              <a:gd name="connsiteY0" fmla="*/ 156844 h 1621499"/>
              <a:gd name="connsiteX1" fmla="*/ 4142041 w 8155480"/>
              <a:gd name="connsiteY1" fmla="*/ 1618432 h 1621499"/>
              <a:gd name="connsiteX2" fmla="*/ 8155480 w 8155480"/>
              <a:gd name="connsiteY2" fmla="*/ 757091 h 1621499"/>
              <a:gd name="connsiteX0" fmla="*/ 0 w 8257432"/>
              <a:gd name="connsiteY0" fmla="*/ 156844 h 1621499"/>
              <a:gd name="connsiteX1" fmla="*/ 4142041 w 8257432"/>
              <a:gd name="connsiteY1" fmla="*/ 1618432 h 1621499"/>
              <a:gd name="connsiteX2" fmla="*/ 8257432 w 8257432"/>
              <a:gd name="connsiteY2" fmla="*/ 757092 h 1621499"/>
              <a:gd name="connsiteX0" fmla="*/ 0 w 8257432"/>
              <a:gd name="connsiteY0" fmla="*/ 156844 h 1621499"/>
              <a:gd name="connsiteX1" fmla="*/ 4142041 w 8257432"/>
              <a:gd name="connsiteY1" fmla="*/ 1618432 h 1621499"/>
              <a:gd name="connsiteX2" fmla="*/ 8257432 w 8257432"/>
              <a:gd name="connsiteY2" fmla="*/ 757092 h 1621499"/>
              <a:gd name="connsiteX0" fmla="*/ 0 w 8257432"/>
              <a:gd name="connsiteY0" fmla="*/ 174256 h 1638911"/>
              <a:gd name="connsiteX1" fmla="*/ 4142041 w 8257432"/>
              <a:gd name="connsiteY1" fmla="*/ 1635844 h 1638911"/>
              <a:gd name="connsiteX2" fmla="*/ 8257432 w 8257432"/>
              <a:gd name="connsiteY2" fmla="*/ 774504 h 1638911"/>
              <a:gd name="connsiteX0" fmla="*/ 0 w 8257432"/>
              <a:gd name="connsiteY0" fmla="*/ 183362 h 1487199"/>
              <a:gd name="connsiteX1" fmla="*/ 4142041 w 8257432"/>
              <a:gd name="connsiteY1" fmla="*/ 1485514 h 1487199"/>
              <a:gd name="connsiteX2" fmla="*/ 8257432 w 8257432"/>
              <a:gd name="connsiteY2" fmla="*/ 624174 h 1487199"/>
              <a:gd name="connsiteX0" fmla="*/ 0 w 8257432"/>
              <a:gd name="connsiteY0" fmla="*/ 258924 h 1562757"/>
              <a:gd name="connsiteX1" fmla="*/ 4142041 w 8257432"/>
              <a:gd name="connsiteY1" fmla="*/ 1561076 h 1562757"/>
              <a:gd name="connsiteX2" fmla="*/ 8257432 w 8257432"/>
              <a:gd name="connsiteY2" fmla="*/ 699736 h 1562757"/>
              <a:gd name="connsiteX0" fmla="*/ 0 w 8257432"/>
              <a:gd name="connsiteY0" fmla="*/ 258924 h 1562968"/>
              <a:gd name="connsiteX1" fmla="*/ 4142041 w 8257432"/>
              <a:gd name="connsiteY1" fmla="*/ 1561076 h 1562968"/>
              <a:gd name="connsiteX2" fmla="*/ 8257432 w 8257432"/>
              <a:gd name="connsiteY2" fmla="*/ 699736 h 1562968"/>
              <a:gd name="connsiteX0" fmla="*/ 0 w 8257432"/>
              <a:gd name="connsiteY0" fmla="*/ 272630 h 1591785"/>
              <a:gd name="connsiteX1" fmla="*/ 4142041 w 8257432"/>
              <a:gd name="connsiteY1" fmla="*/ 1574782 h 1591785"/>
              <a:gd name="connsiteX2" fmla="*/ 8257432 w 8257432"/>
              <a:gd name="connsiteY2" fmla="*/ 713442 h 1591785"/>
              <a:gd name="connsiteX0" fmla="*/ 0 w 9263282"/>
              <a:gd name="connsiteY0" fmla="*/ 272630 h 5198896"/>
              <a:gd name="connsiteX1" fmla="*/ 4142041 w 9263282"/>
              <a:gd name="connsiteY1" fmla="*/ 1574782 h 5198896"/>
              <a:gd name="connsiteX2" fmla="*/ 9263282 w 9263282"/>
              <a:gd name="connsiteY2" fmla="*/ 5198896 h 5198896"/>
              <a:gd name="connsiteX0" fmla="*/ 0 w 9263282"/>
              <a:gd name="connsiteY0" fmla="*/ 1 h 4926267"/>
              <a:gd name="connsiteX1" fmla="*/ 9263282 w 9263282"/>
              <a:gd name="connsiteY1" fmla="*/ 4926267 h 4926267"/>
              <a:gd name="connsiteX0" fmla="*/ 0 w 8206178"/>
              <a:gd name="connsiteY0" fmla="*/ 1 h 3076814"/>
              <a:gd name="connsiteX1" fmla="*/ 8206178 w 8206178"/>
              <a:gd name="connsiteY1" fmla="*/ 3076814 h 3076814"/>
              <a:gd name="connsiteX0" fmla="*/ 0 w 8206178"/>
              <a:gd name="connsiteY0" fmla="*/ 1 h 3076814"/>
              <a:gd name="connsiteX1" fmla="*/ 8206178 w 8206178"/>
              <a:gd name="connsiteY1" fmla="*/ 3076814 h 3076814"/>
              <a:gd name="connsiteX0" fmla="*/ 0 w 8206178"/>
              <a:gd name="connsiteY0" fmla="*/ 178328 h 3255141"/>
              <a:gd name="connsiteX1" fmla="*/ 8206178 w 8206178"/>
              <a:gd name="connsiteY1" fmla="*/ 3255141 h 3255141"/>
              <a:gd name="connsiteX0" fmla="*/ 0 w 8151020"/>
              <a:gd name="connsiteY0" fmla="*/ 449692 h 1789592"/>
              <a:gd name="connsiteX1" fmla="*/ 8151020 w 8151020"/>
              <a:gd name="connsiteY1" fmla="*/ 1789593 h 1789592"/>
              <a:gd name="connsiteX0" fmla="*/ 0 w 8151020"/>
              <a:gd name="connsiteY0" fmla="*/ 197269 h 1537169"/>
              <a:gd name="connsiteX1" fmla="*/ 8151020 w 8151020"/>
              <a:gd name="connsiteY1" fmla="*/ 1537170 h 1537169"/>
              <a:gd name="connsiteX0" fmla="*/ 0 w 8157915"/>
              <a:gd name="connsiteY0" fmla="*/ 208140 h 1430684"/>
              <a:gd name="connsiteX1" fmla="*/ 8157915 w 8157915"/>
              <a:gd name="connsiteY1" fmla="*/ 1430684 h 1430684"/>
              <a:gd name="connsiteX0" fmla="*/ 0 w 8157915"/>
              <a:gd name="connsiteY0" fmla="*/ 188689 h 1411233"/>
              <a:gd name="connsiteX1" fmla="*/ 8157915 w 8157915"/>
              <a:gd name="connsiteY1" fmla="*/ 1411233 h 1411233"/>
              <a:gd name="connsiteX0" fmla="*/ 0 w 8268233"/>
              <a:gd name="connsiteY0" fmla="*/ 361585 h 457483"/>
              <a:gd name="connsiteX1" fmla="*/ 8268233 w 8268233"/>
              <a:gd name="connsiteY1" fmla="*/ 457483 h 457483"/>
              <a:gd name="connsiteX0" fmla="*/ 0 w 7695959"/>
              <a:gd name="connsiteY0" fmla="*/ 325244 h 561974"/>
              <a:gd name="connsiteX1" fmla="*/ 7695959 w 7695959"/>
              <a:gd name="connsiteY1" fmla="*/ 561974 h 561974"/>
              <a:gd name="connsiteX0" fmla="*/ 0 w 8213075"/>
              <a:gd name="connsiteY0" fmla="*/ 461395 h 461395"/>
              <a:gd name="connsiteX1" fmla="*/ 8213075 w 8213075"/>
              <a:gd name="connsiteY1" fmla="*/ 275635 h 461395"/>
              <a:gd name="connsiteX0" fmla="*/ 0 w 8213075"/>
              <a:gd name="connsiteY0" fmla="*/ 185761 h 713139"/>
              <a:gd name="connsiteX1" fmla="*/ 8213075 w 8213075"/>
              <a:gd name="connsiteY1" fmla="*/ 1 h 713139"/>
              <a:gd name="connsiteX0" fmla="*/ 0 w 8213075"/>
              <a:gd name="connsiteY0" fmla="*/ 255470 h 731696"/>
              <a:gd name="connsiteX1" fmla="*/ 8213075 w 8213075"/>
              <a:gd name="connsiteY1" fmla="*/ 69710 h 731696"/>
              <a:gd name="connsiteX0" fmla="*/ 0 w 8213075"/>
              <a:gd name="connsiteY0" fmla="*/ 263846 h 736402"/>
              <a:gd name="connsiteX1" fmla="*/ 8213075 w 8213075"/>
              <a:gd name="connsiteY1" fmla="*/ 78086 h 736402"/>
              <a:gd name="connsiteX0" fmla="*/ 0 w 8213075"/>
              <a:gd name="connsiteY0" fmla="*/ 239417 h 864052"/>
              <a:gd name="connsiteX1" fmla="*/ 8213075 w 8213075"/>
              <a:gd name="connsiteY1" fmla="*/ 53657 h 864052"/>
              <a:gd name="connsiteX0" fmla="*/ 0 w 8213075"/>
              <a:gd name="connsiteY0" fmla="*/ 255314 h 872277"/>
              <a:gd name="connsiteX1" fmla="*/ 8213075 w 8213075"/>
              <a:gd name="connsiteY1" fmla="*/ 69554 h 872277"/>
              <a:gd name="connsiteX0" fmla="*/ 0 w 7938231"/>
              <a:gd name="connsiteY0" fmla="*/ 249043 h 941390"/>
              <a:gd name="connsiteX1" fmla="*/ 7938231 w 7938231"/>
              <a:gd name="connsiteY1" fmla="*/ 155041 h 941390"/>
              <a:gd name="connsiteX0" fmla="*/ 0 w 7938231"/>
              <a:gd name="connsiteY0" fmla="*/ 143188 h 891171"/>
              <a:gd name="connsiteX1" fmla="*/ 7938231 w 7938231"/>
              <a:gd name="connsiteY1" fmla="*/ 49186 h 891171"/>
              <a:gd name="connsiteX0" fmla="*/ 0 w 7938231"/>
              <a:gd name="connsiteY0" fmla="*/ 170508 h 902660"/>
              <a:gd name="connsiteX1" fmla="*/ 7938231 w 7938231"/>
              <a:gd name="connsiteY1" fmla="*/ 76506 h 902660"/>
              <a:gd name="connsiteX0" fmla="*/ 0 w 7938231"/>
              <a:gd name="connsiteY0" fmla="*/ 164439 h 998006"/>
              <a:gd name="connsiteX1" fmla="*/ 7938231 w 7938231"/>
              <a:gd name="connsiteY1" fmla="*/ 195064 h 998006"/>
              <a:gd name="connsiteX0" fmla="*/ 0 w 7938231"/>
              <a:gd name="connsiteY0" fmla="*/ 121883 h 980145"/>
              <a:gd name="connsiteX1" fmla="*/ 7938231 w 7938231"/>
              <a:gd name="connsiteY1" fmla="*/ 152508 h 980145"/>
              <a:gd name="connsiteX0" fmla="*/ 0 w 7938231"/>
              <a:gd name="connsiteY0" fmla="*/ 164439 h 998006"/>
              <a:gd name="connsiteX1" fmla="*/ 7938231 w 7938231"/>
              <a:gd name="connsiteY1" fmla="*/ 195064 h 998006"/>
              <a:gd name="connsiteX0" fmla="*/ 0 w 7938231"/>
              <a:gd name="connsiteY0" fmla="*/ 164439 h 998006"/>
              <a:gd name="connsiteX1" fmla="*/ 7938231 w 7938231"/>
              <a:gd name="connsiteY1" fmla="*/ 195064 h 998006"/>
              <a:gd name="connsiteX0" fmla="*/ 0 w 7938231"/>
              <a:gd name="connsiteY0" fmla="*/ 160102 h 1036806"/>
              <a:gd name="connsiteX1" fmla="*/ 7938231 w 7938231"/>
              <a:gd name="connsiteY1" fmla="*/ 190727 h 10368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7938231" h="1036806">
                <a:moveTo>
                  <a:pt x="0" y="160102"/>
                </a:moveTo>
                <a:cubicBezTo>
                  <a:pt x="2075597" y="-730833"/>
                  <a:pt x="6287931" y="2492821"/>
                  <a:pt x="7938231" y="190727"/>
                </a:cubicBezTo>
              </a:path>
            </a:pathLst>
          </a:custGeom>
          <a:noFill/>
          <a:ln w="19050">
            <a:gradFill flip="none" rotWithShape="1">
              <a:gsLst>
                <a:gs pos="0">
                  <a:schemeClr val="bg1">
                    <a:alpha val="0"/>
                  </a:schemeClr>
                </a:gs>
                <a:gs pos="41000">
                  <a:schemeClr val="bg1">
                    <a:alpha val="60000"/>
                  </a:schemeClr>
                </a:gs>
                <a:gs pos="100000">
                  <a:schemeClr val="bg1">
                    <a:alpha val="0"/>
                  </a:schemeClr>
                </a:gs>
              </a:gsLst>
              <a:lin ang="2700000" scaled="1"/>
              <a:tileRect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" name="Forma libre 10"/>
          <xdr:cNvSpPr/>
        </xdr:nvSpPr>
        <xdr:spPr>
          <a:xfrm>
            <a:off x="325437" y="277811"/>
            <a:ext cx="5626101" cy="1057752"/>
          </a:xfrm>
          <a:custGeom>
            <a:avLst/>
            <a:gdLst>
              <a:gd name="connsiteX0" fmla="*/ 23813 w 4103688"/>
              <a:gd name="connsiteY0" fmla="*/ 0 h 1031875"/>
              <a:gd name="connsiteX1" fmla="*/ 0 w 4103688"/>
              <a:gd name="connsiteY1" fmla="*/ 1031875 h 1031875"/>
              <a:gd name="connsiteX2" fmla="*/ 2270125 w 4103688"/>
              <a:gd name="connsiteY2" fmla="*/ 992188 h 1031875"/>
              <a:gd name="connsiteX3" fmla="*/ 4103688 w 4103688"/>
              <a:gd name="connsiteY3" fmla="*/ 587375 h 1031875"/>
              <a:gd name="connsiteX4" fmla="*/ 4000500 w 4103688"/>
              <a:gd name="connsiteY4" fmla="*/ 63500 h 1031875"/>
              <a:gd name="connsiteX5" fmla="*/ 23813 w 4103688"/>
              <a:gd name="connsiteY5" fmla="*/ 0 h 1031875"/>
              <a:gd name="connsiteX0" fmla="*/ 23813 w 4373563"/>
              <a:gd name="connsiteY0" fmla="*/ 0 h 1031875"/>
              <a:gd name="connsiteX1" fmla="*/ 0 w 4373563"/>
              <a:gd name="connsiteY1" fmla="*/ 1031875 h 1031875"/>
              <a:gd name="connsiteX2" fmla="*/ 2270125 w 4373563"/>
              <a:gd name="connsiteY2" fmla="*/ 992188 h 1031875"/>
              <a:gd name="connsiteX3" fmla="*/ 4103688 w 4373563"/>
              <a:gd name="connsiteY3" fmla="*/ 587375 h 1031875"/>
              <a:gd name="connsiteX4" fmla="*/ 4373563 w 4373563"/>
              <a:gd name="connsiteY4" fmla="*/ 39688 h 1031875"/>
              <a:gd name="connsiteX5" fmla="*/ 23813 w 4373563"/>
              <a:gd name="connsiteY5" fmla="*/ 0 h 1031875"/>
              <a:gd name="connsiteX0" fmla="*/ 63501 w 4373563"/>
              <a:gd name="connsiteY0" fmla="*/ 0 h 1000125"/>
              <a:gd name="connsiteX1" fmla="*/ 0 w 4373563"/>
              <a:gd name="connsiteY1" fmla="*/ 1000125 h 1000125"/>
              <a:gd name="connsiteX2" fmla="*/ 2270125 w 4373563"/>
              <a:gd name="connsiteY2" fmla="*/ 960438 h 1000125"/>
              <a:gd name="connsiteX3" fmla="*/ 4103688 w 4373563"/>
              <a:gd name="connsiteY3" fmla="*/ 555625 h 1000125"/>
              <a:gd name="connsiteX4" fmla="*/ 4373563 w 4373563"/>
              <a:gd name="connsiteY4" fmla="*/ 7938 h 1000125"/>
              <a:gd name="connsiteX5" fmla="*/ 63501 w 4373563"/>
              <a:gd name="connsiteY5" fmla="*/ 0 h 1000125"/>
              <a:gd name="connsiteX0" fmla="*/ 31751 w 4341813"/>
              <a:gd name="connsiteY0" fmla="*/ 0 h 1008063"/>
              <a:gd name="connsiteX1" fmla="*/ 0 w 4341813"/>
              <a:gd name="connsiteY1" fmla="*/ 1008063 h 1008063"/>
              <a:gd name="connsiteX2" fmla="*/ 2238375 w 4341813"/>
              <a:gd name="connsiteY2" fmla="*/ 960438 h 1008063"/>
              <a:gd name="connsiteX3" fmla="*/ 4071938 w 4341813"/>
              <a:gd name="connsiteY3" fmla="*/ 555625 h 1008063"/>
              <a:gd name="connsiteX4" fmla="*/ 4341813 w 4341813"/>
              <a:gd name="connsiteY4" fmla="*/ 7938 h 1008063"/>
              <a:gd name="connsiteX5" fmla="*/ 31751 w 4341813"/>
              <a:gd name="connsiteY5" fmla="*/ 0 h 1008063"/>
              <a:gd name="connsiteX0" fmla="*/ 0 w 4357687"/>
              <a:gd name="connsiteY0" fmla="*/ 0 h 1016001"/>
              <a:gd name="connsiteX1" fmla="*/ 15874 w 4357687"/>
              <a:gd name="connsiteY1" fmla="*/ 1016001 h 1016001"/>
              <a:gd name="connsiteX2" fmla="*/ 2254249 w 4357687"/>
              <a:gd name="connsiteY2" fmla="*/ 968376 h 1016001"/>
              <a:gd name="connsiteX3" fmla="*/ 4087812 w 4357687"/>
              <a:gd name="connsiteY3" fmla="*/ 563563 h 1016001"/>
              <a:gd name="connsiteX4" fmla="*/ 4357687 w 4357687"/>
              <a:gd name="connsiteY4" fmla="*/ 15876 h 1016001"/>
              <a:gd name="connsiteX5" fmla="*/ 0 w 4357687"/>
              <a:gd name="connsiteY5" fmla="*/ 0 h 1016001"/>
              <a:gd name="connsiteX0" fmla="*/ 0 w 4357687"/>
              <a:gd name="connsiteY0" fmla="*/ 0 h 1016001"/>
              <a:gd name="connsiteX1" fmla="*/ 15874 w 4357687"/>
              <a:gd name="connsiteY1" fmla="*/ 1016001 h 1016001"/>
              <a:gd name="connsiteX2" fmla="*/ 4087812 w 4357687"/>
              <a:gd name="connsiteY2" fmla="*/ 563563 h 1016001"/>
              <a:gd name="connsiteX3" fmla="*/ 4357687 w 4357687"/>
              <a:gd name="connsiteY3" fmla="*/ 15876 h 1016001"/>
              <a:gd name="connsiteX4" fmla="*/ 0 w 4357687"/>
              <a:gd name="connsiteY4" fmla="*/ 0 h 1016001"/>
              <a:gd name="connsiteX0" fmla="*/ 0 w 4765835"/>
              <a:gd name="connsiteY0" fmla="*/ 0 h 1030726"/>
              <a:gd name="connsiteX1" fmla="*/ 15874 w 4765835"/>
              <a:gd name="connsiteY1" fmla="*/ 1016001 h 1030726"/>
              <a:gd name="connsiteX2" fmla="*/ 4087812 w 4765835"/>
              <a:gd name="connsiteY2" fmla="*/ 563563 h 1030726"/>
              <a:gd name="connsiteX3" fmla="*/ 4357687 w 4765835"/>
              <a:gd name="connsiteY3" fmla="*/ 15876 h 1030726"/>
              <a:gd name="connsiteX4" fmla="*/ 0 w 4765835"/>
              <a:gd name="connsiteY4" fmla="*/ 0 h 1030726"/>
              <a:gd name="connsiteX0" fmla="*/ 0 w 4737793"/>
              <a:gd name="connsiteY0" fmla="*/ 0 h 1044166"/>
              <a:gd name="connsiteX1" fmla="*/ 15874 w 4737793"/>
              <a:gd name="connsiteY1" fmla="*/ 1016001 h 1044166"/>
              <a:gd name="connsiteX2" fmla="*/ 4008437 w 4737793"/>
              <a:gd name="connsiteY2" fmla="*/ 785813 h 1044166"/>
              <a:gd name="connsiteX3" fmla="*/ 4357687 w 4737793"/>
              <a:gd name="connsiteY3" fmla="*/ 15876 h 1044166"/>
              <a:gd name="connsiteX4" fmla="*/ 0 w 4737793"/>
              <a:gd name="connsiteY4" fmla="*/ 0 h 1044166"/>
              <a:gd name="connsiteX0" fmla="*/ 0 w 4357687"/>
              <a:gd name="connsiteY0" fmla="*/ 0 h 1044166"/>
              <a:gd name="connsiteX1" fmla="*/ 15874 w 4357687"/>
              <a:gd name="connsiteY1" fmla="*/ 1016001 h 1044166"/>
              <a:gd name="connsiteX2" fmla="*/ 4008437 w 4357687"/>
              <a:gd name="connsiteY2" fmla="*/ 785813 h 1044166"/>
              <a:gd name="connsiteX3" fmla="*/ 4357687 w 4357687"/>
              <a:gd name="connsiteY3" fmla="*/ 15876 h 1044166"/>
              <a:gd name="connsiteX4" fmla="*/ 0 w 4357687"/>
              <a:gd name="connsiteY4" fmla="*/ 0 h 1044166"/>
              <a:gd name="connsiteX0" fmla="*/ 0 w 5857876"/>
              <a:gd name="connsiteY0" fmla="*/ 0 h 1038091"/>
              <a:gd name="connsiteX1" fmla="*/ 15874 w 5857876"/>
              <a:gd name="connsiteY1" fmla="*/ 1016001 h 1038091"/>
              <a:gd name="connsiteX2" fmla="*/ 4008437 w 5857876"/>
              <a:gd name="connsiteY2" fmla="*/ 785813 h 1038091"/>
              <a:gd name="connsiteX3" fmla="*/ 5857876 w 5857876"/>
              <a:gd name="connsiteY3" fmla="*/ 452437 h 1038091"/>
              <a:gd name="connsiteX4" fmla="*/ 4357687 w 5857876"/>
              <a:gd name="connsiteY4" fmla="*/ 15876 h 1038091"/>
              <a:gd name="connsiteX5" fmla="*/ 0 w 5857876"/>
              <a:gd name="connsiteY5" fmla="*/ 0 h 1038091"/>
              <a:gd name="connsiteX0" fmla="*/ 0 w 5857876"/>
              <a:gd name="connsiteY0" fmla="*/ 0 h 1038091"/>
              <a:gd name="connsiteX1" fmla="*/ 15874 w 5857876"/>
              <a:gd name="connsiteY1" fmla="*/ 1016001 h 1038091"/>
              <a:gd name="connsiteX2" fmla="*/ 4008437 w 5857876"/>
              <a:gd name="connsiteY2" fmla="*/ 785813 h 1038091"/>
              <a:gd name="connsiteX3" fmla="*/ 5857876 w 5857876"/>
              <a:gd name="connsiteY3" fmla="*/ 452437 h 1038091"/>
              <a:gd name="connsiteX4" fmla="*/ 5667374 w 5857876"/>
              <a:gd name="connsiteY4" fmla="*/ 15876 h 1038091"/>
              <a:gd name="connsiteX5" fmla="*/ 0 w 5857876"/>
              <a:gd name="connsiteY5" fmla="*/ 0 h 1038091"/>
              <a:gd name="connsiteX0" fmla="*/ 0 w 5707063"/>
              <a:gd name="connsiteY0" fmla="*/ 0 h 1037826"/>
              <a:gd name="connsiteX1" fmla="*/ 15874 w 5707063"/>
              <a:gd name="connsiteY1" fmla="*/ 1016001 h 1037826"/>
              <a:gd name="connsiteX2" fmla="*/ 4008437 w 5707063"/>
              <a:gd name="connsiteY2" fmla="*/ 785813 h 1037826"/>
              <a:gd name="connsiteX3" fmla="*/ 5707063 w 5707063"/>
              <a:gd name="connsiteY3" fmla="*/ 476249 h 1037826"/>
              <a:gd name="connsiteX4" fmla="*/ 5667374 w 5707063"/>
              <a:gd name="connsiteY4" fmla="*/ 15876 h 1037826"/>
              <a:gd name="connsiteX5" fmla="*/ 0 w 5707063"/>
              <a:gd name="connsiteY5" fmla="*/ 0 h 1037826"/>
              <a:gd name="connsiteX0" fmla="*/ 0 w 5707063"/>
              <a:gd name="connsiteY0" fmla="*/ 0 h 1025259"/>
              <a:gd name="connsiteX1" fmla="*/ 15874 w 5707063"/>
              <a:gd name="connsiteY1" fmla="*/ 1016001 h 1025259"/>
              <a:gd name="connsiteX2" fmla="*/ 5707063 w 5707063"/>
              <a:gd name="connsiteY2" fmla="*/ 476249 h 1025259"/>
              <a:gd name="connsiteX3" fmla="*/ 5667374 w 5707063"/>
              <a:gd name="connsiteY3" fmla="*/ 15876 h 1025259"/>
              <a:gd name="connsiteX4" fmla="*/ 0 w 5707063"/>
              <a:gd name="connsiteY4" fmla="*/ 0 h 1025259"/>
              <a:gd name="connsiteX0" fmla="*/ 0 w 5683251"/>
              <a:gd name="connsiteY0" fmla="*/ 0 h 1025865"/>
              <a:gd name="connsiteX1" fmla="*/ 15874 w 5683251"/>
              <a:gd name="connsiteY1" fmla="*/ 1016001 h 1025865"/>
              <a:gd name="connsiteX2" fmla="*/ 5683251 w 5683251"/>
              <a:gd name="connsiteY2" fmla="*/ 507999 h 1025865"/>
              <a:gd name="connsiteX3" fmla="*/ 5667374 w 5683251"/>
              <a:gd name="connsiteY3" fmla="*/ 15876 h 1025865"/>
              <a:gd name="connsiteX4" fmla="*/ 0 w 5683251"/>
              <a:gd name="connsiteY4" fmla="*/ 0 h 1025865"/>
              <a:gd name="connsiteX0" fmla="*/ 0 w 5683251"/>
              <a:gd name="connsiteY0" fmla="*/ 0 h 1027709"/>
              <a:gd name="connsiteX1" fmla="*/ 15874 w 5683251"/>
              <a:gd name="connsiteY1" fmla="*/ 1016001 h 1027709"/>
              <a:gd name="connsiteX2" fmla="*/ 5683251 w 5683251"/>
              <a:gd name="connsiteY2" fmla="*/ 507999 h 1027709"/>
              <a:gd name="connsiteX3" fmla="*/ 5667374 w 5683251"/>
              <a:gd name="connsiteY3" fmla="*/ 15876 h 1027709"/>
              <a:gd name="connsiteX4" fmla="*/ 0 w 5683251"/>
              <a:gd name="connsiteY4" fmla="*/ 0 h 1027709"/>
              <a:gd name="connsiteX0" fmla="*/ 0 w 5683251"/>
              <a:gd name="connsiteY0" fmla="*/ 0 h 1056165"/>
              <a:gd name="connsiteX1" fmla="*/ 15874 w 5683251"/>
              <a:gd name="connsiteY1" fmla="*/ 1016001 h 1056165"/>
              <a:gd name="connsiteX2" fmla="*/ 5683251 w 5683251"/>
              <a:gd name="connsiteY2" fmla="*/ 507999 h 1056165"/>
              <a:gd name="connsiteX3" fmla="*/ 5667374 w 5683251"/>
              <a:gd name="connsiteY3" fmla="*/ 15876 h 1056165"/>
              <a:gd name="connsiteX4" fmla="*/ 0 w 5683251"/>
              <a:gd name="connsiteY4" fmla="*/ 0 h 1056165"/>
              <a:gd name="connsiteX0" fmla="*/ 0 w 5683251"/>
              <a:gd name="connsiteY0" fmla="*/ 0 h 1056165"/>
              <a:gd name="connsiteX1" fmla="*/ 15874 w 5683251"/>
              <a:gd name="connsiteY1" fmla="*/ 1016001 h 1056165"/>
              <a:gd name="connsiteX2" fmla="*/ 5683251 w 5683251"/>
              <a:gd name="connsiteY2" fmla="*/ 507999 h 1056165"/>
              <a:gd name="connsiteX3" fmla="*/ 5667374 w 5683251"/>
              <a:gd name="connsiteY3" fmla="*/ 1 h 1056165"/>
              <a:gd name="connsiteX4" fmla="*/ 0 w 5683251"/>
              <a:gd name="connsiteY4" fmla="*/ 0 h 105616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683251" h="1056165">
                <a:moveTo>
                  <a:pt x="0" y="0"/>
                </a:moveTo>
                <a:lnTo>
                  <a:pt x="15874" y="1016001"/>
                </a:lnTo>
                <a:cubicBezTo>
                  <a:pt x="1165488" y="1190626"/>
                  <a:pt x="4725459" y="754062"/>
                  <a:pt x="5683251" y="507999"/>
                </a:cubicBezTo>
                <a:lnTo>
                  <a:pt x="5667374" y="1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bg1">
                  <a:alpha val="78000"/>
                </a:schemeClr>
              </a:gs>
              <a:gs pos="95000">
                <a:schemeClr val="bg1">
                  <a:alpha val="0"/>
                </a:schemeClr>
              </a:gs>
            </a:gsLst>
            <a:lin ang="2400000" scaled="0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orma libre 44"/>
          <xdr:cNvSpPr/>
        </xdr:nvSpPr>
        <xdr:spPr>
          <a:xfrm flipV="1">
            <a:off x="349249" y="6485993"/>
            <a:ext cx="7035804" cy="691566"/>
          </a:xfrm>
          <a:custGeom>
            <a:avLst/>
            <a:gdLst>
              <a:gd name="connsiteX0" fmla="*/ 23813 w 4103688"/>
              <a:gd name="connsiteY0" fmla="*/ 0 h 1031875"/>
              <a:gd name="connsiteX1" fmla="*/ 0 w 4103688"/>
              <a:gd name="connsiteY1" fmla="*/ 1031875 h 1031875"/>
              <a:gd name="connsiteX2" fmla="*/ 2270125 w 4103688"/>
              <a:gd name="connsiteY2" fmla="*/ 992188 h 1031875"/>
              <a:gd name="connsiteX3" fmla="*/ 4103688 w 4103688"/>
              <a:gd name="connsiteY3" fmla="*/ 587375 h 1031875"/>
              <a:gd name="connsiteX4" fmla="*/ 4000500 w 4103688"/>
              <a:gd name="connsiteY4" fmla="*/ 63500 h 1031875"/>
              <a:gd name="connsiteX5" fmla="*/ 23813 w 4103688"/>
              <a:gd name="connsiteY5" fmla="*/ 0 h 1031875"/>
              <a:gd name="connsiteX0" fmla="*/ 23813 w 4373563"/>
              <a:gd name="connsiteY0" fmla="*/ 0 h 1031875"/>
              <a:gd name="connsiteX1" fmla="*/ 0 w 4373563"/>
              <a:gd name="connsiteY1" fmla="*/ 1031875 h 1031875"/>
              <a:gd name="connsiteX2" fmla="*/ 2270125 w 4373563"/>
              <a:gd name="connsiteY2" fmla="*/ 992188 h 1031875"/>
              <a:gd name="connsiteX3" fmla="*/ 4103688 w 4373563"/>
              <a:gd name="connsiteY3" fmla="*/ 587375 h 1031875"/>
              <a:gd name="connsiteX4" fmla="*/ 4373563 w 4373563"/>
              <a:gd name="connsiteY4" fmla="*/ 39688 h 1031875"/>
              <a:gd name="connsiteX5" fmla="*/ 23813 w 4373563"/>
              <a:gd name="connsiteY5" fmla="*/ 0 h 1031875"/>
              <a:gd name="connsiteX0" fmla="*/ 63501 w 4373563"/>
              <a:gd name="connsiteY0" fmla="*/ 0 h 1000125"/>
              <a:gd name="connsiteX1" fmla="*/ 0 w 4373563"/>
              <a:gd name="connsiteY1" fmla="*/ 1000125 h 1000125"/>
              <a:gd name="connsiteX2" fmla="*/ 2270125 w 4373563"/>
              <a:gd name="connsiteY2" fmla="*/ 960438 h 1000125"/>
              <a:gd name="connsiteX3" fmla="*/ 4103688 w 4373563"/>
              <a:gd name="connsiteY3" fmla="*/ 555625 h 1000125"/>
              <a:gd name="connsiteX4" fmla="*/ 4373563 w 4373563"/>
              <a:gd name="connsiteY4" fmla="*/ 7938 h 1000125"/>
              <a:gd name="connsiteX5" fmla="*/ 63501 w 4373563"/>
              <a:gd name="connsiteY5" fmla="*/ 0 h 1000125"/>
              <a:gd name="connsiteX0" fmla="*/ 31751 w 4341813"/>
              <a:gd name="connsiteY0" fmla="*/ 0 h 1008063"/>
              <a:gd name="connsiteX1" fmla="*/ 0 w 4341813"/>
              <a:gd name="connsiteY1" fmla="*/ 1008063 h 1008063"/>
              <a:gd name="connsiteX2" fmla="*/ 2238375 w 4341813"/>
              <a:gd name="connsiteY2" fmla="*/ 960438 h 1008063"/>
              <a:gd name="connsiteX3" fmla="*/ 4071938 w 4341813"/>
              <a:gd name="connsiteY3" fmla="*/ 555625 h 1008063"/>
              <a:gd name="connsiteX4" fmla="*/ 4341813 w 4341813"/>
              <a:gd name="connsiteY4" fmla="*/ 7938 h 1008063"/>
              <a:gd name="connsiteX5" fmla="*/ 31751 w 4341813"/>
              <a:gd name="connsiteY5" fmla="*/ 0 h 1008063"/>
              <a:gd name="connsiteX0" fmla="*/ 0 w 4357687"/>
              <a:gd name="connsiteY0" fmla="*/ 0 h 1016001"/>
              <a:gd name="connsiteX1" fmla="*/ 15874 w 4357687"/>
              <a:gd name="connsiteY1" fmla="*/ 1016001 h 1016001"/>
              <a:gd name="connsiteX2" fmla="*/ 2254249 w 4357687"/>
              <a:gd name="connsiteY2" fmla="*/ 968376 h 1016001"/>
              <a:gd name="connsiteX3" fmla="*/ 4087812 w 4357687"/>
              <a:gd name="connsiteY3" fmla="*/ 563563 h 1016001"/>
              <a:gd name="connsiteX4" fmla="*/ 4357687 w 4357687"/>
              <a:gd name="connsiteY4" fmla="*/ 15876 h 1016001"/>
              <a:gd name="connsiteX5" fmla="*/ 0 w 4357687"/>
              <a:gd name="connsiteY5" fmla="*/ 0 h 1016001"/>
              <a:gd name="connsiteX0" fmla="*/ 0 w 4357687"/>
              <a:gd name="connsiteY0" fmla="*/ 0 h 1016001"/>
              <a:gd name="connsiteX1" fmla="*/ 15874 w 4357687"/>
              <a:gd name="connsiteY1" fmla="*/ 1016001 h 1016001"/>
              <a:gd name="connsiteX2" fmla="*/ 4087812 w 4357687"/>
              <a:gd name="connsiteY2" fmla="*/ 563563 h 1016001"/>
              <a:gd name="connsiteX3" fmla="*/ 4357687 w 4357687"/>
              <a:gd name="connsiteY3" fmla="*/ 15876 h 1016001"/>
              <a:gd name="connsiteX4" fmla="*/ 0 w 4357687"/>
              <a:gd name="connsiteY4" fmla="*/ 0 h 1016001"/>
              <a:gd name="connsiteX0" fmla="*/ 0 w 4765835"/>
              <a:gd name="connsiteY0" fmla="*/ 0 h 1030726"/>
              <a:gd name="connsiteX1" fmla="*/ 15874 w 4765835"/>
              <a:gd name="connsiteY1" fmla="*/ 1016001 h 1030726"/>
              <a:gd name="connsiteX2" fmla="*/ 4087812 w 4765835"/>
              <a:gd name="connsiteY2" fmla="*/ 563563 h 1030726"/>
              <a:gd name="connsiteX3" fmla="*/ 4357687 w 4765835"/>
              <a:gd name="connsiteY3" fmla="*/ 15876 h 1030726"/>
              <a:gd name="connsiteX4" fmla="*/ 0 w 4765835"/>
              <a:gd name="connsiteY4" fmla="*/ 0 h 1030726"/>
              <a:gd name="connsiteX0" fmla="*/ 0 w 4737793"/>
              <a:gd name="connsiteY0" fmla="*/ 0 h 1044166"/>
              <a:gd name="connsiteX1" fmla="*/ 15874 w 4737793"/>
              <a:gd name="connsiteY1" fmla="*/ 1016001 h 1044166"/>
              <a:gd name="connsiteX2" fmla="*/ 4008437 w 4737793"/>
              <a:gd name="connsiteY2" fmla="*/ 785813 h 1044166"/>
              <a:gd name="connsiteX3" fmla="*/ 4357687 w 4737793"/>
              <a:gd name="connsiteY3" fmla="*/ 15876 h 1044166"/>
              <a:gd name="connsiteX4" fmla="*/ 0 w 4737793"/>
              <a:gd name="connsiteY4" fmla="*/ 0 h 1044166"/>
              <a:gd name="connsiteX0" fmla="*/ 0 w 4357687"/>
              <a:gd name="connsiteY0" fmla="*/ 0 h 1044166"/>
              <a:gd name="connsiteX1" fmla="*/ 15874 w 4357687"/>
              <a:gd name="connsiteY1" fmla="*/ 1016001 h 1044166"/>
              <a:gd name="connsiteX2" fmla="*/ 4008437 w 4357687"/>
              <a:gd name="connsiteY2" fmla="*/ 785813 h 1044166"/>
              <a:gd name="connsiteX3" fmla="*/ 4357687 w 4357687"/>
              <a:gd name="connsiteY3" fmla="*/ 15876 h 1044166"/>
              <a:gd name="connsiteX4" fmla="*/ 0 w 4357687"/>
              <a:gd name="connsiteY4" fmla="*/ 0 h 1044166"/>
              <a:gd name="connsiteX0" fmla="*/ 0 w 5857876"/>
              <a:gd name="connsiteY0" fmla="*/ 0 h 1038091"/>
              <a:gd name="connsiteX1" fmla="*/ 15874 w 5857876"/>
              <a:gd name="connsiteY1" fmla="*/ 1016001 h 1038091"/>
              <a:gd name="connsiteX2" fmla="*/ 4008437 w 5857876"/>
              <a:gd name="connsiteY2" fmla="*/ 785813 h 1038091"/>
              <a:gd name="connsiteX3" fmla="*/ 5857876 w 5857876"/>
              <a:gd name="connsiteY3" fmla="*/ 452437 h 1038091"/>
              <a:gd name="connsiteX4" fmla="*/ 4357687 w 5857876"/>
              <a:gd name="connsiteY4" fmla="*/ 15876 h 1038091"/>
              <a:gd name="connsiteX5" fmla="*/ 0 w 5857876"/>
              <a:gd name="connsiteY5" fmla="*/ 0 h 1038091"/>
              <a:gd name="connsiteX0" fmla="*/ 0 w 5857876"/>
              <a:gd name="connsiteY0" fmla="*/ 0 h 1038091"/>
              <a:gd name="connsiteX1" fmla="*/ 15874 w 5857876"/>
              <a:gd name="connsiteY1" fmla="*/ 1016001 h 1038091"/>
              <a:gd name="connsiteX2" fmla="*/ 4008437 w 5857876"/>
              <a:gd name="connsiteY2" fmla="*/ 785813 h 1038091"/>
              <a:gd name="connsiteX3" fmla="*/ 5857876 w 5857876"/>
              <a:gd name="connsiteY3" fmla="*/ 452437 h 1038091"/>
              <a:gd name="connsiteX4" fmla="*/ 5667374 w 5857876"/>
              <a:gd name="connsiteY4" fmla="*/ 15876 h 1038091"/>
              <a:gd name="connsiteX5" fmla="*/ 0 w 5857876"/>
              <a:gd name="connsiteY5" fmla="*/ 0 h 1038091"/>
              <a:gd name="connsiteX0" fmla="*/ 0 w 5707063"/>
              <a:gd name="connsiteY0" fmla="*/ 0 h 1037826"/>
              <a:gd name="connsiteX1" fmla="*/ 15874 w 5707063"/>
              <a:gd name="connsiteY1" fmla="*/ 1016001 h 1037826"/>
              <a:gd name="connsiteX2" fmla="*/ 4008437 w 5707063"/>
              <a:gd name="connsiteY2" fmla="*/ 785813 h 1037826"/>
              <a:gd name="connsiteX3" fmla="*/ 5707063 w 5707063"/>
              <a:gd name="connsiteY3" fmla="*/ 476249 h 1037826"/>
              <a:gd name="connsiteX4" fmla="*/ 5667374 w 5707063"/>
              <a:gd name="connsiteY4" fmla="*/ 15876 h 1037826"/>
              <a:gd name="connsiteX5" fmla="*/ 0 w 5707063"/>
              <a:gd name="connsiteY5" fmla="*/ 0 h 1037826"/>
              <a:gd name="connsiteX0" fmla="*/ 0 w 5707063"/>
              <a:gd name="connsiteY0" fmla="*/ 0 h 1025259"/>
              <a:gd name="connsiteX1" fmla="*/ 15874 w 5707063"/>
              <a:gd name="connsiteY1" fmla="*/ 1016001 h 1025259"/>
              <a:gd name="connsiteX2" fmla="*/ 5707063 w 5707063"/>
              <a:gd name="connsiteY2" fmla="*/ 476249 h 1025259"/>
              <a:gd name="connsiteX3" fmla="*/ 5667374 w 5707063"/>
              <a:gd name="connsiteY3" fmla="*/ 15876 h 1025259"/>
              <a:gd name="connsiteX4" fmla="*/ 0 w 5707063"/>
              <a:gd name="connsiteY4" fmla="*/ 0 h 1025259"/>
              <a:gd name="connsiteX0" fmla="*/ 0 w 5683251"/>
              <a:gd name="connsiteY0" fmla="*/ 0 h 1025865"/>
              <a:gd name="connsiteX1" fmla="*/ 15874 w 5683251"/>
              <a:gd name="connsiteY1" fmla="*/ 1016001 h 1025865"/>
              <a:gd name="connsiteX2" fmla="*/ 5683251 w 5683251"/>
              <a:gd name="connsiteY2" fmla="*/ 507999 h 1025865"/>
              <a:gd name="connsiteX3" fmla="*/ 5667374 w 5683251"/>
              <a:gd name="connsiteY3" fmla="*/ 15876 h 1025865"/>
              <a:gd name="connsiteX4" fmla="*/ 0 w 5683251"/>
              <a:gd name="connsiteY4" fmla="*/ 0 h 1025865"/>
              <a:gd name="connsiteX0" fmla="*/ 0 w 5683251"/>
              <a:gd name="connsiteY0" fmla="*/ 0 h 1027709"/>
              <a:gd name="connsiteX1" fmla="*/ 15874 w 5683251"/>
              <a:gd name="connsiteY1" fmla="*/ 1016001 h 1027709"/>
              <a:gd name="connsiteX2" fmla="*/ 5683251 w 5683251"/>
              <a:gd name="connsiteY2" fmla="*/ 507999 h 1027709"/>
              <a:gd name="connsiteX3" fmla="*/ 5667374 w 5683251"/>
              <a:gd name="connsiteY3" fmla="*/ 15876 h 1027709"/>
              <a:gd name="connsiteX4" fmla="*/ 0 w 5683251"/>
              <a:gd name="connsiteY4" fmla="*/ 0 h 1027709"/>
              <a:gd name="connsiteX0" fmla="*/ 0 w 5683251"/>
              <a:gd name="connsiteY0" fmla="*/ 0 h 1056165"/>
              <a:gd name="connsiteX1" fmla="*/ 15874 w 5683251"/>
              <a:gd name="connsiteY1" fmla="*/ 1016001 h 1056165"/>
              <a:gd name="connsiteX2" fmla="*/ 5683251 w 5683251"/>
              <a:gd name="connsiteY2" fmla="*/ 507999 h 1056165"/>
              <a:gd name="connsiteX3" fmla="*/ 5667374 w 5683251"/>
              <a:gd name="connsiteY3" fmla="*/ 15876 h 1056165"/>
              <a:gd name="connsiteX4" fmla="*/ 0 w 5683251"/>
              <a:gd name="connsiteY4" fmla="*/ 0 h 1056165"/>
              <a:gd name="connsiteX0" fmla="*/ 0 w 5683251"/>
              <a:gd name="connsiteY0" fmla="*/ 0 h 1056165"/>
              <a:gd name="connsiteX1" fmla="*/ 15874 w 5683251"/>
              <a:gd name="connsiteY1" fmla="*/ 1016001 h 1056165"/>
              <a:gd name="connsiteX2" fmla="*/ 5683251 w 5683251"/>
              <a:gd name="connsiteY2" fmla="*/ 507999 h 1056165"/>
              <a:gd name="connsiteX3" fmla="*/ 5667374 w 5683251"/>
              <a:gd name="connsiteY3" fmla="*/ 1 h 1056165"/>
              <a:gd name="connsiteX4" fmla="*/ 0 w 5683251"/>
              <a:gd name="connsiteY4" fmla="*/ 0 h 1056165"/>
              <a:gd name="connsiteX0" fmla="*/ 1 w 5683252"/>
              <a:gd name="connsiteY0" fmla="*/ 0 h 1150274"/>
              <a:gd name="connsiteX1" fmla="*/ 0 w 5683252"/>
              <a:gd name="connsiteY1" fmla="*/ 1115970 h 1150274"/>
              <a:gd name="connsiteX2" fmla="*/ 5683252 w 5683252"/>
              <a:gd name="connsiteY2" fmla="*/ 507999 h 1150274"/>
              <a:gd name="connsiteX3" fmla="*/ 5667375 w 5683252"/>
              <a:gd name="connsiteY3" fmla="*/ 1 h 1150274"/>
              <a:gd name="connsiteX4" fmla="*/ 1 w 5683252"/>
              <a:gd name="connsiteY4" fmla="*/ 0 h 1150274"/>
              <a:gd name="connsiteX0" fmla="*/ 1 w 5683252"/>
              <a:gd name="connsiteY0" fmla="*/ 0 h 1115970"/>
              <a:gd name="connsiteX1" fmla="*/ 0 w 5683252"/>
              <a:gd name="connsiteY1" fmla="*/ 1115970 h 1115970"/>
              <a:gd name="connsiteX2" fmla="*/ 5683252 w 5683252"/>
              <a:gd name="connsiteY2" fmla="*/ 507999 h 1115970"/>
              <a:gd name="connsiteX3" fmla="*/ 5667375 w 5683252"/>
              <a:gd name="connsiteY3" fmla="*/ 1 h 1115970"/>
              <a:gd name="connsiteX4" fmla="*/ 1 w 5683252"/>
              <a:gd name="connsiteY4" fmla="*/ 0 h 1115970"/>
              <a:gd name="connsiteX0" fmla="*/ 1 w 6127752"/>
              <a:gd name="connsiteY0" fmla="*/ 0 h 1383801"/>
              <a:gd name="connsiteX1" fmla="*/ 0 w 6127752"/>
              <a:gd name="connsiteY1" fmla="*/ 1115970 h 1383801"/>
              <a:gd name="connsiteX2" fmla="*/ 6127752 w 6127752"/>
              <a:gd name="connsiteY2" fmla="*/ 1332740 h 1383801"/>
              <a:gd name="connsiteX3" fmla="*/ 5667375 w 6127752"/>
              <a:gd name="connsiteY3" fmla="*/ 1 h 1383801"/>
              <a:gd name="connsiteX4" fmla="*/ 1 w 6127752"/>
              <a:gd name="connsiteY4" fmla="*/ 0 h 1383801"/>
              <a:gd name="connsiteX0" fmla="*/ 1 w 6127752"/>
              <a:gd name="connsiteY0" fmla="*/ 0 h 1332740"/>
              <a:gd name="connsiteX1" fmla="*/ 0 w 6127752"/>
              <a:gd name="connsiteY1" fmla="*/ 1115970 h 1332740"/>
              <a:gd name="connsiteX2" fmla="*/ 6127752 w 6127752"/>
              <a:gd name="connsiteY2" fmla="*/ 1332740 h 1332740"/>
              <a:gd name="connsiteX3" fmla="*/ 5667375 w 6127752"/>
              <a:gd name="connsiteY3" fmla="*/ 1 h 1332740"/>
              <a:gd name="connsiteX4" fmla="*/ 1 w 6127752"/>
              <a:gd name="connsiteY4" fmla="*/ 0 h 1332740"/>
              <a:gd name="connsiteX0" fmla="*/ 0 w 6127751"/>
              <a:gd name="connsiteY0" fmla="*/ 0 h 1465860"/>
              <a:gd name="connsiteX1" fmla="*/ 23811 w 6127751"/>
              <a:gd name="connsiteY1" fmla="*/ 1465860 h 1465860"/>
              <a:gd name="connsiteX2" fmla="*/ 6127751 w 6127751"/>
              <a:gd name="connsiteY2" fmla="*/ 1332740 h 1465860"/>
              <a:gd name="connsiteX3" fmla="*/ 5667374 w 6127751"/>
              <a:gd name="connsiteY3" fmla="*/ 1 h 1465860"/>
              <a:gd name="connsiteX4" fmla="*/ 0 w 6127751"/>
              <a:gd name="connsiteY4" fmla="*/ 0 h 1465860"/>
              <a:gd name="connsiteX0" fmla="*/ 0 w 6127751"/>
              <a:gd name="connsiteY0" fmla="*/ 0 h 1465860"/>
              <a:gd name="connsiteX1" fmla="*/ 23811 w 6127751"/>
              <a:gd name="connsiteY1" fmla="*/ 1465860 h 1465860"/>
              <a:gd name="connsiteX2" fmla="*/ 6127751 w 6127751"/>
              <a:gd name="connsiteY2" fmla="*/ 1332740 h 1465860"/>
              <a:gd name="connsiteX3" fmla="*/ 5667374 w 6127751"/>
              <a:gd name="connsiteY3" fmla="*/ 1 h 1465860"/>
              <a:gd name="connsiteX4" fmla="*/ 0 w 6127751"/>
              <a:gd name="connsiteY4" fmla="*/ 0 h 1465860"/>
              <a:gd name="connsiteX0" fmla="*/ 1 w 6103940"/>
              <a:gd name="connsiteY0" fmla="*/ 24991 h 1465860"/>
              <a:gd name="connsiteX1" fmla="*/ 0 w 6103940"/>
              <a:gd name="connsiteY1" fmla="*/ 1465860 h 1465860"/>
              <a:gd name="connsiteX2" fmla="*/ 6103940 w 6103940"/>
              <a:gd name="connsiteY2" fmla="*/ 1332740 h 1465860"/>
              <a:gd name="connsiteX3" fmla="*/ 5643563 w 6103940"/>
              <a:gd name="connsiteY3" fmla="*/ 1 h 1465860"/>
              <a:gd name="connsiteX4" fmla="*/ 1 w 6103940"/>
              <a:gd name="connsiteY4" fmla="*/ 24991 h 1465860"/>
              <a:gd name="connsiteX0" fmla="*/ 1 w 6103940"/>
              <a:gd name="connsiteY0" fmla="*/ 24991 h 1465860"/>
              <a:gd name="connsiteX1" fmla="*/ 0 w 6103940"/>
              <a:gd name="connsiteY1" fmla="*/ 1465860 h 1465860"/>
              <a:gd name="connsiteX2" fmla="*/ 6103940 w 6103940"/>
              <a:gd name="connsiteY2" fmla="*/ 1332740 h 1465860"/>
              <a:gd name="connsiteX3" fmla="*/ 5643563 w 6103940"/>
              <a:gd name="connsiteY3" fmla="*/ 1 h 1465860"/>
              <a:gd name="connsiteX4" fmla="*/ 1 w 6103940"/>
              <a:gd name="connsiteY4" fmla="*/ 24991 h 1465860"/>
              <a:gd name="connsiteX0" fmla="*/ 1 w 6667503"/>
              <a:gd name="connsiteY0" fmla="*/ 24991 h 1465860"/>
              <a:gd name="connsiteX1" fmla="*/ 0 w 6667503"/>
              <a:gd name="connsiteY1" fmla="*/ 1465860 h 1465860"/>
              <a:gd name="connsiteX2" fmla="*/ 6667503 w 6667503"/>
              <a:gd name="connsiteY2" fmla="*/ 1207781 h 1465860"/>
              <a:gd name="connsiteX3" fmla="*/ 5643563 w 6667503"/>
              <a:gd name="connsiteY3" fmla="*/ 1 h 1465860"/>
              <a:gd name="connsiteX4" fmla="*/ 1 w 6667503"/>
              <a:gd name="connsiteY4" fmla="*/ 24991 h 1465860"/>
              <a:gd name="connsiteX0" fmla="*/ 1 w 6667503"/>
              <a:gd name="connsiteY0" fmla="*/ 24991 h 1765766"/>
              <a:gd name="connsiteX1" fmla="*/ 0 w 6667503"/>
              <a:gd name="connsiteY1" fmla="*/ 1765766 h 1765766"/>
              <a:gd name="connsiteX2" fmla="*/ 6667503 w 6667503"/>
              <a:gd name="connsiteY2" fmla="*/ 1207781 h 1765766"/>
              <a:gd name="connsiteX3" fmla="*/ 5643563 w 6667503"/>
              <a:gd name="connsiteY3" fmla="*/ 1 h 1765766"/>
              <a:gd name="connsiteX4" fmla="*/ 1 w 6667503"/>
              <a:gd name="connsiteY4" fmla="*/ 24991 h 1765766"/>
              <a:gd name="connsiteX0" fmla="*/ 1 w 7104066"/>
              <a:gd name="connsiteY0" fmla="*/ 24991 h 2107498"/>
              <a:gd name="connsiteX1" fmla="*/ 0 w 7104066"/>
              <a:gd name="connsiteY1" fmla="*/ 1765766 h 2107498"/>
              <a:gd name="connsiteX2" fmla="*/ 7104066 w 7104066"/>
              <a:gd name="connsiteY2" fmla="*/ 2107498 h 2107498"/>
              <a:gd name="connsiteX3" fmla="*/ 5643563 w 7104066"/>
              <a:gd name="connsiteY3" fmla="*/ 1 h 2107498"/>
              <a:gd name="connsiteX4" fmla="*/ 1 w 7104066"/>
              <a:gd name="connsiteY4" fmla="*/ 24991 h 2107498"/>
              <a:gd name="connsiteX0" fmla="*/ 1 w 7104066"/>
              <a:gd name="connsiteY0" fmla="*/ 24991 h 2107498"/>
              <a:gd name="connsiteX1" fmla="*/ 0 w 7104066"/>
              <a:gd name="connsiteY1" fmla="*/ 1765766 h 2107498"/>
              <a:gd name="connsiteX2" fmla="*/ 7104066 w 7104066"/>
              <a:gd name="connsiteY2" fmla="*/ 2107498 h 2107498"/>
              <a:gd name="connsiteX3" fmla="*/ 5643563 w 7104066"/>
              <a:gd name="connsiteY3" fmla="*/ 1 h 2107498"/>
              <a:gd name="connsiteX4" fmla="*/ 1 w 7104066"/>
              <a:gd name="connsiteY4" fmla="*/ 24991 h 2107498"/>
              <a:gd name="connsiteX0" fmla="*/ 1 w 7104066"/>
              <a:gd name="connsiteY0" fmla="*/ 0 h 2082507"/>
              <a:gd name="connsiteX1" fmla="*/ 0 w 7104066"/>
              <a:gd name="connsiteY1" fmla="*/ 1740775 h 2082507"/>
              <a:gd name="connsiteX2" fmla="*/ 7104066 w 7104066"/>
              <a:gd name="connsiteY2" fmla="*/ 2082507 h 2082507"/>
              <a:gd name="connsiteX3" fmla="*/ 6302375 w 7104066"/>
              <a:gd name="connsiteY3" fmla="*/ 49987 h 2082507"/>
              <a:gd name="connsiteX4" fmla="*/ 1 w 7104066"/>
              <a:gd name="connsiteY4" fmla="*/ 0 h 2082507"/>
              <a:gd name="connsiteX0" fmla="*/ 1 w 7104066"/>
              <a:gd name="connsiteY0" fmla="*/ 0 h 2082507"/>
              <a:gd name="connsiteX1" fmla="*/ 0 w 7104066"/>
              <a:gd name="connsiteY1" fmla="*/ 1740775 h 2082507"/>
              <a:gd name="connsiteX2" fmla="*/ 7104066 w 7104066"/>
              <a:gd name="connsiteY2" fmla="*/ 2082507 h 2082507"/>
              <a:gd name="connsiteX3" fmla="*/ 6302375 w 7104066"/>
              <a:gd name="connsiteY3" fmla="*/ 49987 h 2082507"/>
              <a:gd name="connsiteX4" fmla="*/ 1 w 7104066"/>
              <a:gd name="connsiteY4" fmla="*/ 0 h 2082507"/>
              <a:gd name="connsiteX0" fmla="*/ 1 w 7104066"/>
              <a:gd name="connsiteY0" fmla="*/ 0 h 2082507"/>
              <a:gd name="connsiteX1" fmla="*/ 0 w 7104066"/>
              <a:gd name="connsiteY1" fmla="*/ 1740775 h 2082507"/>
              <a:gd name="connsiteX2" fmla="*/ 7104066 w 7104066"/>
              <a:gd name="connsiteY2" fmla="*/ 2082507 h 2082507"/>
              <a:gd name="connsiteX3" fmla="*/ 6302375 w 7104066"/>
              <a:gd name="connsiteY3" fmla="*/ 49987 h 2082507"/>
              <a:gd name="connsiteX4" fmla="*/ 1 w 7104066"/>
              <a:gd name="connsiteY4" fmla="*/ 0 h 2082507"/>
              <a:gd name="connsiteX0" fmla="*/ 1 w 7104066"/>
              <a:gd name="connsiteY0" fmla="*/ 0 h 2082507"/>
              <a:gd name="connsiteX1" fmla="*/ 0 w 7104066"/>
              <a:gd name="connsiteY1" fmla="*/ 1740775 h 2082507"/>
              <a:gd name="connsiteX2" fmla="*/ 7104066 w 7104066"/>
              <a:gd name="connsiteY2" fmla="*/ 2082507 h 2082507"/>
              <a:gd name="connsiteX3" fmla="*/ 6302375 w 7104066"/>
              <a:gd name="connsiteY3" fmla="*/ 49987 h 2082507"/>
              <a:gd name="connsiteX4" fmla="*/ 1 w 7104066"/>
              <a:gd name="connsiteY4" fmla="*/ 0 h 2082507"/>
              <a:gd name="connsiteX0" fmla="*/ 1 w 7104066"/>
              <a:gd name="connsiteY0" fmla="*/ 0 h 2082507"/>
              <a:gd name="connsiteX1" fmla="*/ 0 w 7104066"/>
              <a:gd name="connsiteY1" fmla="*/ 1740775 h 2082507"/>
              <a:gd name="connsiteX2" fmla="*/ 7104066 w 7104066"/>
              <a:gd name="connsiteY2" fmla="*/ 2082507 h 2082507"/>
              <a:gd name="connsiteX3" fmla="*/ 6302375 w 7104066"/>
              <a:gd name="connsiteY3" fmla="*/ 49987 h 2082507"/>
              <a:gd name="connsiteX4" fmla="*/ 1 w 7104066"/>
              <a:gd name="connsiteY4" fmla="*/ 0 h 2082507"/>
              <a:gd name="connsiteX0" fmla="*/ 1 w 7104066"/>
              <a:gd name="connsiteY0" fmla="*/ 0 h 2157485"/>
              <a:gd name="connsiteX1" fmla="*/ 0 w 7104066"/>
              <a:gd name="connsiteY1" fmla="*/ 1815753 h 2157485"/>
              <a:gd name="connsiteX2" fmla="*/ 7104066 w 7104066"/>
              <a:gd name="connsiteY2" fmla="*/ 2157485 h 2157485"/>
              <a:gd name="connsiteX3" fmla="*/ 6302375 w 7104066"/>
              <a:gd name="connsiteY3" fmla="*/ 124965 h 2157485"/>
              <a:gd name="connsiteX4" fmla="*/ 1 w 7104066"/>
              <a:gd name="connsiteY4" fmla="*/ 0 h 2157485"/>
              <a:gd name="connsiteX0" fmla="*/ 1 w 7104066"/>
              <a:gd name="connsiteY0" fmla="*/ 24987 h 2182472"/>
              <a:gd name="connsiteX1" fmla="*/ 0 w 7104066"/>
              <a:gd name="connsiteY1" fmla="*/ 1840740 h 2182472"/>
              <a:gd name="connsiteX2" fmla="*/ 7104066 w 7104066"/>
              <a:gd name="connsiteY2" fmla="*/ 2182472 h 2182472"/>
              <a:gd name="connsiteX3" fmla="*/ 6302375 w 7104066"/>
              <a:gd name="connsiteY3" fmla="*/ 0 h 2182472"/>
              <a:gd name="connsiteX4" fmla="*/ 1 w 7104066"/>
              <a:gd name="connsiteY4" fmla="*/ 24987 h 2182472"/>
              <a:gd name="connsiteX0" fmla="*/ 7939 w 7104066"/>
              <a:gd name="connsiteY0" fmla="*/ 0 h 2232459"/>
              <a:gd name="connsiteX1" fmla="*/ 0 w 7104066"/>
              <a:gd name="connsiteY1" fmla="*/ 1890727 h 2232459"/>
              <a:gd name="connsiteX2" fmla="*/ 7104066 w 7104066"/>
              <a:gd name="connsiteY2" fmla="*/ 2232459 h 2232459"/>
              <a:gd name="connsiteX3" fmla="*/ 6302375 w 7104066"/>
              <a:gd name="connsiteY3" fmla="*/ 49987 h 2232459"/>
              <a:gd name="connsiteX4" fmla="*/ 7939 w 7104066"/>
              <a:gd name="connsiteY4" fmla="*/ 0 h 2232459"/>
              <a:gd name="connsiteX0" fmla="*/ 2 w 7104066"/>
              <a:gd name="connsiteY0" fmla="*/ 0 h 2207465"/>
              <a:gd name="connsiteX1" fmla="*/ 0 w 7104066"/>
              <a:gd name="connsiteY1" fmla="*/ 1865733 h 2207465"/>
              <a:gd name="connsiteX2" fmla="*/ 7104066 w 7104066"/>
              <a:gd name="connsiteY2" fmla="*/ 2207465 h 2207465"/>
              <a:gd name="connsiteX3" fmla="*/ 6302375 w 7104066"/>
              <a:gd name="connsiteY3" fmla="*/ 24993 h 2207465"/>
              <a:gd name="connsiteX4" fmla="*/ 2 w 7104066"/>
              <a:gd name="connsiteY4" fmla="*/ 0 h 220746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7104066" h="2207465">
                <a:moveTo>
                  <a:pt x="2" y="0"/>
                </a:moveTo>
                <a:cubicBezTo>
                  <a:pt x="2" y="371990"/>
                  <a:pt x="0" y="1493743"/>
                  <a:pt x="0" y="1865733"/>
                </a:cubicBezTo>
                <a:cubicBezTo>
                  <a:pt x="1736989" y="240925"/>
                  <a:pt x="4939775" y="1828721"/>
                  <a:pt x="7104066" y="2207465"/>
                </a:cubicBezTo>
                <a:lnTo>
                  <a:pt x="6302375" y="24993"/>
                </a:lnTo>
                <a:lnTo>
                  <a:pt x="2" y="0"/>
                </a:lnTo>
                <a:close/>
              </a:path>
            </a:pathLst>
          </a:custGeom>
          <a:gradFill flip="none" rotWithShape="1">
            <a:gsLst>
              <a:gs pos="0">
                <a:schemeClr val="bg1">
                  <a:alpha val="67000"/>
                </a:schemeClr>
              </a:gs>
              <a:gs pos="95000">
                <a:schemeClr val="bg1">
                  <a:alpha val="0"/>
                </a:schemeClr>
              </a:gs>
            </a:gsLst>
            <a:lin ang="2400000" scaled="0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Rectángulo 45"/>
          <xdr:cNvSpPr/>
        </xdr:nvSpPr>
        <xdr:spPr>
          <a:xfrm>
            <a:off x="323849" y="304803"/>
            <a:ext cx="8302752" cy="6878636"/>
          </a:xfrm>
          <a:prstGeom prst="rect">
            <a:avLst/>
          </a:prstGeom>
          <a:noFill/>
          <a:ln w="5715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37</xdr:col>
      <xdr:colOff>297642</xdr:colOff>
      <xdr:row>1</xdr:row>
      <xdr:rowOff>85186</xdr:rowOff>
    </xdr:from>
    <xdr:to>
      <xdr:col>40</xdr:col>
      <xdr:colOff>522288</xdr:colOff>
      <xdr:row>4</xdr:row>
      <xdr:rowOff>171450</xdr:rowOff>
    </xdr:to>
    <xdr:sp macro="" textlink="">
      <xdr:nvSpPr>
        <xdr:cNvPr id="3" name="Cuadro de texto 2"/>
        <xdr:cNvSpPr txBox="1"/>
      </xdr:nvSpPr>
      <xdr:spPr>
        <a:xfrm>
          <a:off x="9213042" y="370936"/>
          <a:ext cx="1958196" cy="1048289"/>
        </a:xfrm>
        <a:prstGeom prst="roundRect">
          <a:avLst>
            <a:gd name="adj" fmla="val 14161"/>
          </a:avLst>
        </a:prstGeom>
        <a:solidFill>
          <a:schemeClr val="lt1"/>
        </a:solidFill>
        <a:ln w="9525" cmpd="sng">
          <a:solidFill>
            <a:schemeClr val="accent6">
              <a:lumMod val="75000"/>
              <a:alpha val="53000"/>
            </a:schemeClr>
          </a:solidFill>
        </a:ln>
        <a:effectLst>
          <a:innerShdw blurRad="279400">
            <a:schemeClr val="accent6">
              <a:alpha val="19000"/>
            </a:scheme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5760" rIns="45720" rtlCol="0" anchor="ctr" anchorCtr="0"/>
        <a:lstStyle/>
        <a:p>
          <a:pPr>
            <a:lnSpc>
              <a:spcPct val="80000"/>
            </a:lnSpc>
          </a:pPr>
          <a:r>
            <a:rPr lang="en-US" sz="1100">
              <a:solidFill>
                <a:schemeClr val="accent6">
                  <a:lumMod val="75000"/>
                </a:schemeClr>
              </a:solidFill>
              <a:latin typeface="+mj-lt"/>
            </a:rPr>
            <a:t>Use las flechas para seleccionar un año para el calendario.</a:t>
          </a:r>
          <a:r>
            <a:rPr lang="en-US" sz="1100" baseline="0">
              <a:solidFill>
                <a:schemeClr val="accent6">
                  <a:lumMod val="75000"/>
                </a:schemeClr>
              </a:solidFill>
              <a:latin typeface="+mj-lt"/>
            </a:rPr>
            <a:t> </a:t>
          </a:r>
        </a:p>
        <a:p>
          <a:pPr algn="l">
            <a:lnSpc>
              <a:spcPct val="80000"/>
            </a:lnSpc>
            <a:spcBef>
              <a:spcPts val="300"/>
            </a:spcBef>
          </a:pPr>
          <a:r>
            <a:rPr lang="en-US" sz="900" i="1" baseline="0">
              <a:solidFill>
                <a:schemeClr val="tx1">
                  <a:lumMod val="75000"/>
                  <a:lumOff val="25000"/>
                </a:schemeClr>
              </a:solidFill>
              <a:latin typeface="+mj-lt"/>
            </a:rPr>
            <a:t>No se mostrará en el calendario imprimido.</a:t>
          </a:r>
          <a:endParaRPr lang="en-US" sz="900" i="1">
            <a:solidFill>
              <a:schemeClr val="tx1">
                <a:lumMod val="75000"/>
                <a:lumOff val="25000"/>
              </a:schemeClr>
            </a:solidFill>
            <a:latin typeface="+mj-lt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37</xdr:col>
          <xdr:colOff>419100</xdr:colOff>
          <xdr:row>1</xdr:row>
          <xdr:rowOff>219075</xdr:rowOff>
        </xdr:from>
        <xdr:to>
          <xdr:col>38</xdr:col>
          <xdr:colOff>85725</xdr:colOff>
          <xdr:row>2</xdr:row>
          <xdr:rowOff>266700</xdr:rowOff>
        </xdr:to>
        <xdr:sp macro="" textlink="">
          <xdr:nvSpPr>
            <xdr:cNvPr id="1045" name="Control numérico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twoCellAnchor editAs="absolute">
    <xdr:from>
      <xdr:col>2</xdr:col>
      <xdr:colOff>239713</xdr:colOff>
      <xdr:row>1</xdr:row>
      <xdr:rowOff>163516</xdr:rowOff>
    </xdr:from>
    <xdr:to>
      <xdr:col>21</xdr:col>
      <xdr:colOff>190502</xdr:colOff>
      <xdr:row>4</xdr:row>
      <xdr:rowOff>31752</xdr:rowOff>
    </xdr:to>
    <xdr:sp macro="" textlink="">
      <xdr:nvSpPr>
        <xdr:cNvPr id="8" name="Cuadro de texto 7"/>
        <xdr:cNvSpPr txBox="1"/>
      </xdr:nvSpPr>
      <xdr:spPr>
        <a:xfrm>
          <a:off x="811213" y="449266"/>
          <a:ext cx="4465639" cy="830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>
            <a:lnSpc>
              <a:spcPct val="95000"/>
            </a:lnSpc>
          </a:pPr>
          <a:r>
            <a:rPr lang="en-US" sz="1400">
              <a:solidFill>
                <a:schemeClr val="accent6">
                  <a:lumMod val="75000"/>
                </a:schemeClr>
              </a:solidFill>
              <a:latin typeface="+mj-lt"/>
            </a:rPr>
            <a:t>Mecánica</a:t>
          </a:r>
          <a:r>
            <a:rPr lang="en-US" sz="1400" baseline="0">
              <a:solidFill>
                <a:schemeClr val="accent6">
                  <a:lumMod val="75000"/>
                </a:schemeClr>
              </a:solidFill>
              <a:latin typeface="+mj-lt"/>
            </a:rPr>
            <a:t> de Materiales</a:t>
          </a:r>
          <a:endParaRPr lang="en-US" sz="1400">
            <a:solidFill>
              <a:schemeClr val="accent6">
                <a:lumMod val="75000"/>
              </a:schemeClr>
            </a:solidFill>
            <a:latin typeface="+mj-lt"/>
          </a:endParaRPr>
        </a:p>
      </xdr:txBody>
    </xdr:sp>
    <xdr:clientData/>
  </xdr:twoCellAnchor>
  <xdr:twoCellAnchor>
    <xdr:from>
      <xdr:col>37</xdr:col>
      <xdr:colOff>285750</xdr:colOff>
      <xdr:row>4</xdr:row>
      <xdr:rowOff>352424</xdr:rowOff>
    </xdr:from>
    <xdr:to>
      <xdr:col>40</xdr:col>
      <xdr:colOff>415146</xdr:colOff>
      <xdr:row>13</xdr:row>
      <xdr:rowOff>228599</xdr:rowOff>
    </xdr:to>
    <xdr:sp macro="" textlink="">
      <xdr:nvSpPr>
        <xdr:cNvPr id="25" name="Cuadro de texto 24"/>
        <xdr:cNvSpPr txBox="1"/>
      </xdr:nvSpPr>
      <xdr:spPr>
        <a:xfrm>
          <a:off x="9201150" y="1600199"/>
          <a:ext cx="1958196" cy="1876425"/>
        </a:xfrm>
        <a:prstGeom prst="roundRect">
          <a:avLst>
            <a:gd name="adj" fmla="val 14161"/>
          </a:avLst>
        </a:prstGeom>
        <a:solidFill>
          <a:schemeClr val="lt1"/>
        </a:solidFill>
        <a:ln w="9525" cmpd="sng">
          <a:solidFill>
            <a:schemeClr val="accent6">
              <a:lumMod val="75000"/>
              <a:alpha val="53000"/>
            </a:schemeClr>
          </a:solidFill>
        </a:ln>
        <a:effectLst>
          <a:innerShdw blurRad="279400">
            <a:schemeClr val="accent6">
              <a:alpha val="19000"/>
            </a:scheme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0" rIns="45720" rtlCol="0" anchor="ctr" anchorCtr="0"/>
        <a:lstStyle/>
        <a:p>
          <a:pPr lvl="0" algn="l">
            <a:lnSpc>
              <a:spcPct val="90000"/>
            </a:lnSpc>
          </a:pPr>
          <a:r>
            <a:rPr lang="en-US" sz="1100">
              <a:solidFill>
                <a:schemeClr val="accent6">
                  <a:lumMod val="75000"/>
                </a:schemeClr>
              </a:solidFill>
              <a:latin typeface="+mj-lt"/>
            </a:rPr>
            <a:t>Para que este calendario</a:t>
          </a:r>
          <a:r>
            <a:rPr lang="en-US" sz="1100" baseline="0">
              <a:solidFill>
                <a:schemeClr val="accent6">
                  <a:lumMod val="75000"/>
                </a:schemeClr>
              </a:solidFill>
              <a:latin typeface="+mj-lt"/>
            </a:rPr>
            <a:t> se imprima correctamente en todas las impresoras, la casilla "Modo de alta calidad para gráficos" debe estar activada en Archivo - Opciones - Avanzadas - Imprimir</a:t>
          </a:r>
        </a:p>
        <a:p>
          <a:pPr lvl="0" algn="l">
            <a:lnSpc>
              <a:spcPct val="80000"/>
            </a:lnSpc>
            <a:spcBef>
              <a:spcPts val="300"/>
            </a:spcBef>
          </a:pPr>
          <a:r>
            <a:rPr lang="en-US" sz="900" i="1" baseline="0">
              <a:solidFill>
                <a:schemeClr val="tx1">
                  <a:lumMod val="75000"/>
                  <a:lumOff val="25000"/>
                </a:schemeClr>
              </a:solidFill>
              <a:latin typeface="+mj-lt"/>
            </a:rPr>
            <a:t>No se mostrará en el calendario imprimido.</a:t>
          </a:r>
          <a:endParaRPr lang="en-US" sz="900" i="1">
            <a:solidFill>
              <a:schemeClr val="tx1">
                <a:lumMod val="75000"/>
                <a:lumOff val="25000"/>
              </a:schemeClr>
            </a:solidFill>
            <a:latin typeface="+mj-lt"/>
          </a:endParaRP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ngles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Custom 2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Angl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0400000"/>
            </a:lightRig>
          </a:scene3d>
          <a:sp3d contourW="6350">
            <a:bevelT w="41275" h="19050" prst="angle"/>
            <a:contourClr>
              <a:schemeClr val="phClr">
                <a:shade val="25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90000"/>
                <a:shade val="85000"/>
              </a:schemeClr>
              <a:schemeClr val="phClr">
                <a:tint val="95000"/>
                <a:shade val="99000"/>
              </a:schemeClr>
            </a:duotone>
          </a:blip>
          <a:tile tx="0" ty="0" sx="100000" sy="10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tint val="93000"/>
                <a:shade val="85000"/>
              </a:schemeClr>
              <a:schemeClr val="phClr">
                <a:tint val="96000"/>
                <a:shade val="99000"/>
              </a:schemeClr>
            </a:duotone>
          </a:blip>
          <a:tile tx="0" ty="0" sx="90000" sy="9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B52"/>
  <sheetViews>
    <sheetView tabSelected="1" zoomScaleNormal="100" workbookViewId="0">
      <selection activeCell="AA22" sqref="AA22"/>
    </sheetView>
  </sheetViews>
  <sheetFormatPr baseColWidth="10" defaultColWidth="9.140625" defaultRowHeight="14.25" x14ac:dyDescent="0.25"/>
  <cols>
    <col min="1" max="1" width="4.85546875" style="2" customWidth="1"/>
    <col min="2" max="3" width="3.7109375" style="2" customWidth="1"/>
    <col min="4" max="10" width="3.28515625" style="2" customWidth="1"/>
    <col min="11" max="11" width="5.7109375" style="2" customWidth="1"/>
    <col min="12" max="18" width="3.28515625" style="2" customWidth="1"/>
    <col min="19" max="19" width="5.7109375" style="2" customWidth="1"/>
    <col min="20" max="26" width="3.28515625" style="2" customWidth="1"/>
    <col min="27" max="27" width="5.7109375" style="2" customWidth="1"/>
    <col min="28" max="34" width="3.28515625" style="2" customWidth="1"/>
    <col min="35" max="36" width="3.7109375" style="2" customWidth="1"/>
    <col min="37" max="37" width="4.85546875" style="2" customWidth="1"/>
    <col min="38" max="38" width="7.7109375" style="2" customWidth="1"/>
    <col min="39" max="16384" width="9.140625" style="2"/>
  </cols>
  <sheetData>
    <row r="1" spans="2:74" ht="22.5" customHeight="1" x14ac:dyDescent="0.25"/>
    <row r="2" spans="2:74" ht="18.75" customHeight="1" x14ac:dyDescent="0.25">
      <c r="B2" s="22"/>
      <c r="C2" s="22"/>
      <c r="D2" s="22"/>
      <c r="E2" s="22"/>
      <c r="F2" s="22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4">
        <v>2017</v>
      </c>
      <c r="AA2" s="24"/>
      <c r="AB2" s="24"/>
      <c r="AC2" s="24"/>
      <c r="AD2" s="24"/>
      <c r="AE2" s="24"/>
      <c r="AF2" s="24"/>
      <c r="AG2" s="24"/>
      <c r="AH2" s="24"/>
      <c r="AI2" s="24"/>
      <c r="AJ2" s="22"/>
    </row>
    <row r="3" spans="2:74" ht="26.25" customHeight="1" x14ac:dyDescent="0.35">
      <c r="B3" s="22"/>
      <c r="C3" s="22"/>
      <c r="D3" s="22"/>
      <c r="E3" s="22"/>
      <c r="F3" s="22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2"/>
      <c r="AP3" s="17"/>
      <c r="AQ3" s="17"/>
      <c r="AR3" s="17"/>
      <c r="AS3" s="17"/>
      <c r="AT3" s="18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2:74" ht="30.75" customHeight="1" x14ac:dyDescent="0.25">
      <c r="B4" s="22"/>
      <c r="C4" s="22"/>
      <c r="D4" s="22"/>
      <c r="E4" s="22"/>
      <c r="F4" s="22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2"/>
      <c r="AL4" s="11"/>
      <c r="AM4" s="12"/>
      <c r="AN4" s="12"/>
      <c r="AO4" s="12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</row>
    <row r="5" spans="2:74" s="3" customFormat="1" ht="58.5" customHeight="1" x14ac:dyDescent="0.35">
      <c r="D5" s="21" t="s">
        <v>5</v>
      </c>
      <c r="E5" s="21"/>
      <c r="F5" s="21"/>
      <c r="G5" s="21"/>
      <c r="H5" s="21"/>
      <c r="I5" s="21"/>
      <c r="J5" s="21"/>
      <c r="K5" s="4"/>
      <c r="L5" s="21" t="s">
        <v>4</v>
      </c>
      <c r="M5" s="21"/>
      <c r="N5" s="21"/>
      <c r="O5" s="21"/>
      <c r="P5" s="21"/>
      <c r="Q5" s="21"/>
      <c r="R5" s="21"/>
      <c r="S5" s="4"/>
      <c r="T5" s="21" t="s">
        <v>12</v>
      </c>
      <c r="U5" s="21"/>
      <c r="V5" s="21"/>
      <c r="W5" s="21"/>
      <c r="X5" s="21"/>
      <c r="Y5" s="21"/>
      <c r="Z5" s="21"/>
      <c r="AA5" s="4"/>
      <c r="AB5" s="21" t="s">
        <v>6</v>
      </c>
      <c r="AC5" s="21"/>
      <c r="AD5" s="21"/>
      <c r="AE5" s="21"/>
      <c r="AF5" s="21"/>
      <c r="AG5" s="21"/>
      <c r="AH5" s="21"/>
      <c r="AM5" s="13"/>
      <c r="AN5" s="13"/>
      <c r="AO5" s="13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</row>
    <row r="6" spans="2:74" ht="12.75" customHeight="1" x14ac:dyDescent="0.25">
      <c r="C6" s="5"/>
      <c r="D6" s="1" t="s">
        <v>1</v>
      </c>
      <c r="E6" s="1" t="s">
        <v>2</v>
      </c>
      <c r="F6" s="1" t="s">
        <v>2</v>
      </c>
      <c r="G6" s="1" t="s">
        <v>16</v>
      </c>
      <c r="H6" s="1" t="s">
        <v>3</v>
      </c>
      <c r="I6" s="1" t="s">
        <v>17</v>
      </c>
      <c r="J6" s="1" t="s">
        <v>0</v>
      </c>
      <c r="K6" s="6"/>
      <c r="L6" s="1" t="s">
        <v>1</v>
      </c>
      <c r="M6" s="1" t="s">
        <v>2</v>
      </c>
      <c r="N6" s="1" t="s">
        <v>2</v>
      </c>
      <c r="O6" s="1" t="s">
        <v>16</v>
      </c>
      <c r="P6" s="1" t="s">
        <v>3</v>
      </c>
      <c r="Q6" s="1" t="s">
        <v>17</v>
      </c>
      <c r="R6" s="1" t="s">
        <v>0</v>
      </c>
      <c r="S6" s="6"/>
      <c r="T6" s="1" t="s">
        <v>1</v>
      </c>
      <c r="U6" s="1" t="s">
        <v>2</v>
      </c>
      <c r="V6" s="1" t="s">
        <v>2</v>
      </c>
      <c r="W6" s="1" t="s">
        <v>16</v>
      </c>
      <c r="X6" s="1" t="s">
        <v>3</v>
      </c>
      <c r="Y6" s="1" t="s">
        <v>17</v>
      </c>
      <c r="Z6" s="1" t="s">
        <v>0</v>
      </c>
      <c r="AA6" s="6"/>
      <c r="AB6" s="1" t="s">
        <v>1</v>
      </c>
      <c r="AC6" s="1" t="s">
        <v>2</v>
      </c>
      <c r="AD6" s="1" t="s">
        <v>2</v>
      </c>
      <c r="AE6" s="1" t="s">
        <v>16</v>
      </c>
      <c r="AF6" s="1" t="s">
        <v>3</v>
      </c>
      <c r="AG6" s="1" t="s">
        <v>17</v>
      </c>
      <c r="AH6" s="1" t="s">
        <v>0</v>
      </c>
    </row>
    <row r="7" spans="2:74" ht="12.95" customHeight="1" x14ac:dyDescent="0.25">
      <c r="D7" s="19" t="str">
        <f>IF(AND(YEAR(JanSun1)=TheYear,MONTH(JanSun1)=1),JanSun1, "")</f>
        <v/>
      </c>
      <c r="E7" s="19" t="str">
        <f>IF(AND(YEAR(JanSun1+1)=TheYear,MONTH(JanSun1+1)=1),JanSun1+1, "")</f>
        <v/>
      </c>
      <c r="F7" s="19" t="str">
        <f>IF(AND(YEAR(JanSun1+2)=TheYear,MONTH(JanSun1+2)=1),JanSun1+2, "")</f>
        <v/>
      </c>
      <c r="G7" s="19" t="str">
        <f>IF(AND(YEAR(JanSun1+3)=TheYear,MONTH(JanSun1+3)=1),JanSun1+3, "")</f>
        <v/>
      </c>
      <c r="H7" s="19" t="str">
        <f>IF(AND(YEAR(JanSun1+4)=TheYear,MONTH(JanSun1+4)=1),JanSun1+4, "")</f>
        <v/>
      </c>
      <c r="I7" s="19" t="str">
        <f>IF(AND(YEAR(JanSun1+5)=TheYear,MONTH(JanSun1+5)=1),JanSun1+5, "")</f>
        <v/>
      </c>
      <c r="J7" s="19">
        <f>IF(AND(YEAR(JanSun1+6)=TheYear,MONTH(JanSun1+6)=1),JanSun1+6, "")</f>
        <v>42736</v>
      </c>
      <c r="K7" s="6"/>
      <c r="L7" s="19" t="str">
        <f>IF(AND(YEAR(FebSun1)=TheYear,MONTH(FebSun1)=2),FebSun1, "")</f>
        <v/>
      </c>
      <c r="M7" s="19" t="str">
        <f>IF(AND(YEAR(FebSun1+1)=TheYear,MONTH(FebSun1+1)=2),FebSun1+1, "")</f>
        <v/>
      </c>
      <c r="N7" s="31">
        <f>IF(AND(YEAR(FebSun1+2)=TheYear,MONTH(FebSun1+2)=2),FebSun1+2, "")</f>
        <v>42767</v>
      </c>
      <c r="O7" s="31">
        <f>IF(AND(YEAR(FebSun1+3)=TheYear,MONTH(FebSun1+3)=2),FebSun1+3, "")</f>
        <v>42768</v>
      </c>
      <c r="P7" s="31">
        <f>IF(AND(YEAR(FebSun1+4)=TheYear,MONTH(FebSun1+4)=2),FebSun1+4, "")</f>
        <v>42769</v>
      </c>
      <c r="Q7" s="31">
        <f>IF(AND(YEAR(FebSun1+5)=TheYear,MONTH(FebSun1+5)=2),FebSun1+5, "")</f>
        <v>42770</v>
      </c>
      <c r="R7" s="31">
        <f>IF(AND(YEAR(FebSun1+6)=TheYear,MONTH(FebSun1+6)=2),FebSun1+6, "")</f>
        <v>42771</v>
      </c>
      <c r="S7" s="6"/>
      <c r="T7" s="19" t="str">
        <f>IF(AND(YEAR(MarSun1)=TheYear,MONTH(MarSun1)=3),MarSun1, "")</f>
        <v/>
      </c>
      <c r="U7" s="19" t="str">
        <f>IF(AND(YEAR(MarSun1+1)=TheYear,MONTH(MarSun1+1)=3),MarSun1+1, "")</f>
        <v/>
      </c>
      <c r="V7" s="34">
        <f>IF(AND(YEAR(MarSun1+2)=TheYear,MONTH(MarSun1+2)=3),MarSun1+2, "")</f>
        <v>42795</v>
      </c>
      <c r="W7" s="34">
        <f>IF(AND(YEAR(MarSun1+3)=TheYear,MONTH(MarSun1+3)=3),MarSun1+3, "")</f>
        <v>42796</v>
      </c>
      <c r="X7" s="34">
        <f>IF(AND(YEAR(MarSun1+4)=TheYear,MONTH(MarSun1+4)=3),MarSun1+4, "")</f>
        <v>42797</v>
      </c>
      <c r="Y7" s="34">
        <f>IF(AND(YEAR(MarSun1+5)=TheYear,MONTH(MarSun1+5)=3),MarSun1+5, "")</f>
        <v>42798</v>
      </c>
      <c r="Z7" s="34">
        <f>IF(AND(YEAR(MarSun1+6)=TheYear,MONTH(MarSun1+6)=3),MarSun1+6, "")</f>
        <v>42799</v>
      </c>
      <c r="AA7" s="6"/>
      <c r="AB7" s="19" t="str">
        <f>IF(AND(YEAR(AprSun1)=TheYear,MONTH(AprSun1)=4),AprSun1, "")</f>
        <v/>
      </c>
      <c r="AC7" s="19" t="str">
        <f>IF(AND(YEAR(AprSun1+1)=TheYear,MONTH(AprSun1+1)=4),AprSun1+1, "")</f>
        <v/>
      </c>
      <c r="AD7" s="19" t="str">
        <f>IF(AND(YEAR(AprSun1+2)=TheYear,MONTH(AprSun1+2)=4),AprSun1+2, "")</f>
        <v/>
      </c>
      <c r="AE7" s="19" t="str">
        <f>IF(AND(YEAR(AprSun1+3)=TheYear,MONTH(AprSun1+3)=4),AprSun1+3, "")</f>
        <v/>
      </c>
      <c r="AF7" s="19" t="str">
        <f>IF(AND(YEAR(AprSun1+4)=TheYear,MONTH(AprSun1+4)=4),AprSun1+4, "")</f>
        <v/>
      </c>
      <c r="AG7" s="35">
        <f>IF(AND(YEAR(AprSun1+5)=TheYear,MONTH(AprSun1+5)=4),AprSun1+5, "")</f>
        <v>42826</v>
      </c>
      <c r="AH7" s="35">
        <f>IF(AND(YEAR(AprSun1+6)=TheYear,MONTH(AprSun1+6)=4),AprSun1+6, "")</f>
        <v>42827</v>
      </c>
    </row>
    <row r="8" spans="2:74" ht="12.95" customHeight="1" x14ac:dyDescent="0.25">
      <c r="D8" s="19">
        <f>IF(AND(YEAR(JanSun1+7)=TheYear,MONTH(JanSun1+7)=1),JanSun1+7, "")</f>
        <v>42737</v>
      </c>
      <c r="E8" s="19">
        <f>IF(AND(YEAR(JanSun1+8)=TheYear,MONTH(JanSun1+8)=1),JanSun1+8, "")</f>
        <v>42738</v>
      </c>
      <c r="F8" s="19">
        <f>IF(AND(YEAR(JanSun1+9)=TheYear,MONTH(JanSun1+9)=1),JanSun1+9, "")</f>
        <v>42739</v>
      </c>
      <c r="G8" s="19">
        <f>IF(AND(YEAR(JanSun1+10)=TheYear,MONTH(JanSun1+10)=1),JanSun1+10, "")</f>
        <v>42740</v>
      </c>
      <c r="H8" s="19">
        <f>IF(AND(YEAR(JanSun1+11)=TheYear,MONTH(JanSun1+11)=1),JanSun1+11, "")</f>
        <v>42741</v>
      </c>
      <c r="I8" s="19">
        <f>IF(AND(YEAR(JanSun1+12)=TheYear,MONTH(JanSun1+12)=1),JanSun1+12, "")</f>
        <v>42742</v>
      </c>
      <c r="J8" s="19">
        <f>IF(AND(YEAR(JanSun1+13)=TheYear,MONTH(JanSun1+13)=1),JanSun1+13, "")</f>
        <v>42743</v>
      </c>
      <c r="K8" s="6"/>
      <c r="L8" s="31">
        <f>IF(AND(YEAR(FebSun1+7)=TheYear,MONTH(FebSun1+7)=2),FebSun1+7, "")</f>
        <v>42772</v>
      </c>
      <c r="M8" s="31">
        <f>IF(AND(YEAR(FebSun1+8)=TheYear,MONTH(FebSun1+8)=2),FebSun1+8, "")</f>
        <v>42773</v>
      </c>
      <c r="N8" s="31">
        <f>IF(AND(YEAR(FebSun1+9)=TheYear,MONTH(FebSun1+9)=2),FebSun1+9, "")</f>
        <v>42774</v>
      </c>
      <c r="O8" s="33">
        <f>IF(AND(YEAR(FebSun1+10)=TheYear,MONTH(FebSun1+10)=2),FebSun1+10, "")</f>
        <v>42775</v>
      </c>
      <c r="P8" s="33">
        <f>IF(AND(YEAR(FebSun1+11)=TheYear,MONTH(FebSun1+11)=2),FebSun1+11, "")</f>
        <v>42776</v>
      </c>
      <c r="Q8" s="33">
        <f>IF(AND(YEAR(FebSun1+12)=TheYear,MONTH(FebSun1+12)=2),FebSun1+12, "")</f>
        <v>42777</v>
      </c>
      <c r="R8" s="33">
        <f>IF(AND(YEAR(FebSun1+13)=TheYear,MONTH(FebSun1+13)=2),FebSun1+13, "")</f>
        <v>42778</v>
      </c>
      <c r="S8" s="6"/>
      <c r="T8" s="34">
        <f>IF(AND(YEAR(MarSun1+7)=TheYear,MONTH(MarSun1+7)=3),MarSun1+7, "")</f>
        <v>42800</v>
      </c>
      <c r="U8" s="34">
        <f>IF(AND(YEAR(MarSun1+8)=TheYear,MONTH(MarSun1+8)=3),MarSun1+8, "")</f>
        <v>42801</v>
      </c>
      <c r="V8" s="34">
        <f>IF(AND(YEAR(MarSun1+9)=TheYear,MONTH(MarSun1+9)=3),MarSun1+9, "")</f>
        <v>42802</v>
      </c>
      <c r="W8" s="34">
        <f>IF(AND(YEAR(MarSun1+10)=TheYear,MONTH(MarSun1+10)=3),MarSun1+10, "")</f>
        <v>42803</v>
      </c>
      <c r="X8" s="34">
        <f>IF(AND(YEAR(MarSun1+11)=TheYear,MONTH(MarSun1+11)=3),MarSun1+11, "")</f>
        <v>42804</v>
      </c>
      <c r="Y8" s="34">
        <f>IF(AND(YEAR(MarSun1+12)=TheYear,MONTH(MarSun1+12)=3),MarSun1+12, "")</f>
        <v>42805</v>
      </c>
      <c r="Z8" s="34">
        <f>IF(AND(YEAR(MarSun1+13)=TheYear,MONTH(MarSun1+13)=3),MarSun1+13, "")</f>
        <v>42806</v>
      </c>
      <c r="AA8" s="6"/>
      <c r="AB8" s="35">
        <f>IF(AND(YEAR(AprSun1+7)=TheYear,MONTH(AprSun1+7)=4),AprSun1+7, "")</f>
        <v>42828</v>
      </c>
      <c r="AC8" s="35">
        <f>IF(AND(YEAR(AprSun1+8)=TheYear,MONTH(AprSun1+8)=4),AprSun1+8, "")</f>
        <v>42829</v>
      </c>
      <c r="AD8" s="35">
        <f>IF(AND(YEAR(AprSun1+9)=TheYear,MONTH(AprSun1+9)=4),AprSun1+9, "")</f>
        <v>42830</v>
      </c>
      <c r="AE8" s="35">
        <f>IF(AND(YEAR(AprSun1+10)=TheYear,MONTH(AprSun1+10)=4),AprSun1+10, "")</f>
        <v>42831</v>
      </c>
      <c r="AF8" s="35">
        <f>IF(AND(YEAR(AprSun1+11)=TheYear,MONTH(AprSun1+11)=4),AprSun1+11, "")</f>
        <v>42832</v>
      </c>
      <c r="AG8" s="35">
        <f>IF(AND(YEAR(AprSun1+12)=TheYear,MONTH(AprSun1+12)=4),AprSun1+12, "")</f>
        <v>42833</v>
      </c>
      <c r="AH8" s="35">
        <f>IF(AND(YEAR(AprSun1+13)=TheYear,MONTH(AprSun1+13)=4),AprSun1+13, "")</f>
        <v>42834</v>
      </c>
    </row>
    <row r="9" spans="2:74" ht="12.95" customHeight="1" x14ac:dyDescent="0.25">
      <c r="D9" s="19">
        <f>IF(AND(YEAR(JanSun1+14)=TheYear,MONTH(JanSun1+14)=1),JanSun1+14, "")</f>
        <v>42744</v>
      </c>
      <c r="E9" s="19">
        <f>IF(AND(YEAR(JanSun1+15)=TheYear,MONTH(JanSun1+15)=1),JanSun1+15, "")</f>
        <v>42745</v>
      </c>
      <c r="F9" s="19">
        <f>IF(AND(YEAR(JanSun1+16)=TheYear,MONTH(JanSun1+16)=1),JanSun1+16, "")</f>
        <v>42746</v>
      </c>
      <c r="G9" s="19">
        <f>IF(AND(YEAR(JanSun1+17)=TheYear,MONTH(JanSun1+17)=1),JanSun1+17, "")</f>
        <v>42747</v>
      </c>
      <c r="H9" s="19">
        <f>IF(AND(YEAR(JanSun1+18)=TheYear,MONTH(JanSun1+18)=1),JanSun1+18, "")</f>
        <v>42748</v>
      </c>
      <c r="I9" s="19">
        <f>IF(AND(YEAR(JanSun1+19)=TheYear,MONTH(JanSun1+19)=1),JanSun1+19, "")</f>
        <v>42749</v>
      </c>
      <c r="J9" s="19">
        <f>IF(AND(YEAR(JanSun1+20)=TheYear,MONTH(JanSun1+20)=1),JanSun1+20, "")</f>
        <v>42750</v>
      </c>
      <c r="K9" s="6"/>
      <c r="L9" s="33">
        <f>IF(AND(YEAR(FebSun1+14)=TheYear,MONTH(FebSun1+14)=2),FebSun1+14, "")</f>
        <v>42779</v>
      </c>
      <c r="M9" s="33">
        <f>IF(AND(YEAR(FebSun1+15)=TheYear,MONTH(FebSun1+15)=2),FebSun1+15, "")</f>
        <v>42780</v>
      </c>
      <c r="N9" s="33">
        <f>IF(AND(YEAR(FebSun1+16)=TheYear,MONTH(FebSun1+16)=2),FebSun1+16, "")</f>
        <v>42781</v>
      </c>
      <c r="O9" s="33">
        <f>IF(AND(YEAR(FebSun1+17)=TheYear,MONTH(FebSun1+17)=2),FebSun1+17, "")</f>
        <v>42782</v>
      </c>
      <c r="P9" s="33">
        <f>IF(AND(YEAR(FebSun1+18)=TheYear,MONTH(FebSun1+18)=2),FebSun1+18, "")</f>
        <v>42783</v>
      </c>
      <c r="Q9" s="33">
        <f>IF(AND(YEAR(FebSun1+19)=TheYear,MONTH(FebSun1+19)=2),FebSun1+19, "")</f>
        <v>42784</v>
      </c>
      <c r="R9" s="33">
        <f>IF(AND(YEAR(FebSun1+20)=TheYear,MONTH(FebSun1+20)=2),FebSun1+20, "")</f>
        <v>42785</v>
      </c>
      <c r="S9" s="6"/>
      <c r="T9" s="34">
        <f>IF(AND(YEAR(MarSun1+14)=TheYear,MONTH(MarSun1+14)=3),MarSun1+14, "")</f>
        <v>42807</v>
      </c>
      <c r="U9" s="34">
        <f>IF(AND(YEAR(MarSun1+15)=TheYear,MONTH(MarSun1+15)=3),MarSun1+15, "")</f>
        <v>42808</v>
      </c>
      <c r="V9" s="34">
        <f>IF(AND(YEAR(MarSun1+16)=TheYear,MONTH(MarSun1+16)=3),MarSun1+16, "")</f>
        <v>42809</v>
      </c>
      <c r="W9" s="34">
        <f>IF(AND(YEAR(MarSun1+17)=TheYear,MONTH(MarSun1+17)=3),MarSun1+17, "")</f>
        <v>42810</v>
      </c>
      <c r="X9" s="34">
        <f>IF(AND(YEAR(MarSun1+18)=TheYear,MONTH(MarSun1+18)=3),MarSun1+18, "")</f>
        <v>42811</v>
      </c>
      <c r="Y9" s="34">
        <f>IF(AND(YEAR(MarSun1+19)=TheYear,MONTH(MarSun1+19)=3),MarSun1+19, "")</f>
        <v>42812</v>
      </c>
      <c r="Z9" s="34">
        <f>IF(AND(YEAR(MarSun1+20)=TheYear,MONTH(MarSun1+20)=3),MarSun1+20, "")</f>
        <v>42813</v>
      </c>
      <c r="AA9" s="6"/>
      <c r="AB9" s="32">
        <f>IF(AND(YEAR(AprSun1+14)=TheYear,MONTH(AprSun1+14)=4),AprSun1+14, "")</f>
        <v>42835</v>
      </c>
      <c r="AC9" s="32">
        <f>IF(AND(YEAR(AprSun1+15)=TheYear,MONTH(AprSun1+15)=4),AprSun1+15, "")</f>
        <v>42836</v>
      </c>
      <c r="AD9" s="32">
        <f>IF(AND(YEAR(AprSun1+16)=TheYear,MONTH(AprSun1+16)=4),AprSun1+16, "")</f>
        <v>42837</v>
      </c>
      <c r="AE9" s="32">
        <f>IF(AND(YEAR(AprSun1+17)=TheYear,MONTH(AprSun1+17)=4),AprSun1+17, "")</f>
        <v>42838</v>
      </c>
      <c r="AF9" s="32">
        <f>IF(AND(YEAR(AprSun1+18)=TheYear,MONTH(AprSun1+18)=4),AprSun1+18, "")</f>
        <v>42839</v>
      </c>
      <c r="AG9" s="32">
        <f>IF(AND(YEAR(AprSun1+19)=TheYear,MONTH(AprSun1+19)=4),AprSun1+19, "")</f>
        <v>42840</v>
      </c>
      <c r="AH9" s="32">
        <f>IF(AND(YEAR(AprSun1+20)=TheYear,MONTH(AprSun1+20)=4),AprSun1+20, "")</f>
        <v>42841</v>
      </c>
    </row>
    <row r="10" spans="2:74" ht="12.95" customHeight="1" x14ac:dyDescent="0.25">
      <c r="D10" s="19">
        <f>IF(AND(YEAR(JanSun1+21)=TheYear,MONTH(JanSun1+21)=1),JanSun1+21, "")</f>
        <v>42751</v>
      </c>
      <c r="E10" s="19">
        <f>IF(AND(YEAR(JanSun1+22)=TheYear,MONTH(JanSun1+22)=1),JanSun1+22, "")</f>
        <v>42752</v>
      </c>
      <c r="F10" s="19">
        <f>IF(AND(YEAR(JanSun1+23)=TheYear,MONTH(JanSun1+23)=1),JanSun1+23, "")</f>
        <v>42753</v>
      </c>
      <c r="G10" s="19">
        <f>IF(AND(YEAR(JanSun1+24)=TheYear,MONTH(JanSun1+24)=1),JanSun1+24, "")</f>
        <v>42754</v>
      </c>
      <c r="H10" s="19">
        <f>IF(AND(YEAR(JanSun1+25)=TheYear,MONTH(JanSun1+25)=1),JanSun1+25, "")</f>
        <v>42755</v>
      </c>
      <c r="I10" s="19">
        <f>IF(AND(YEAR(JanSun1+26)=TheYear,MONTH(JanSun1+26)=1),JanSun1+26, "")</f>
        <v>42756</v>
      </c>
      <c r="J10" s="19">
        <f>IF(AND(YEAR(JanSun1+27)=TheYear,MONTH(JanSun1+27)=1),JanSun1+27, "")</f>
        <v>42757</v>
      </c>
      <c r="K10" s="6"/>
      <c r="L10" s="33">
        <f>IF(AND(YEAR(FebSun1+21)=TheYear,MONTH(FebSun1+21)=2),FebSun1+21, "")</f>
        <v>42786</v>
      </c>
      <c r="M10" s="33">
        <f>IF(AND(YEAR(FebSun1+22)=TheYear,MONTH(FebSun1+22)=2),FebSun1+22, "")</f>
        <v>42787</v>
      </c>
      <c r="N10" s="33">
        <f>IF(AND(YEAR(FebSun1+23)=TheYear,MONTH(FebSun1+23)=2),FebSun1+23, "")</f>
        <v>42788</v>
      </c>
      <c r="O10" s="34">
        <f>IF(AND(YEAR(FebSun1+24)=TheYear,MONTH(FebSun1+24)=2),FebSun1+24, "")</f>
        <v>42789</v>
      </c>
      <c r="P10" s="34">
        <f>IF(AND(YEAR(FebSun1+25)=TheYear,MONTH(FebSun1+25)=2),FebSun1+25, "")</f>
        <v>42790</v>
      </c>
      <c r="Q10" s="34">
        <f>IF(AND(YEAR(FebSun1+26)=TheYear,MONTH(FebSun1+26)=2),FebSun1+26, "")</f>
        <v>42791</v>
      </c>
      <c r="R10" s="34">
        <f>IF(AND(YEAR(FebSun1+27)=TheYear,MONTH(FebSun1+27)=2),FebSun1+27, "")</f>
        <v>42792</v>
      </c>
      <c r="S10" s="6"/>
      <c r="T10" s="34">
        <f>IF(AND(YEAR(MarSun1+21)=TheYear,MONTH(MarSun1+21)=3),MarSun1+21, "")</f>
        <v>42814</v>
      </c>
      <c r="U10" s="34">
        <f>IF(AND(YEAR(MarSun1+22)=TheYear,MONTH(MarSun1+22)=3),MarSun1+22, "")</f>
        <v>42815</v>
      </c>
      <c r="V10" s="34">
        <f>IF(AND(YEAR(MarSun1+23)=TheYear,MONTH(MarSun1+23)=3),MarSun1+23, "")</f>
        <v>42816</v>
      </c>
      <c r="W10" s="35">
        <f>IF(AND(YEAR(MarSun1+24)=TheYear,MONTH(MarSun1+24)=3),MarSun1+24, "")</f>
        <v>42817</v>
      </c>
      <c r="X10" s="35">
        <f>IF(AND(YEAR(MarSun1+25)=TheYear,MONTH(MarSun1+25)=3),MarSun1+25, "")</f>
        <v>42818</v>
      </c>
      <c r="Y10" s="35">
        <f>IF(AND(YEAR(MarSun1+26)=TheYear,MONTH(MarSun1+26)=3),MarSun1+26, "")</f>
        <v>42819</v>
      </c>
      <c r="Z10" s="35">
        <f>IF(AND(YEAR(MarSun1+27)=TheYear,MONTH(MarSun1+27)=3),MarSun1+27, "")</f>
        <v>42820</v>
      </c>
      <c r="AA10" s="6"/>
      <c r="AB10" s="32">
        <f>IF(AND(YEAR(AprSun1+21)=TheYear,MONTH(AprSun1+21)=4),AprSun1+21, "")</f>
        <v>42842</v>
      </c>
      <c r="AC10" s="32">
        <f>IF(AND(YEAR(AprSun1+22)=TheYear,MONTH(AprSun1+22)=4),AprSun1+22, "")</f>
        <v>42843</v>
      </c>
      <c r="AD10" s="32">
        <f>IF(AND(YEAR(AprSun1+23)=TheYear,MONTH(AprSun1+23)=4),AprSun1+23, "")</f>
        <v>42844</v>
      </c>
      <c r="AE10" s="32">
        <f>IF(AND(YEAR(AprSun1+24)=TheYear,MONTH(AprSun1+24)=4),AprSun1+24, "")</f>
        <v>42845</v>
      </c>
      <c r="AF10" s="32">
        <f>IF(AND(YEAR(AprSun1+25)=TheYear,MONTH(AprSun1+25)=4),AprSun1+25, "")</f>
        <v>42846</v>
      </c>
      <c r="AG10" s="32">
        <f>IF(AND(YEAR(AprSun1+26)=TheYear,MONTH(AprSun1+26)=4),AprSun1+26, "")</f>
        <v>42847</v>
      </c>
      <c r="AH10" s="32">
        <f>IF(AND(YEAR(AprSun1+27)=TheYear,MONTH(AprSun1+27)=4),AprSun1+27, "")</f>
        <v>42848</v>
      </c>
    </row>
    <row r="11" spans="2:74" ht="12.95" customHeight="1" x14ac:dyDescent="0.25">
      <c r="D11" s="31">
        <f>IF(AND(YEAR(JanSun1+28)=TheYear,MONTH(JanSun1+28)=1),JanSun1+28, "")</f>
        <v>42758</v>
      </c>
      <c r="E11" s="31">
        <f>IF(AND(YEAR(JanSun1+29)=TheYear,MONTH(JanSun1+29)=1),JanSun1+29, "")</f>
        <v>42759</v>
      </c>
      <c r="F11" s="31">
        <f>IF(AND(YEAR(JanSun1+30)=TheYear,MONTH(JanSun1+30)=1),JanSun1+30, "")</f>
        <v>42760</v>
      </c>
      <c r="G11" s="31">
        <f>IF(AND(YEAR(JanSun1+31)=TheYear,MONTH(JanSun1+31)=1),JanSun1+31, "")</f>
        <v>42761</v>
      </c>
      <c r="H11" s="31">
        <f>IF(AND(YEAR(JanSun1+32)=TheYear,MONTH(JanSun1+32)=1),JanSun1+32, "")</f>
        <v>42762</v>
      </c>
      <c r="I11" s="31">
        <f>IF(AND(YEAR(JanSun1+33)=TheYear,MONTH(JanSun1+33)=1),JanSun1+33, "")</f>
        <v>42763</v>
      </c>
      <c r="J11" s="31">
        <f>IF(AND(YEAR(JanSun1+34)=TheYear,MONTH(JanSun1+34)=1),JanSun1+34, "")</f>
        <v>42764</v>
      </c>
      <c r="K11" s="6"/>
      <c r="L11" s="34">
        <f>IF(AND(YEAR(FebSun1+28)=TheYear,MONTH(FebSun1+28)=2),FebSun1+28, "")</f>
        <v>42793</v>
      </c>
      <c r="M11" s="34">
        <f>IF(AND(YEAR(FebSun1+29)=TheYear,MONTH(FebSun1+29)=2),FebSun1+29, "")</f>
        <v>42794</v>
      </c>
      <c r="N11" s="19" t="str">
        <f>IF(AND(YEAR(FebSun1+30)=TheYear,MONTH(FebSun1+30)=2),FebSun1+30, "")</f>
        <v/>
      </c>
      <c r="O11" s="19" t="str">
        <f>IF(AND(YEAR(FebSun1+31)=TheYear,MONTH(FebSun1+31)=2),FebSun1+31, "")</f>
        <v/>
      </c>
      <c r="P11" s="19" t="str">
        <f>IF(AND(YEAR(FebSun1+32)=TheYear,MONTH(FebSun1+32)=2),FebSun1+32, "")</f>
        <v/>
      </c>
      <c r="Q11" s="19" t="str">
        <f>IF(AND(YEAR(FebSun1+33)=TheYear,MONTH(FebSun1+33)=2),FebSun1+33, "")</f>
        <v/>
      </c>
      <c r="R11" s="19" t="str">
        <f>IF(AND(YEAR(FebSun1+34)=TheYear,MONTH(FebSun1+34)=2),FebSun1+34, "")</f>
        <v/>
      </c>
      <c r="S11" s="6"/>
      <c r="T11" s="35">
        <f>IF(AND(YEAR(MarSun1+28)=TheYear,MONTH(MarSun1+28)=3),MarSun1+28, "")</f>
        <v>42821</v>
      </c>
      <c r="U11" s="35">
        <f>IF(AND(YEAR(MarSun1+29)=TheYear,MONTH(MarSun1+29)=3),MarSun1+29, "")</f>
        <v>42822</v>
      </c>
      <c r="V11" s="35">
        <f>IF(AND(YEAR(MarSun1+30)=TheYear,MONTH(MarSun1+30)=3),MarSun1+30, "")</f>
        <v>42823</v>
      </c>
      <c r="W11" s="35">
        <f>IF(AND(YEAR(MarSun1+31)=TheYear,MONTH(MarSun1+31)=3),MarSun1+31, "")</f>
        <v>42824</v>
      </c>
      <c r="X11" s="35">
        <f>IF(AND(YEAR(MarSun1+32)=TheYear,MONTH(MarSun1+32)=3),MarSun1+32, "")</f>
        <v>42825</v>
      </c>
      <c r="Y11" s="19" t="str">
        <f>IF(AND(YEAR(MarSun1+33)=TheYear,MONTH(MarSun1+33)=3),MarSun1+33, "")</f>
        <v/>
      </c>
      <c r="Z11" s="19" t="str">
        <f>IF(AND(YEAR(MarSun1+34)=TheYear,MONTH(MarSun1+34)=3),MarSun1+34, "")</f>
        <v/>
      </c>
      <c r="AA11" s="6"/>
      <c r="AB11" s="35">
        <f>IF(AND(YEAR(AprSun1+28)=TheYear,MONTH(AprSun1+28)=4),AprSun1+28, "")</f>
        <v>42849</v>
      </c>
      <c r="AC11" s="35">
        <f>IF(AND(YEAR(AprSun1+29)=TheYear,MONTH(AprSun1+29)=4),AprSun1+29, "")</f>
        <v>42850</v>
      </c>
      <c r="AD11" s="35">
        <f>IF(AND(YEAR(AprSun1+30)=TheYear,MONTH(AprSun1+30)=4),AprSun1+30, "")</f>
        <v>42851</v>
      </c>
      <c r="AE11" s="35">
        <f>IF(AND(YEAR(AprSun1+31)=TheYear,MONTH(AprSun1+31)=4),AprSun1+31, "")</f>
        <v>42852</v>
      </c>
      <c r="AF11" s="35">
        <f>IF(AND(YEAR(AprSun1+32)=TheYear,MONTH(AprSun1+32)=4),AprSun1+32, "")</f>
        <v>42853</v>
      </c>
      <c r="AG11" s="35">
        <f>IF(AND(YEAR(AprSun1+33)=TheYear,MONTH(AprSun1+33)=4),AprSun1+33, "")</f>
        <v>42854</v>
      </c>
      <c r="AH11" s="35">
        <f>IF(AND(YEAR(AprSun1+34)=TheYear,MONTH(AprSun1+34)=4),AprSun1+34, "")</f>
        <v>42855</v>
      </c>
      <c r="AM11" s="14"/>
    </row>
    <row r="12" spans="2:74" ht="12.95" customHeight="1" x14ac:dyDescent="0.25">
      <c r="D12" s="31">
        <f>IF(AND(YEAR(JanSun1+35)=TheYear,MONTH(JanSun1+35)=1),JanSun1+35, "")</f>
        <v>42765</v>
      </c>
      <c r="E12" s="31">
        <f>IF(AND(YEAR(JanSun1+36)=TheYear,MONTH(JanSun1+36)=1),JanSun1+36, "")</f>
        <v>42766</v>
      </c>
      <c r="F12" s="19" t="str">
        <f>IF(AND(YEAR(JanSun1+37)=TheYear,MONTH(JanSun1+37)=1),JanSun1+37, "")</f>
        <v/>
      </c>
      <c r="G12" s="19" t="str">
        <f>IF(AND(YEAR(JanSun1+38)=TheYear,MONTH(JanSun1+38)=1),JanSun1+38, "")</f>
        <v/>
      </c>
      <c r="H12" s="19" t="str">
        <f>IF(AND(YEAR(JanSun1+39)=TheYear,MONTH(JanSun1+39)=1),JanSun1+39, "")</f>
        <v/>
      </c>
      <c r="I12" s="19" t="str">
        <f>IF(AND(YEAR(JanSun1+40)=TheYear,MONTH(JanSun1+40)=1),JanSun1+40, "")</f>
        <v/>
      </c>
      <c r="J12" s="19" t="str">
        <f>IF(AND(YEAR(JanSun1+41)=TheYear,MONTH(JanSun1+41)=1),JanSun1+41, "")</f>
        <v/>
      </c>
      <c r="K12" s="6"/>
      <c r="L12" s="19" t="str">
        <f>IF(AND(YEAR(FebSun1+35)=TheYear,MONTH(FebSun1+35)=2),FebSun1+35, "")</f>
        <v/>
      </c>
      <c r="M12" s="19" t="str">
        <f>IF(AND(YEAR(FebSun1+36)=TheYear,MONTH(FebSun1+36)=2),FebSun1+36, "")</f>
        <v/>
      </c>
      <c r="N12" s="19" t="str">
        <f>IF(AND(YEAR(FebSun1+37)=TheYear,MONTH(FebSun1+37)=2),FebSun1+37, "")</f>
        <v/>
      </c>
      <c r="O12" s="19" t="str">
        <f>IF(AND(YEAR(FebSun1+38)=TheYear,MONTH(FebSun1+38)=2),FebSun1+38, "")</f>
        <v/>
      </c>
      <c r="P12" s="19" t="str">
        <f>IF(AND(YEAR(FebSun1+39)=TheYear,MONTH(FebSun1+39)=2),FebSun1+39, "")</f>
        <v/>
      </c>
      <c r="Q12" s="19" t="str">
        <f>IF(AND(YEAR(FebSun1+40)=TheYear,MONTH(FebSun1+40)=2),FebSun1+40, "")</f>
        <v/>
      </c>
      <c r="R12" s="19" t="str">
        <f>IF(AND(YEAR(FebSun1+41)=TheYear,MONTH(FebSun1+41)=2),FebSun1+41, "")</f>
        <v/>
      </c>
      <c r="S12" s="6"/>
      <c r="T12" s="19" t="str">
        <f>IF(AND(YEAR(MarSun1+35)=TheYear,MONTH(MarSun1+35)=3),MarSun1+35, "")</f>
        <v/>
      </c>
      <c r="U12" s="19" t="str">
        <f>IF(AND(YEAR(MarSun1+36)=TheYear,MONTH(MarSun1+36)=3),MarSun1+36, "")</f>
        <v/>
      </c>
      <c r="V12" s="19" t="str">
        <f>IF(AND(YEAR(MarSun1+37)=TheYear,MONTH(MarSun1+37)=3),MarSun1+37, "")</f>
        <v/>
      </c>
      <c r="W12" s="19" t="str">
        <f>IF(AND(YEAR(MarSun1+38)=TheYear,MONTH(MarSun1+38)=3),MarSun1+38, "")</f>
        <v/>
      </c>
      <c r="X12" s="19" t="str">
        <f>IF(AND(YEAR(MarSun1+39)=TheYear,MONTH(MarSun1+39)=3),MarSun1+39, "")</f>
        <v/>
      </c>
      <c r="Y12" s="19" t="str">
        <f>IF(AND(YEAR(MarSun1+40)=TheYear,MONTH(MarSun1+40)=3),MarSun1+40, "")</f>
        <v/>
      </c>
      <c r="Z12" s="19" t="str">
        <f>IF(AND(YEAR(MarSun1+41)=TheYear,MONTH(MarSun1+41)=3),MarSun1+41, "")</f>
        <v/>
      </c>
      <c r="AA12" s="6"/>
      <c r="AB12" s="19" t="str">
        <f>IF(AND(YEAR(AprSun1+35)=TheYear,MONTH(AprSun1+35)=4),AprSun1+35, "")</f>
        <v/>
      </c>
      <c r="AC12" s="19" t="str">
        <f>IF(AND(YEAR(AprSun1+36)=TheYear,MONTH(AprSun1+36)=4),AprSun1+36, "")</f>
        <v/>
      </c>
      <c r="AD12" s="19" t="str">
        <f>IF(AND(YEAR(AprSun1+37)=TheYear,MONTH(AprSun1+37)=4),AprSun1+37, "")</f>
        <v/>
      </c>
      <c r="AE12" s="19" t="str">
        <f>IF(AND(YEAR(AprSun1+38)=TheYear,MONTH(AprSun1+38)=4),AprSun1+38, "")</f>
        <v/>
      </c>
      <c r="AF12" s="19" t="str">
        <f>IF(AND(YEAR(AprSun1+39)=TheYear,MONTH(AprSun1+39)=4),AprSun1+39, "")</f>
        <v/>
      </c>
      <c r="AG12" s="19" t="str">
        <f>IF(AND(YEAR(AprSun1+40)=TheYear,MONTH(AprSun1+40)=4),AprSun1+40, "")</f>
        <v/>
      </c>
      <c r="AH12" s="19" t="str">
        <f>IF(AND(YEAR(AprSun1+41)=TheYear,MONTH(AprSun1+41)=4),AprSun1+41, "")</f>
        <v/>
      </c>
    </row>
    <row r="13" spans="2:74" ht="9.9499999999999993" customHeight="1" x14ac:dyDescent="0.25">
      <c r="C13" s="6"/>
      <c r="D13" s="8"/>
      <c r="E13" s="8"/>
      <c r="F13" s="8"/>
      <c r="G13" s="8"/>
      <c r="H13" s="8"/>
      <c r="I13" s="8"/>
      <c r="J13" s="8"/>
      <c r="K13" s="6"/>
      <c r="L13" s="8"/>
      <c r="M13" s="8"/>
      <c r="N13" s="8"/>
      <c r="O13" s="8"/>
      <c r="P13" s="8"/>
      <c r="Q13" s="8"/>
      <c r="R13" s="8"/>
      <c r="S13" s="6"/>
      <c r="T13" s="9"/>
      <c r="U13" s="9"/>
      <c r="V13" s="9"/>
      <c r="W13" s="9"/>
      <c r="X13" s="9"/>
      <c r="Y13" s="9"/>
      <c r="Z13" s="9"/>
      <c r="AA13" s="6"/>
      <c r="AB13" s="8"/>
      <c r="AC13" s="8"/>
      <c r="AD13" s="8"/>
      <c r="AE13" s="8"/>
      <c r="AF13" s="8"/>
      <c r="AG13" s="8"/>
      <c r="AH13" s="8"/>
      <c r="AI13" s="6"/>
    </row>
    <row r="14" spans="2:74" s="3" customFormat="1" ht="24" customHeight="1" x14ac:dyDescent="0.35">
      <c r="D14" s="21" t="s">
        <v>11</v>
      </c>
      <c r="E14" s="21"/>
      <c r="F14" s="21"/>
      <c r="G14" s="21"/>
      <c r="H14" s="21"/>
      <c r="I14" s="21"/>
      <c r="J14" s="21"/>
      <c r="K14" s="4"/>
      <c r="L14" s="21" t="s">
        <v>13</v>
      </c>
      <c r="M14" s="21"/>
      <c r="N14" s="21"/>
      <c r="O14" s="21"/>
      <c r="P14" s="21"/>
      <c r="Q14" s="21"/>
      <c r="R14" s="21"/>
      <c r="S14" s="4"/>
      <c r="T14" s="21" t="s">
        <v>7</v>
      </c>
      <c r="U14" s="21"/>
      <c r="V14" s="21"/>
      <c r="W14" s="21"/>
      <c r="X14" s="21"/>
      <c r="Y14" s="21"/>
      <c r="Z14" s="21"/>
      <c r="AA14" s="4"/>
      <c r="AB14" s="21" t="s">
        <v>10</v>
      </c>
      <c r="AC14" s="21"/>
      <c r="AD14" s="21"/>
      <c r="AE14" s="21"/>
      <c r="AF14" s="21"/>
      <c r="AG14" s="21"/>
      <c r="AH14" s="21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</row>
    <row r="15" spans="2:74" ht="12.95" customHeight="1" x14ac:dyDescent="0.25">
      <c r="C15" s="5"/>
      <c r="D15" s="1" t="s">
        <v>1</v>
      </c>
      <c r="E15" s="1" t="s">
        <v>2</v>
      </c>
      <c r="F15" s="1" t="s">
        <v>2</v>
      </c>
      <c r="G15" s="1" t="s">
        <v>16</v>
      </c>
      <c r="H15" s="1" t="s">
        <v>3</v>
      </c>
      <c r="I15" s="1" t="s">
        <v>17</v>
      </c>
      <c r="J15" s="1" t="s">
        <v>0</v>
      </c>
      <c r="K15" s="6"/>
      <c r="L15" s="1" t="s">
        <v>1</v>
      </c>
      <c r="M15" s="1" t="s">
        <v>2</v>
      </c>
      <c r="N15" s="1" t="s">
        <v>2</v>
      </c>
      <c r="O15" s="1" t="s">
        <v>16</v>
      </c>
      <c r="P15" s="1" t="s">
        <v>3</v>
      </c>
      <c r="Q15" s="1" t="s">
        <v>17</v>
      </c>
      <c r="R15" s="1" t="s">
        <v>0</v>
      </c>
      <c r="S15" s="6"/>
      <c r="T15" s="1" t="s">
        <v>1</v>
      </c>
      <c r="U15" s="1" t="s">
        <v>2</v>
      </c>
      <c r="V15" s="1" t="s">
        <v>2</v>
      </c>
      <c r="W15" s="1" t="s">
        <v>16</v>
      </c>
      <c r="X15" s="1" t="s">
        <v>3</v>
      </c>
      <c r="Y15" s="1" t="s">
        <v>17</v>
      </c>
      <c r="Z15" s="1" t="s">
        <v>0</v>
      </c>
      <c r="AA15" s="6"/>
      <c r="AB15" s="1" t="s">
        <v>1</v>
      </c>
      <c r="AC15" s="1" t="s">
        <v>2</v>
      </c>
      <c r="AD15" s="1" t="s">
        <v>2</v>
      </c>
      <c r="AE15" s="1" t="s">
        <v>16</v>
      </c>
      <c r="AF15" s="1" t="s">
        <v>3</v>
      </c>
      <c r="AG15" s="1" t="s">
        <v>17</v>
      </c>
      <c r="AH15" s="1" t="s">
        <v>0</v>
      </c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</row>
    <row r="16" spans="2:74" ht="12.95" customHeight="1" x14ac:dyDescent="0.25">
      <c r="D16" s="35">
        <f>IF(AND(YEAR(MaySun1)=TheYear,MONTH(MaySun1)=5),MaySun1, "")</f>
        <v>42856</v>
      </c>
      <c r="E16" s="35">
        <f>IF(AND(YEAR(MaySun1+1)=TheYear,MONTH(MaySun1+1)=5),MaySun1+1, "")</f>
        <v>42857</v>
      </c>
      <c r="F16" s="35">
        <f>IF(AND(YEAR(MaySun1+2)=TheYear,MONTH(MaySun1+2)=5),MaySun1+2, "")</f>
        <v>42858</v>
      </c>
      <c r="G16" s="35">
        <f>IF(AND(YEAR(MaySun1+3)=TheYear,MONTH(MaySun1+3)=5),MaySun1+3, "")</f>
        <v>42859</v>
      </c>
      <c r="H16" s="35">
        <f>IF(AND(YEAR(MaySun1+4)=TheYear,MONTH(MaySun1+4)=5),MaySun1+4, "")</f>
        <v>42860</v>
      </c>
      <c r="I16" s="35">
        <f>IF(AND(YEAR(MaySun1+5)=TheYear,MONTH(MaySun1+5)=5),MaySun1+5, "")</f>
        <v>42861</v>
      </c>
      <c r="J16" s="35">
        <f>IF(AND(YEAR(MaySun1+6)=TheYear,MONTH(MaySun1+6)=5),MaySun1+6, "")</f>
        <v>42862</v>
      </c>
      <c r="K16" s="6"/>
      <c r="L16" s="19" t="str">
        <f>IF(AND(YEAR(JunSun1)=TheYear,MONTH(JunSun1)=6),JunSun1, "")</f>
        <v/>
      </c>
      <c r="M16" s="19" t="str">
        <f>IF(AND(YEAR(JunSun1+1)=TheYear,MONTH(JunSun1+1)=6),JunSun1+1, "")</f>
        <v/>
      </c>
      <c r="N16" s="19" t="str">
        <f>IF(AND(YEAR(JunSun1+2)=TheYear,MONTH(JunSun1+2)=6),JunSun1+2, "")</f>
        <v/>
      </c>
      <c r="O16" s="19">
        <f>IF(AND(YEAR(JunSun1+3)=TheYear,MONTH(JunSun1+3)=6),JunSun1+3, "")</f>
        <v>42887</v>
      </c>
      <c r="P16" s="19">
        <f>IF(AND(YEAR(JunSun1+4)=TheYear,MONTH(JunSun1+4)=6),JunSun1+4, "")</f>
        <v>42888</v>
      </c>
      <c r="Q16" s="19">
        <f>IF(AND(YEAR(JunSun1+5)=TheYear,MONTH(JunSun1+5)=6),JunSun1+5, "")</f>
        <v>42889</v>
      </c>
      <c r="R16" s="19">
        <f>IF(AND(YEAR(JunSun1+6)=TheYear,MONTH(JunSun1+6)=6),JunSun1+6, "")</f>
        <v>42890</v>
      </c>
      <c r="S16" s="6"/>
      <c r="T16" s="7" t="str">
        <f>IF(AND(YEAR(JulSun1)=TheYear,MONTH(JulSun1)=7),JulSun1, "")</f>
        <v/>
      </c>
      <c r="U16" s="7" t="str">
        <f>IF(AND(YEAR(JulSun1+1)=TheYear,MONTH(JulSun1+1)=7),JulSun1+1, "")</f>
        <v/>
      </c>
      <c r="V16" s="7" t="str">
        <f>IF(AND(YEAR(JulSun1+2)=TheYear,MONTH(JulSun1+2)=7),JulSun1+2, "")</f>
        <v/>
      </c>
      <c r="W16" s="7" t="str">
        <f>IF(AND(YEAR(JulSun1+3)=TheYear,MONTH(JulSun1+3)=7),JulSun1+3, "")</f>
        <v/>
      </c>
      <c r="X16" s="7" t="str">
        <f>IF(AND(YEAR(JulSun1+4)=TheYear,MONTH(JulSun1+4)=7),JulSun1+4, "")</f>
        <v/>
      </c>
      <c r="Y16" s="7">
        <f>IF(AND(YEAR(JulSun1+5)=TheYear,MONTH(JulSun1+5)=7),JulSun1+5, "")</f>
        <v>42917</v>
      </c>
      <c r="Z16" s="7">
        <f>IF(AND(YEAR(JulSun1+6)=TheYear,MONTH(JulSun1+6)=7),JulSun1+6, "")</f>
        <v>42918</v>
      </c>
      <c r="AA16" s="6"/>
      <c r="AB16" s="7" t="str">
        <f>IF(AND(YEAR(AugSun1)=TheYear,MONTH(AugSun1)=8),AugSun1, "")</f>
        <v/>
      </c>
      <c r="AC16" s="7">
        <f>IF(AND(YEAR(AugSun1+1)=TheYear,MONTH(AugSun1+1)=8),AugSun1+1, "")</f>
        <v>42948</v>
      </c>
      <c r="AD16" s="7">
        <f>IF(AND(YEAR(AugSun1+2)=TheYear,MONTH(AugSun1+2)=8),AugSun1+2, "")</f>
        <v>42949</v>
      </c>
      <c r="AE16" s="7">
        <f>IF(AND(YEAR(AugSun1+3)=TheYear,MONTH(AugSun1+3)=8),AugSun1+3, "")</f>
        <v>42950</v>
      </c>
      <c r="AF16" s="7">
        <f>IF(AND(YEAR(AugSun1+4)=TheYear,MONTH(AugSun1+4)=8),AugSun1+4, "")</f>
        <v>42951</v>
      </c>
      <c r="AG16" s="7">
        <f>IF(AND(YEAR(AugSun1+5)=TheYear,MONTH(AugSun1+5)=8),AugSun1+5, "")</f>
        <v>42952</v>
      </c>
      <c r="AH16" s="7">
        <f>IF(AND(YEAR(AugSun1+6)=TheYear,MONTH(AugSun1+6)=8),AugSun1+6, "")</f>
        <v>42953</v>
      </c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</row>
    <row r="17" spans="2:80" ht="12.95" customHeight="1" x14ac:dyDescent="0.25">
      <c r="D17" s="36">
        <f>IF(AND(YEAR(MaySun1+7)=TheYear,MONTH(MaySun1+7)=5),MaySun1+7, "")</f>
        <v>42863</v>
      </c>
      <c r="E17" s="36">
        <f>IF(AND(YEAR(MaySun1+8)=TheYear,MONTH(MaySun1+8)=5),MaySun1+8, "")</f>
        <v>42864</v>
      </c>
      <c r="F17" s="36">
        <f>IF(AND(YEAR(MaySun1+9)=TheYear,MONTH(MaySun1+9)=5),MaySun1+9, "")</f>
        <v>42865</v>
      </c>
      <c r="G17" s="36">
        <f>IF(AND(YEAR(MaySun1+10)=TheYear,MONTH(MaySun1+10)=5),MaySun1+10, "")</f>
        <v>42866</v>
      </c>
      <c r="H17" s="36">
        <f>IF(AND(YEAR(MaySun1+11)=TheYear,MONTH(MaySun1+11)=5),MaySun1+11, "")</f>
        <v>42867</v>
      </c>
      <c r="I17" s="36">
        <f>IF(AND(YEAR(MaySun1+12)=TheYear,MONTH(MaySun1+12)=5),MaySun1+12, "")</f>
        <v>42868</v>
      </c>
      <c r="J17" s="36">
        <f>IF(AND(YEAR(MaySun1+13)=TheYear,MONTH(MaySun1+13)=5),MaySun1+13, "")</f>
        <v>42869</v>
      </c>
      <c r="K17" s="6"/>
      <c r="L17" s="19">
        <f>IF(AND(YEAR(JunSun1+7)=TheYear,MONTH(JunSun1+7)=6),JunSun1+7, "")</f>
        <v>42891</v>
      </c>
      <c r="M17" s="19">
        <f>IF(AND(YEAR(JunSun1+8)=TheYear,MONTH(JunSun1+8)=6),JunSun1+8, "")</f>
        <v>42892</v>
      </c>
      <c r="N17" s="19">
        <f>IF(AND(YEAR(JunSun1+9)=TheYear,MONTH(JunSun1+9)=6),JunSun1+9, "")</f>
        <v>42893</v>
      </c>
      <c r="O17" s="19">
        <f>IF(AND(YEAR(JunSun1+10)=TheYear,MONTH(JunSun1+10)=6),JunSun1+10, "")</f>
        <v>42894</v>
      </c>
      <c r="P17" s="19">
        <f>IF(AND(YEAR(JunSun1+11)=TheYear,MONTH(JunSun1+11)=6),JunSun1+11, "")</f>
        <v>42895</v>
      </c>
      <c r="Q17" s="19">
        <f>IF(AND(YEAR(JunSun1+12)=TheYear,MONTH(JunSun1+12)=6),JunSun1+12, "")</f>
        <v>42896</v>
      </c>
      <c r="R17" s="19">
        <f>IF(AND(YEAR(JunSun1+13)=TheYear,MONTH(JunSun1+13)=6),JunSun1+13, "")</f>
        <v>42897</v>
      </c>
      <c r="S17" s="6"/>
      <c r="T17" s="7">
        <f>IF(AND(YEAR(JulSun1+7)=TheYear,MONTH(JulSun1+7)=7),JulSun1+7, "")</f>
        <v>42919</v>
      </c>
      <c r="U17" s="7">
        <f>IF(AND(YEAR(JulSun1+8)=TheYear,MONTH(JulSun1+8)=7),JulSun1+8, "")</f>
        <v>42920</v>
      </c>
      <c r="V17" s="7">
        <f>IF(AND(YEAR(JulSun1+9)=TheYear,MONTH(JulSun1+9)=7),JulSun1+9, "")</f>
        <v>42921</v>
      </c>
      <c r="W17" s="7">
        <f>IF(AND(YEAR(JulSun1+10)=TheYear,MONTH(JulSun1+10)=7),JulSun1+10, "")</f>
        <v>42922</v>
      </c>
      <c r="X17" s="7">
        <f>IF(AND(YEAR(JulSun1+11)=TheYear,MONTH(JulSun1+11)=7),JulSun1+11, "")</f>
        <v>42923</v>
      </c>
      <c r="Y17" s="7">
        <f>IF(AND(YEAR(JulSun1+12)=TheYear,MONTH(JulSun1+12)=7),JulSun1+12, "")</f>
        <v>42924</v>
      </c>
      <c r="Z17" s="7">
        <f>IF(AND(YEAR(JulSun1+13)=TheYear,MONTH(JulSun1+13)=7),JulSun1+13, "")</f>
        <v>42925</v>
      </c>
      <c r="AA17" s="6"/>
      <c r="AB17" s="7">
        <f>IF(AND(YEAR(AugSun1+7)=TheYear,MONTH(AugSun1+7)=8),AugSun1+7, "")</f>
        <v>42954</v>
      </c>
      <c r="AC17" s="7">
        <f>IF(AND(YEAR(AugSun1+8)=TheYear,MONTH(AugSun1+8)=8),AugSun1+8, "")</f>
        <v>42955</v>
      </c>
      <c r="AD17" s="7">
        <f>IF(AND(YEAR(AugSun1+9)=TheYear,MONTH(AugSun1+9)=8),AugSun1+9, "")</f>
        <v>42956</v>
      </c>
      <c r="AE17" s="7">
        <f>IF(AND(YEAR(AugSun1+10)=TheYear,MONTH(AugSun1+10)=8),AugSun1+10, "")</f>
        <v>42957</v>
      </c>
      <c r="AF17" s="7">
        <f>IF(AND(YEAR(AugSun1+11)=TheYear,MONTH(AugSun1+11)=8),AugSun1+11, "")</f>
        <v>42958</v>
      </c>
      <c r="AG17" s="7">
        <f>IF(AND(YEAR(AugSun1+12)=TheYear,MONTH(AugSun1+12)=8),AugSun1+12, "")</f>
        <v>42959</v>
      </c>
      <c r="AH17" s="7">
        <f>IF(AND(YEAR(AugSun1+13)=TheYear,MONTH(AugSun1+13)=8),AugSun1+13, "")</f>
        <v>42960</v>
      </c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</row>
    <row r="18" spans="2:80" ht="12.95" customHeight="1" x14ac:dyDescent="0.25">
      <c r="D18" s="36">
        <f>IF(AND(YEAR(MaySun1+14)=TheYear,MONTH(MaySun1+14)=5),MaySun1+14, "")</f>
        <v>42870</v>
      </c>
      <c r="E18" s="36">
        <f>IF(AND(YEAR(MaySun1+15)=TheYear,MONTH(MaySun1+15)=5),MaySun1+15, "")</f>
        <v>42871</v>
      </c>
      <c r="F18" s="36">
        <f>IF(AND(YEAR(MaySun1+16)=TheYear,MONTH(MaySun1+16)=5),MaySun1+16, "")</f>
        <v>42872</v>
      </c>
      <c r="G18" s="36">
        <f>IF(AND(YEAR(MaySun1+17)=TheYear,MONTH(MaySun1+17)=5),MaySun1+17, "")</f>
        <v>42873</v>
      </c>
      <c r="H18" s="36">
        <f>IF(AND(YEAR(MaySun1+18)=TheYear,MONTH(MaySun1+18)=5),MaySun1+18, "")</f>
        <v>42874</v>
      </c>
      <c r="I18" s="36">
        <f>IF(AND(YEAR(MaySun1+19)=TheYear,MONTH(MaySun1+19)=5),MaySun1+19, "")</f>
        <v>42875</v>
      </c>
      <c r="J18" s="36">
        <f>IF(AND(YEAR(MaySun1+20)=TheYear,MONTH(MaySun1+20)=5),MaySun1+20, "")</f>
        <v>42876</v>
      </c>
      <c r="K18" s="6"/>
      <c r="L18" s="19">
        <f>IF(AND(YEAR(JunSun1+14)=TheYear,MONTH(JunSun1+14)=6),JunSun1+14, "")</f>
        <v>42898</v>
      </c>
      <c r="M18" s="19">
        <f>IF(AND(YEAR(JunSun1+15)=TheYear,MONTH(JunSun1+15)=6),JunSun1+15, "")</f>
        <v>42899</v>
      </c>
      <c r="N18" s="19">
        <f>IF(AND(YEAR(JunSun1+16)=TheYear,MONTH(JunSun1+16)=6),JunSun1+16, "")</f>
        <v>42900</v>
      </c>
      <c r="O18" s="19">
        <f>IF(AND(YEAR(JunSun1+17)=TheYear,MONTH(JunSun1+17)=6),JunSun1+17, "")</f>
        <v>42901</v>
      </c>
      <c r="P18" s="19">
        <f>IF(AND(YEAR(JunSun1+18)=TheYear,MONTH(JunSun1+18)=6),JunSun1+18, "")</f>
        <v>42902</v>
      </c>
      <c r="Q18" s="19">
        <f>IF(AND(YEAR(JunSun1+19)=TheYear,MONTH(JunSun1+19)=6),JunSun1+19, "")</f>
        <v>42903</v>
      </c>
      <c r="R18" s="19">
        <f>IF(AND(YEAR(JunSun1+20)=TheYear,MONTH(JunSun1+20)=6),JunSun1+20, "")</f>
        <v>42904</v>
      </c>
      <c r="S18" s="6"/>
      <c r="T18" s="7">
        <f>IF(AND(YEAR(JulSun1+14)=TheYear,MONTH(JulSun1+14)=7),JulSun1+14, "")</f>
        <v>42926</v>
      </c>
      <c r="U18" s="7">
        <f>IF(AND(YEAR(JulSun1+15)=TheYear,MONTH(JulSun1+15)=7),JulSun1+15, "")</f>
        <v>42927</v>
      </c>
      <c r="V18" s="7">
        <f>IF(AND(YEAR(JulSun1+16)=TheYear,MONTH(JulSun1+16)=7),JulSun1+16, "")</f>
        <v>42928</v>
      </c>
      <c r="W18" s="7">
        <f>IF(AND(YEAR(JulSun1+17)=TheYear,MONTH(JulSun1+17)=7),JulSun1+17, "")</f>
        <v>42929</v>
      </c>
      <c r="X18" s="7">
        <f>IF(AND(YEAR(JulSun1+18)=TheYear,MONTH(JulSun1+18)=7),JulSun1+18, "")</f>
        <v>42930</v>
      </c>
      <c r="Y18" s="7">
        <f>IF(AND(YEAR(JulSun1+19)=TheYear,MONTH(JulSun1+19)=7),JulSun1+19, "")</f>
        <v>42931</v>
      </c>
      <c r="Z18" s="7">
        <f>IF(AND(YEAR(JulSun1+20)=TheYear,MONTH(JulSun1+20)=7),JulSun1+20, "")</f>
        <v>42932</v>
      </c>
      <c r="AA18" s="6"/>
      <c r="AB18" s="7">
        <f>IF(AND(YEAR(AugSun1+14)=TheYear,MONTH(AugSun1+14)=8),AugSun1+14, "")</f>
        <v>42961</v>
      </c>
      <c r="AC18" s="7">
        <f>IF(AND(YEAR(AugSun1+15)=TheYear,MONTH(AugSun1+15)=8),AugSun1+15, "")</f>
        <v>42962</v>
      </c>
      <c r="AD18" s="7">
        <f>IF(AND(YEAR(AugSun1+16)=TheYear,MONTH(AugSun1+16)=8),AugSun1+16, "")</f>
        <v>42963</v>
      </c>
      <c r="AE18" s="7">
        <f>IF(AND(YEAR(AugSun1+17)=TheYear,MONTH(AugSun1+17)=8),AugSun1+17, "")</f>
        <v>42964</v>
      </c>
      <c r="AF18" s="7">
        <f>IF(AND(YEAR(AugSun1+18)=TheYear,MONTH(AugSun1+18)=8),AugSun1+18, "")</f>
        <v>42965</v>
      </c>
      <c r="AG18" s="7">
        <f>IF(AND(YEAR(AugSun1+19)=TheYear,MONTH(AugSun1+19)=8),AugSun1+19, "")</f>
        <v>42966</v>
      </c>
      <c r="AH18" s="7">
        <f>IF(AND(YEAR(AugSun1+20)=TheYear,MONTH(AugSun1+20)=8),AugSun1+20, "")</f>
        <v>42967</v>
      </c>
      <c r="AL18" s="2" t="s">
        <v>18</v>
      </c>
      <c r="AM18" s="26"/>
    </row>
    <row r="19" spans="2:80" ht="12.95" customHeight="1" x14ac:dyDescent="0.25">
      <c r="D19" s="37">
        <f>IF(AND(YEAR(MaySun1+21)=TheYear,MONTH(MaySun1+21)=5),MaySun1+21, "")</f>
        <v>42877</v>
      </c>
      <c r="E19" s="37">
        <f>IF(AND(YEAR(MaySun1+22)=TheYear,MONTH(MaySun1+22)=5),MaySun1+22, "")</f>
        <v>42878</v>
      </c>
      <c r="F19" s="37">
        <f>IF(AND(YEAR(MaySun1+23)=TheYear,MONTH(MaySun1+23)=5),MaySun1+23, "")</f>
        <v>42879</v>
      </c>
      <c r="G19" s="37">
        <f>IF(AND(YEAR(MaySun1+24)=TheYear,MONTH(MaySun1+24)=5),MaySun1+24, "")</f>
        <v>42880</v>
      </c>
      <c r="H19" s="37">
        <f>IF(AND(YEAR(MaySun1+25)=TheYear,MONTH(MaySun1+25)=5),MaySun1+25, "")</f>
        <v>42881</v>
      </c>
      <c r="I19" s="37">
        <f>IF(AND(YEAR(MaySun1+26)=TheYear,MONTH(MaySun1+26)=5),MaySun1+26, "")</f>
        <v>42882</v>
      </c>
      <c r="J19" s="37">
        <f>IF(AND(YEAR(MaySun1+27)=TheYear,MONTH(MaySun1+27)=5),MaySun1+27, "")</f>
        <v>42883</v>
      </c>
      <c r="K19" s="6"/>
      <c r="L19" s="19">
        <f>IF(AND(YEAR(JunSun1+21)=TheYear,MONTH(JunSun1+21)=6),JunSun1+21, "")</f>
        <v>42905</v>
      </c>
      <c r="M19" s="19">
        <f>IF(AND(YEAR(JunSun1+22)=TheYear,MONTH(JunSun1+22)=6),JunSun1+22, "")</f>
        <v>42906</v>
      </c>
      <c r="N19" s="19">
        <f>IF(AND(YEAR(JunSun1+23)=TheYear,MONTH(JunSun1+23)=6),JunSun1+23, "")</f>
        <v>42907</v>
      </c>
      <c r="O19" s="19">
        <f>IF(AND(YEAR(JunSun1+24)=TheYear,MONTH(JunSun1+24)=6),JunSun1+24, "")</f>
        <v>42908</v>
      </c>
      <c r="P19" s="19">
        <f>IF(AND(YEAR(JunSun1+25)=TheYear,MONTH(JunSun1+25)=6),JunSun1+25, "")</f>
        <v>42909</v>
      </c>
      <c r="Q19" s="19">
        <f>IF(AND(YEAR(JunSun1+26)=TheYear,MONTH(JunSun1+26)=6),JunSun1+26, "")</f>
        <v>42910</v>
      </c>
      <c r="R19" s="19">
        <f>IF(AND(YEAR(JunSun1+27)=TheYear,MONTH(JunSun1+27)=6),JunSun1+27, "")</f>
        <v>42911</v>
      </c>
      <c r="S19" s="6"/>
      <c r="T19" s="7">
        <f>IF(AND(YEAR(JulSun1+21)=TheYear,MONTH(JulSun1+21)=7),JulSun1+21, "")</f>
        <v>42933</v>
      </c>
      <c r="U19" s="7">
        <f>IF(AND(YEAR(JulSun1+22)=TheYear,MONTH(JulSun1+22)=7),JulSun1+22, "")</f>
        <v>42934</v>
      </c>
      <c r="V19" s="7">
        <f>IF(AND(YEAR(JulSun1+23)=TheYear,MONTH(JulSun1+23)=7),JulSun1+23, "")</f>
        <v>42935</v>
      </c>
      <c r="W19" s="7">
        <f>IF(AND(YEAR(JulSun1+24)=TheYear,MONTH(JulSun1+24)=7),JulSun1+24, "")</f>
        <v>42936</v>
      </c>
      <c r="X19" s="7">
        <f>IF(AND(YEAR(JulSun1+25)=TheYear,MONTH(JulSun1+25)=7),JulSun1+25, "")</f>
        <v>42937</v>
      </c>
      <c r="Y19" s="7">
        <f>IF(AND(YEAR(JulSun1+26)=TheYear,MONTH(JulSun1+26)=7),JulSun1+26, "")</f>
        <v>42938</v>
      </c>
      <c r="Z19" s="7">
        <f>IF(AND(YEAR(JulSun1+27)=TheYear,MONTH(JulSun1+27)=7),JulSun1+27, "")</f>
        <v>42939</v>
      </c>
      <c r="AA19" s="6"/>
      <c r="AB19" s="7">
        <f>IF(AND(YEAR(AugSun1+21)=TheYear,MONTH(AugSun1+21)=8),AugSun1+21, "")</f>
        <v>42968</v>
      </c>
      <c r="AC19" s="7">
        <f>IF(AND(YEAR(AugSun1+22)=TheYear,MONTH(AugSun1+22)=8),AugSun1+22, "")</f>
        <v>42969</v>
      </c>
      <c r="AD19" s="7">
        <f>IF(AND(YEAR(AugSun1+23)=TheYear,MONTH(AugSun1+23)=8),AugSun1+23, "")</f>
        <v>42970</v>
      </c>
      <c r="AE19" s="7">
        <f>IF(AND(YEAR(AugSun1+24)=TheYear,MONTH(AugSun1+24)=8),AugSun1+24, "")</f>
        <v>42971</v>
      </c>
      <c r="AF19" s="7">
        <f>IF(AND(YEAR(AugSun1+25)=TheYear,MONTH(AugSun1+25)=8),AugSun1+25, "")</f>
        <v>42972</v>
      </c>
      <c r="AG19" s="7">
        <f>IF(AND(YEAR(AugSun1+26)=TheYear,MONTH(AugSun1+26)=8),AugSun1+26, "")</f>
        <v>42973</v>
      </c>
      <c r="AH19" s="7">
        <f>IF(AND(YEAR(AugSun1+27)=TheYear,MONTH(AugSun1+27)=8),AugSun1+27, "")</f>
        <v>42974</v>
      </c>
      <c r="AL19" s="2" t="s">
        <v>19</v>
      </c>
      <c r="AM19" s="30"/>
    </row>
    <row r="20" spans="2:80" ht="12.95" customHeight="1" x14ac:dyDescent="0.25">
      <c r="D20" s="19">
        <f>IF(AND(YEAR(MaySun1+28)=TheYear,MONTH(MaySun1+28)=5),MaySun1+28, "")</f>
        <v>42884</v>
      </c>
      <c r="E20" s="19">
        <f>IF(AND(YEAR(MaySun1+29)=TheYear,MONTH(MaySun1+29)=5),MaySun1+29, "")</f>
        <v>42885</v>
      </c>
      <c r="F20" s="19">
        <f>IF(AND(YEAR(MaySun1+30)=TheYear,MONTH(MaySun1+30)=5),MaySun1+30, "")</f>
        <v>42886</v>
      </c>
      <c r="G20" s="19" t="str">
        <f>IF(AND(YEAR(MaySun1+31)=TheYear,MONTH(MaySun1+31)=5),MaySun1+31, "")</f>
        <v/>
      </c>
      <c r="H20" s="19" t="str">
        <f>IF(AND(YEAR(MaySun1+32)=TheYear,MONTH(MaySun1+32)=5),MaySun1+32, "")</f>
        <v/>
      </c>
      <c r="I20" s="19" t="str">
        <f>IF(AND(YEAR(MaySun1+33)=TheYear,MONTH(MaySun1+33)=5),MaySun1+33, "")</f>
        <v/>
      </c>
      <c r="J20" s="19" t="str">
        <f>IF(AND(YEAR(MaySun1+34)=TheYear,MONTH(MaySun1+34)=5),MaySun1+34, "")</f>
        <v/>
      </c>
      <c r="K20" s="6"/>
      <c r="L20" s="19">
        <f>IF(AND(YEAR(JunSun1+28)=TheYear,MONTH(JunSun1+28)=6),JunSun1+28, "")</f>
        <v>42912</v>
      </c>
      <c r="M20" s="19">
        <f>IF(AND(YEAR(JunSun1+29)=TheYear,MONTH(JunSun1+29)=6),JunSun1+29, "")</f>
        <v>42913</v>
      </c>
      <c r="N20" s="19">
        <f>IF(AND(YEAR(JunSun1+30)=TheYear,MONTH(JunSun1+30)=6),JunSun1+30, "")</f>
        <v>42914</v>
      </c>
      <c r="O20" s="19">
        <f>IF(AND(YEAR(JunSun1+31)=TheYear,MONTH(JunSun1+31)=6),JunSun1+31, "")</f>
        <v>42915</v>
      </c>
      <c r="P20" s="19">
        <f>IF(AND(YEAR(JunSun1+32)=TheYear,MONTH(JunSun1+32)=6),JunSun1+32, "")</f>
        <v>42916</v>
      </c>
      <c r="Q20" s="19" t="str">
        <f>IF(AND(YEAR(JunSun1+33)=TheYear,MONTH(JunSun1+33)=6),JunSun1+33, "")</f>
        <v/>
      </c>
      <c r="R20" s="19" t="str">
        <f>IF(AND(YEAR(JunSun1+34)=TheYear,MONTH(JunSun1+34)=6),JunSun1+34, "")</f>
        <v/>
      </c>
      <c r="S20" s="6"/>
      <c r="T20" s="7">
        <f>IF(AND(YEAR(JulSun1+28)=TheYear,MONTH(JulSun1+28)=7),JulSun1+28, "")</f>
        <v>42940</v>
      </c>
      <c r="U20" s="7">
        <f>IF(AND(YEAR(JulSun1+29)=TheYear,MONTH(JulSun1+29)=7),JulSun1+29, "")</f>
        <v>42941</v>
      </c>
      <c r="V20" s="7">
        <f>IF(AND(YEAR(JulSun1+30)=TheYear,MONTH(JulSun1+30)=7),JulSun1+30, "")</f>
        <v>42942</v>
      </c>
      <c r="W20" s="7">
        <f>IF(AND(YEAR(JulSun1+31)=TheYear,MONTH(JulSun1+31)=7),JulSun1+31, "")</f>
        <v>42943</v>
      </c>
      <c r="X20" s="7">
        <f>IF(AND(YEAR(JulSun1+32)=TheYear,MONTH(JulSun1+32)=7),JulSun1+32, "")</f>
        <v>42944</v>
      </c>
      <c r="Y20" s="7">
        <f>IF(AND(YEAR(JulSun1+33)=TheYear,MONTH(JulSun1+33)=7),JulSun1+33, "")</f>
        <v>42945</v>
      </c>
      <c r="Z20" s="7">
        <f>IF(AND(YEAR(JulSun1+34)=TheYear,MONTH(JulSun1+34)=7),JulSun1+34, "")</f>
        <v>42946</v>
      </c>
      <c r="AA20" s="6"/>
      <c r="AB20" s="7">
        <f>IF(AND(YEAR(AugSun1+28)=TheYear,MONTH(AugSun1+28)=8),AugSun1+28, "")</f>
        <v>42975</v>
      </c>
      <c r="AC20" s="7">
        <f>IF(AND(YEAR(AugSun1+29)=TheYear,MONTH(AugSun1+29)=8),AugSun1+29, "")</f>
        <v>42976</v>
      </c>
      <c r="AD20" s="7">
        <f>IF(AND(YEAR(AugSun1+30)=TheYear,MONTH(AugSun1+30)=8),AugSun1+30, "")</f>
        <v>42977</v>
      </c>
      <c r="AE20" s="7">
        <f>IF(AND(YEAR(AugSun1+31)=TheYear,MONTH(AugSun1+31)=8),AugSun1+31, "")</f>
        <v>42978</v>
      </c>
      <c r="AF20" s="7" t="str">
        <f>IF(AND(YEAR(AugSun1+32)=TheYear,MONTH(AugSun1+32)=8),AugSun1+32, "")</f>
        <v/>
      </c>
      <c r="AG20" s="7" t="str">
        <f>IF(AND(YEAR(AugSun1+33)=TheYear,MONTH(AugSun1+33)=8),AugSun1+33, "")</f>
        <v/>
      </c>
      <c r="AH20" s="7" t="str">
        <f>IF(AND(YEAR(AugSun1+34)=TheYear,MONTH(AugSun1+34)=8),AugSun1+34, "")</f>
        <v/>
      </c>
      <c r="AL20" s="2" t="s">
        <v>20</v>
      </c>
      <c r="AM20" s="29"/>
    </row>
    <row r="21" spans="2:80" ht="12.95" customHeight="1" x14ac:dyDescent="0.25">
      <c r="D21" s="19" t="str">
        <f>IF(AND(YEAR(MaySun1+35)=TheYear,MONTH(MaySun1+35)=5),MaySun1+35, "")</f>
        <v/>
      </c>
      <c r="E21" s="19" t="str">
        <f>IF(AND(YEAR(MaySun1+36)=TheYear,MONTH(MaySun1+36)=5),MaySun1+36, "")</f>
        <v/>
      </c>
      <c r="F21" s="19" t="str">
        <f>IF(AND(YEAR(MaySun1+37)=TheYear,MONTH(MaySun1+37)=5),MaySun1+37, "")</f>
        <v/>
      </c>
      <c r="G21" s="19" t="str">
        <f>IF(AND(YEAR(MaySun1+38)=TheYear,MONTH(MaySun1+38)=5),MaySun1+38, "")</f>
        <v/>
      </c>
      <c r="H21" s="19" t="str">
        <f>IF(AND(YEAR(MaySun1+39)=TheYear,MONTH(MaySun1+39)=5),MaySun1+39, "")</f>
        <v/>
      </c>
      <c r="I21" s="19" t="str">
        <f>IF(AND(YEAR(MaySun1+40)=TheYear,MONTH(MaySun1+40)=5),MaySun1+40, "")</f>
        <v/>
      </c>
      <c r="J21" s="19" t="str">
        <f>IF(AND(YEAR(MaySun1+41)=TheYear,MONTH(MaySun1+41)=5),MaySun1+41, "")</f>
        <v/>
      </c>
      <c r="K21" s="6"/>
      <c r="L21" s="19" t="str">
        <f>IF(AND(YEAR(JunSun1+35)=TheYear,MONTH(JunSun1+35)=6),JunSun1+35, "")</f>
        <v/>
      </c>
      <c r="M21" s="19" t="str">
        <f>IF(AND(YEAR(JunSun1+36)=TheYear,MONTH(JunSun1+36)=6),JunSun1+36, "")</f>
        <v/>
      </c>
      <c r="N21" s="19" t="str">
        <f>IF(AND(YEAR(JunSun1+37)=TheYear,MONTH(JunSun1+37)=6),JunSun1+37, "")</f>
        <v/>
      </c>
      <c r="O21" s="19" t="str">
        <f>IF(AND(YEAR(JunSun1+38)=TheYear,MONTH(JunSun1+38)=6),JunSun1+38, "")</f>
        <v/>
      </c>
      <c r="P21" s="19" t="str">
        <f>IF(AND(YEAR(JunSun1+39)=TheYear,MONTH(JunSun1+39)=6),JunSun1+39, "")</f>
        <v/>
      </c>
      <c r="Q21" s="19" t="str">
        <f>IF(AND(YEAR(JunSun1+40)=TheYear,MONTH(JunSun1+40)=6),JunSun1+40, "")</f>
        <v/>
      </c>
      <c r="R21" s="19" t="str">
        <f>IF(AND(YEAR(JunSun1+41)=TheYear,MONTH(JunSun1+41)=6),JunSun1+41, "")</f>
        <v/>
      </c>
      <c r="S21" s="6"/>
      <c r="T21" s="7">
        <f>IF(AND(YEAR(JulSun1+35)=TheYear,MONTH(JulSun1+35)=7),JulSun1+35, "")</f>
        <v>42947</v>
      </c>
      <c r="U21" s="7" t="str">
        <f>IF(AND(YEAR(JulSun1+36)=TheYear,MONTH(JulSun1+36)=7),JulSun1+36, "")</f>
        <v/>
      </c>
      <c r="V21" s="7" t="str">
        <f>IF(AND(YEAR(JulSun1+37)=TheYear,MONTH(JulSun1+37)=7),JulSun1+37, "")</f>
        <v/>
      </c>
      <c r="W21" s="7" t="str">
        <f>IF(AND(YEAR(JulSun1+38)=TheYear,MONTH(JulSun1+38)=7),JulSun1+38, "")</f>
        <v/>
      </c>
      <c r="X21" s="7" t="str">
        <f>IF(AND(YEAR(JulSun1+39)=TheYear,MONTH(JulSun1+39)=7),JulSun1+39, "")</f>
        <v/>
      </c>
      <c r="Y21" s="7" t="str">
        <f>IF(AND(YEAR(JulSun1+40)=TheYear,MONTH(JulSun1+40)=7),JulSun1+40, "")</f>
        <v/>
      </c>
      <c r="Z21" s="7" t="str">
        <f>IF(AND(YEAR(JulSun1+41)=TheYear,MONTH(JulSun1+41)=7),JulSun1+41, "")</f>
        <v/>
      </c>
      <c r="AA21" s="6"/>
      <c r="AB21" s="7" t="str">
        <f>IF(AND(YEAR(AugSun1+35)=TheYear,MONTH(AugSun1+35)=8),AugSun1+35, "")</f>
        <v/>
      </c>
      <c r="AC21" s="7" t="str">
        <f>IF(AND(YEAR(AugSun1+36)=TheYear,MONTH(AugSun1+36)=8),AugSun1+36, "")</f>
        <v/>
      </c>
      <c r="AD21" s="7" t="str">
        <f>IF(AND(YEAR(AugSun1+37)=TheYear,MONTH(AugSun1+37)=8),AugSun1+37, "")</f>
        <v/>
      </c>
      <c r="AE21" s="7" t="str">
        <f>IF(AND(YEAR(AugSun1+38)=TheYear,MONTH(AugSun1+38)=8),AugSun1+38, "")</f>
        <v/>
      </c>
      <c r="AF21" s="7" t="str">
        <f>IF(AND(YEAR(AugSun1+39)=TheYear,MONTH(AugSun1+39)=8),AugSun1+39, "")</f>
        <v/>
      </c>
      <c r="AG21" s="7" t="str">
        <f>IF(AND(YEAR(AugSun1+40)=TheYear,MONTH(AugSun1+40)=8),AugSun1+40, "")</f>
        <v/>
      </c>
      <c r="AH21" s="7" t="str">
        <f>IF(AND(YEAR(AugSun1+41)=TheYear,MONTH(AugSun1+41)=8),AugSun1+41, "")</f>
        <v/>
      </c>
      <c r="AL21" s="2" t="s">
        <v>21</v>
      </c>
      <c r="AM21" s="28"/>
    </row>
    <row r="22" spans="2:80" ht="15.75" customHeight="1" x14ac:dyDescent="0.25">
      <c r="C22" s="6"/>
      <c r="D22" s="8"/>
      <c r="E22" s="8"/>
      <c r="F22" s="8"/>
      <c r="G22" s="8"/>
      <c r="H22" s="8"/>
      <c r="I22" s="8"/>
      <c r="J22" s="8"/>
      <c r="K22" s="6"/>
      <c r="L22" s="9"/>
      <c r="M22" s="9"/>
      <c r="N22" s="9"/>
      <c r="O22" s="9"/>
      <c r="P22" s="9"/>
      <c r="Q22" s="9"/>
      <c r="R22" s="9"/>
      <c r="S22" s="6"/>
      <c r="T22" s="8"/>
      <c r="U22" s="8"/>
      <c r="V22" s="8"/>
      <c r="W22" s="8"/>
      <c r="X22" s="8"/>
      <c r="Y22" s="8"/>
      <c r="Z22" s="8"/>
      <c r="AA22" s="6"/>
      <c r="AB22" s="8"/>
      <c r="AC22" s="8"/>
      <c r="AD22" s="8"/>
      <c r="AE22" s="8"/>
      <c r="AF22" s="8"/>
      <c r="AG22" s="8"/>
      <c r="AH22" s="8"/>
      <c r="AI22" s="6"/>
      <c r="AL22" s="2" t="s">
        <v>22</v>
      </c>
      <c r="AM22" s="27"/>
    </row>
    <row r="23" spans="2:80" s="3" customFormat="1" ht="24" customHeight="1" x14ac:dyDescent="0.35">
      <c r="D23" s="21" t="s">
        <v>14</v>
      </c>
      <c r="E23" s="21"/>
      <c r="F23" s="21"/>
      <c r="G23" s="21"/>
      <c r="H23" s="21"/>
      <c r="I23" s="21"/>
      <c r="J23" s="21"/>
      <c r="K23" s="4"/>
      <c r="L23" s="21" t="s">
        <v>8</v>
      </c>
      <c r="M23" s="21"/>
      <c r="N23" s="21"/>
      <c r="O23" s="21"/>
      <c r="P23" s="21"/>
      <c r="Q23" s="21"/>
      <c r="R23" s="21"/>
      <c r="S23" s="4"/>
      <c r="T23" s="21" t="s">
        <v>9</v>
      </c>
      <c r="U23" s="21"/>
      <c r="V23" s="21"/>
      <c r="W23" s="21"/>
      <c r="X23" s="21"/>
      <c r="Y23" s="21"/>
      <c r="Z23" s="21"/>
      <c r="AA23" s="4"/>
      <c r="AB23" s="21" t="s">
        <v>15</v>
      </c>
      <c r="AC23" s="21"/>
      <c r="AD23" s="21"/>
      <c r="AE23" s="21"/>
      <c r="AF23" s="21"/>
      <c r="AG23" s="21"/>
      <c r="AH23" s="21"/>
      <c r="AL23" s="3" t="s">
        <v>23</v>
      </c>
      <c r="AM23" s="38"/>
    </row>
    <row r="24" spans="2:80" ht="12.95" customHeight="1" x14ac:dyDescent="0.25">
      <c r="C24" s="5"/>
      <c r="D24" s="1" t="s">
        <v>1</v>
      </c>
      <c r="E24" s="1" t="s">
        <v>2</v>
      </c>
      <c r="F24" s="1" t="s">
        <v>2</v>
      </c>
      <c r="G24" s="1" t="s">
        <v>16</v>
      </c>
      <c r="H24" s="1" t="s">
        <v>3</v>
      </c>
      <c r="I24" s="1" t="s">
        <v>17</v>
      </c>
      <c r="J24" s="1" t="s">
        <v>0</v>
      </c>
      <c r="K24" s="6"/>
      <c r="L24" s="1" t="s">
        <v>1</v>
      </c>
      <c r="M24" s="1" t="s">
        <v>2</v>
      </c>
      <c r="N24" s="1" t="s">
        <v>2</v>
      </c>
      <c r="O24" s="1" t="s">
        <v>16</v>
      </c>
      <c r="P24" s="1" t="s">
        <v>3</v>
      </c>
      <c r="Q24" s="1" t="s">
        <v>17</v>
      </c>
      <c r="R24" s="1" t="s">
        <v>0</v>
      </c>
      <c r="T24" s="1" t="s">
        <v>1</v>
      </c>
      <c r="U24" s="1" t="s">
        <v>2</v>
      </c>
      <c r="V24" s="1" t="s">
        <v>2</v>
      </c>
      <c r="W24" s="1" t="s">
        <v>16</v>
      </c>
      <c r="X24" s="1" t="s">
        <v>3</v>
      </c>
      <c r="Y24" s="1" t="s">
        <v>17</v>
      </c>
      <c r="Z24" s="1" t="s">
        <v>0</v>
      </c>
      <c r="AB24" s="1" t="s">
        <v>1</v>
      </c>
      <c r="AC24" s="1" t="s">
        <v>2</v>
      </c>
      <c r="AD24" s="1" t="s">
        <v>2</v>
      </c>
      <c r="AE24" s="1" t="s">
        <v>16</v>
      </c>
      <c r="AF24" s="1" t="s">
        <v>3</v>
      </c>
      <c r="AG24" s="1" t="s">
        <v>17</v>
      </c>
      <c r="AH24" s="1" t="s">
        <v>0</v>
      </c>
    </row>
    <row r="25" spans="2:80" ht="12.95" customHeight="1" x14ac:dyDescent="0.25">
      <c r="D25" s="7" t="str">
        <f>IF(AND(YEAR(SepSun1)=TheYear,MONTH(SepSun1)=9),SepSun1, "")</f>
        <v/>
      </c>
      <c r="E25" s="7" t="str">
        <f>IF(AND(YEAR(SepSun1+1)=TheYear,MONTH(SepSun1+1)=9),SepSun1+1, "")</f>
        <v/>
      </c>
      <c r="F25" s="7" t="str">
        <f>IF(AND(YEAR(SepSun1+2)=TheYear,MONTH(SepSun1+2)=9),SepSun1+2, "")</f>
        <v/>
      </c>
      <c r="G25" s="7" t="str">
        <f>IF(AND(YEAR(SepSun1+3)=TheYear,MONTH(SepSun1+3)=9),SepSun1+3, "")</f>
        <v/>
      </c>
      <c r="H25" s="7">
        <f>IF(AND(YEAR(SepSun1+4)=TheYear,MONTH(SepSun1+4)=9),SepSun1+4, "")</f>
        <v>42979</v>
      </c>
      <c r="I25" s="7">
        <f>IF(AND(YEAR(SepSun1+5)=TheYear,MONTH(SepSun1+5)=9),SepSun1+5, "")</f>
        <v>42980</v>
      </c>
      <c r="J25" s="7">
        <f>IF(AND(YEAR(SepSun1+6)=TheYear,MONTH(SepSun1+6)=9),SepSun1+6, "")</f>
        <v>42981</v>
      </c>
      <c r="K25" s="6"/>
      <c r="L25" s="7" t="str">
        <f>IF(AND(YEAR(OctSun1)=TheYear,MONTH(OctSun1)=10),OctSun1, "")</f>
        <v/>
      </c>
      <c r="M25" s="7" t="str">
        <f>IF(AND(YEAR(OctSun1+1)=TheYear,MONTH(OctSun1+1)=10),OctSun1+1, "")</f>
        <v/>
      </c>
      <c r="N25" s="7" t="str">
        <f>IF(AND(YEAR(OctSun1+2)=TheYear,MONTH(OctSun1+2)=10),OctSun1+2, "")</f>
        <v/>
      </c>
      <c r="O25" s="7" t="str">
        <f>IF(AND(YEAR(OctSun1+3)=TheYear,MONTH(OctSun1+3)=10),OctSun1+3, "")</f>
        <v/>
      </c>
      <c r="P25" s="7" t="str">
        <f>IF(AND(YEAR(OctSun1+4)=TheYear,MONTH(OctSun1+4)=10),OctSun1+4, "")</f>
        <v/>
      </c>
      <c r="Q25" s="7" t="str">
        <f>IF(AND(YEAR(OctSun1+5)=TheYear,MONTH(OctSun1+5)=10),OctSun1+5, "")</f>
        <v/>
      </c>
      <c r="R25" s="7">
        <f>IF(AND(YEAR(OctSun1+6)=TheYear,MONTH(OctSun1+6)=10),OctSun1+6, "")</f>
        <v>43009</v>
      </c>
      <c r="T25" s="7" t="str">
        <f>IF(AND(YEAR(NovSun1)=TheYear,MONTH(NovSun1)=11),NovSun1, "")</f>
        <v/>
      </c>
      <c r="U25" s="7" t="str">
        <f>IF(AND(YEAR(NovSun1+1)=TheYear,MONTH(NovSun1+1)=11),NovSun1+1, "")</f>
        <v/>
      </c>
      <c r="V25" s="7">
        <f>IF(AND(YEAR(NovSun1+2)=TheYear,MONTH(NovSun1+2)=11),NovSun1+2, "")</f>
        <v>43040</v>
      </c>
      <c r="W25" s="7">
        <f>IF(AND(YEAR(NovSun1+3)=TheYear,MONTH(NovSun1+3)=11),NovSun1+3, "")</f>
        <v>43041</v>
      </c>
      <c r="X25" s="7">
        <f>IF(AND(YEAR(NovSun1+4)=TheYear,MONTH(NovSun1+4)=11),NovSun1+4, "")</f>
        <v>43042</v>
      </c>
      <c r="Y25" s="7">
        <f>IF(AND(YEAR(NovSun1+5)=TheYear,MONTH(NovSun1+5)=11),NovSun1+5, "")</f>
        <v>43043</v>
      </c>
      <c r="Z25" s="7">
        <f>IF(AND(YEAR(NovSun1+6)=TheYear,MONTH(NovSun1+6)=11),NovSun1+6, "")</f>
        <v>43044</v>
      </c>
      <c r="AB25" s="7" t="str">
        <f>IF(AND(YEAR(DecSun1)=TheYear,MONTH(DecSun1)=12),DecSun1, "")</f>
        <v/>
      </c>
      <c r="AC25" s="7" t="str">
        <f>IF(AND(YEAR(DecSun1+1)=TheYear,MONTH(DecSun1+1)=12),DecSun1+1, "")</f>
        <v/>
      </c>
      <c r="AD25" s="7" t="str">
        <f>IF(AND(YEAR(DecSun1+2)=TheYear,MONTH(DecSun1+2)=12),DecSun1+2, "")</f>
        <v/>
      </c>
      <c r="AE25" s="7" t="str">
        <f>IF(AND(YEAR(DecSun1+3)=TheYear,MONTH(DecSun1+3)=12),DecSun1+3, "")</f>
        <v/>
      </c>
      <c r="AF25" s="7">
        <f>IF(AND(YEAR(DecSun1+4)=TheYear,MONTH(DecSun1+4)=12),DecSun1+4, "")</f>
        <v>43070</v>
      </c>
      <c r="AG25" s="7">
        <f>IF(AND(YEAR(DecSun1+5)=TheYear,MONTH(DecSun1+5)=12),DecSun1+5, "")</f>
        <v>43071</v>
      </c>
      <c r="AH25" s="7">
        <f>IF(AND(YEAR(DecSun1+6)=TheYear,MONTH(DecSun1+6)=12),DecSun1+6, "")</f>
        <v>43072</v>
      </c>
    </row>
    <row r="26" spans="2:80" ht="12.95" customHeight="1" x14ac:dyDescent="0.25">
      <c r="D26" s="7">
        <f>IF(AND(YEAR(SepSun1+7)=TheYear,MONTH(SepSun1+7)=9),SepSun1+7, "")</f>
        <v>42982</v>
      </c>
      <c r="E26" s="7">
        <f>IF(AND(YEAR(SepSun1+8)=TheYear,MONTH(SepSun1+8)=9),SepSun1+8, "")</f>
        <v>42983</v>
      </c>
      <c r="F26" s="7">
        <f>IF(AND(YEAR(SepSun1+9)=TheYear,MONTH(SepSun1+9)=9),SepSun1+9, "")</f>
        <v>42984</v>
      </c>
      <c r="G26" s="7">
        <f>IF(AND(YEAR(SepSun1+10)=TheYear,MONTH(SepSun1+10)=9),SepSun1+10, "")</f>
        <v>42985</v>
      </c>
      <c r="H26" s="7">
        <f>IF(AND(YEAR(SepSun1+11)=TheYear,MONTH(SepSun1+11)=9),SepSun1+11, "")</f>
        <v>42986</v>
      </c>
      <c r="I26" s="7">
        <f>IF(AND(YEAR(SepSun1+12)=TheYear,MONTH(SepSun1+12)=9),SepSun1+12, "")</f>
        <v>42987</v>
      </c>
      <c r="J26" s="7">
        <f>IF(AND(YEAR(SepSun1+13)=TheYear,MONTH(SepSun1+13)=9),SepSun1+13, "")</f>
        <v>42988</v>
      </c>
      <c r="K26" s="6"/>
      <c r="L26" s="7">
        <f>IF(AND(YEAR(OctSun1+7)=TheYear,MONTH(OctSun1+7)=10),OctSun1+7, "")</f>
        <v>43010</v>
      </c>
      <c r="M26" s="7">
        <f>IF(AND(YEAR(OctSun1+8)=TheYear,MONTH(OctSun1+8)=10),OctSun1+8, "")</f>
        <v>43011</v>
      </c>
      <c r="N26" s="7">
        <f>IF(AND(YEAR(OctSun1+9)=TheYear,MONTH(OctSun1+9)=10),OctSun1+9, "")</f>
        <v>43012</v>
      </c>
      <c r="O26" s="7">
        <f>IF(AND(YEAR(OctSun1+10)=TheYear,MONTH(OctSun1+10)=10),OctSun1+10, "")</f>
        <v>43013</v>
      </c>
      <c r="P26" s="7">
        <f>IF(AND(YEAR(OctSun1+11)=TheYear,MONTH(OctSun1+11)=10),OctSun1+11, "")</f>
        <v>43014</v>
      </c>
      <c r="Q26" s="7">
        <f>IF(AND(YEAR(OctSun1+12)=TheYear,MONTH(OctSun1+12)=10),OctSun1+12, "")</f>
        <v>43015</v>
      </c>
      <c r="R26" s="7">
        <f>IF(AND(YEAR(OctSun1+13)=TheYear,MONTH(OctSun1+13)=10),OctSun1+13, "")</f>
        <v>43016</v>
      </c>
      <c r="T26" s="7">
        <f>IF(AND(YEAR(NovSun1+7)=TheYear,MONTH(NovSun1+7)=11),NovSun1+7, "")</f>
        <v>43045</v>
      </c>
      <c r="U26" s="7">
        <f>IF(AND(YEAR(NovSun1+8)=TheYear,MONTH(NovSun1+8)=11),NovSun1+8, "")</f>
        <v>43046</v>
      </c>
      <c r="V26" s="7">
        <f>IF(AND(YEAR(NovSun1+9)=TheYear,MONTH(NovSun1+9)=11),NovSun1+9, "")</f>
        <v>43047</v>
      </c>
      <c r="W26" s="7">
        <f>IF(AND(YEAR(NovSun1+10)=TheYear,MONTH(NovSun1+10)=11),NovSun1+10, "")</f>
        <v>43048</v>
      </c>
      <c r="X26" s="7">
        <f>IF(AND(YEAR(NovSun1+11)=TheYear,MONTH(NovSun1+11)=11),NovSun1+11, "")</f>
        <v>43049</v>
      </c>
      <c r="Y26" s="7">
        <f>IF(AND(YEAR(NovSun1+12)=TheYear,MONTH(NovSun1+12)=11),NovSun1+12, "")</f>
        <v>43050</v>
      </c>
      <c r="Z26" s="7">
        <f>IF(AND(YEAR(NovSun1+13)=TheYear,MONTH(NovSun1+13)=11),NovSun1+13, "")</f>
        <v>43051</v>
      </c>
      <c r="AB26" s="7">
        <f>IF(AND(YEAR(DecSun1+7)=TheYear,MONTH(DecSun1+7)=12),DecSun1+7, "")</f>
        <v>43073</v>
      </c>
      <c r="AC26" s="7">
        <f>IF(AND(YEAR(DecSun1+8)=TheYear,MONTH(DecSun1+8)=12),DecSun1+8, "")</f>
        <v>43074</v>
      </c>
      <c r="AD26" s="7">
        <f>IF(AND(YEAR(DecSun1+9)=TheYear,MONTH(DecSun1+9)=12),DecSun1+9, "")</f>
        <v>43075</v>
      </c>
      <c r="AE26" s="7">
        <f>IF(AND(YEAR(DecSun1+10)=TheYear,MONTH(DecSun1+10)=12),DecSun1+10, "")</f>
        <v>43076</v>
      </c>
      <c r="AF26" s="7">
        <f>IF(AND(YEAR(DecSun1+11)=TheYear,MONTH(DecSun1+11)=12),DecSun1+11, "")</f>
        <v>43077</v>
      </c>
      <c r="AG26" s="7">
        <f>IF(AND(YEAR(DecSun1+12)=TheYear,MONTH(DecSun1+12)=12),DecSun1+12, "")</f>
        <v>43078</v>
      </c>
      <c r="AH26" s="7">
        <f>IF(AND(YEAR(DecSun1+13)=TheYear,MONTH(DecSun1+13)=12),DecSun1+13, "")</f>
        <v>43079</v>
      </c>
      <c r="AV26" s="20">
        <v>2010</v>
      </c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</row>
    <row r="27" spans="2:80" ht="12.95" customHeight="1" x14ac:dyDescent="0.25">
      <c r="D27" s="7">
        <f>IF(AND(YEAR(SepSun1+14)=TheYear,MONTH(SepSun1+14)=9),SepSun1+14, "")</f>
        <v>42989</v>
      </c>
      <c r="E27" s="7">
        <f>IF(AND(YEAR(SepSun1+15)=TheYear,MONTH(SepSun1+15)=9),SepSun1+15, "")</f>
        <v>42990</v>
      </c>
      <c r="F27" s="7">
        <f>IF(AND(YEAR(SepSun1+16)=TheYear,MONTH(SepSun1+16)=9),SepSun1+16, "")</f>
        <v>42991</v>
      </c>
      <c r="G27" s="7">
        <f>IF(AND(YEAR(SepSun1+17)=TheYear,MONTH(SepSun1+17)=9),SepSun1+17, "")</f>
        <v>42992</v>
      </c>
      <c r="H27" s="7">
        <f>IF(AND(YEAR(SepSun1+18)=TheYear,MONTH(SepSun1+18)=9),SepSun1+18, "")</f>
        <v>42993</v>
      </c>
      <c r="I27" s="7">
        <f>IF(AND(YEAR(SepSun1+19)=TheYear,MONTH(SepSun1+19)=9),SepSun1+19, "")</f>
        <v>42994</v>
      </c>
      <c r="J27" s="7">
        <f>IF(AND(YEAR(SepSun1+20)=TheYear,MONTH(SepSun1+20)=9),SepSun1+20, "")</f>
        <v>42995</v>
      </c>
      <c r="K27" s="6"/>
      <c r="L27" s="7">
        <f>IF(AND(YEAR(OctSun1+14)=TheYear,MONTH(OctSun1+14)=10),OctSun1+14, "")</f>
        <v>43017</v>
      </c>
      <c r="M27" s="7">
        <f>IF(AND(YEAR(OctSun1+15)=TheYear,MONTH(OctSun1+15)=10),OctSun1+15, "")</f>
        <v>43018</v>
      </c>
      <c r="N27" s="7">
        <f>IF(AND(YEAR(OctSun1+16)=TheYear,MONTH(OctSun1+16)=10),OctSun1+16, "")</f>
        <v>43019</v>
      </c>
      <c r="O27" s="7">
        <f>IF(AND(YEAR(OctSun1+17)=TheYear,MONTH(OctSun1+17)=10),OctSun1+17, "")</f>
        <v>43020</v>
      </c>
      <c r="P27" s="7">
        <f>IF(AND(YEAR(OctSun1+18)=TheYear,MONTH(OctSun1+18)=10),OctSun1+18, "")</f>
        <v>43021</v>
      </c>
      <c r="Q27" s="7">
        <f>IF(AND(YEAR(OctSun1+19)=TheYear,MONTH(OctSun1+19)=10),OctSun1+19, "")</f>
        <v>43022</v>
      </c>
      <c r="R27" s="7">
        <f>IF(AND(YEAR(OctSun1+20)=TheYear,MONTH(OctSun1+20)=10),OctSun1+20, "")</f>
        <v>43023</v>
      </c>
      <c r="T27" s="7">
        <f>IF(AND(YEAR(NovSun1+14)=TheYear,MONTH(NovSun1+14)=11),NovSun1+14, "")</f>
        <v>43052</v>
      </c>
      <c r="U27" s="7">
        <f>IF(AND(YEAR(NovSun1+15)=TheYear,MONTH(NovSun1+15)=11),NovSun1+15, "")</f>
        <v>43053</v>
      </c>
      <c r="V27" s="7">
        <f>IF(AND(YEAR(NovSun1+16)=TheYear,MONTH(NovSun1+16)=11),NovSun1+16, "")</f>
        <v>43054</v>
      </c>
      <c r="W27" s="7">
        <f>IF(AND(YEAR(NovSun1+17)=TheYear,MONTH(NovSun1+17)=11),NovSun1+17, "")</f>
        <v>43055</v>
      </c>
      <c r="X27" s="7">
        <f>IF(AND(YEAR(NovSun1+18)=TheYear,MONTH(NovSun1+18)=11),NovSun1+18, "")</f>
        <v>43056</v>
      </c>
      <c r="Y27" s="7">
        <f>IF(AND(YEAR(NovSun1+19)=TheYear,MONTH(NovSun1+19)=11),NovSun1+19, "")</f>
        <v>43057</v>
      </c>
      <c r="Z27" s="7">
        <f>IF(AND(YEAR(NovSun1+20)=TheYear,MONTH(NovSun1+20)=11),NovSun1+20, "")</f>
        <v>43058</v>
      </c>
      <c r="AB27" s="7">
        <f>IF(AND(YEAR(DecSun1+14)=TheYear,MONTH(DecSun1+14)=12),DecSun1+14, "")</f>
        <v>43080</v>
      </c>
      <c r="AC27" s="7">
        <f>IF(AND(YEAR(DecSun1+15)=TheYear,MONTH(DecSun1+15)=12),DecSun1+15, "")</f>
        <v>43081</v>
      </c>
      <c r="AD27" s="7">
        <f>IF(AND(YEAR(DecSun1+16)=TheYear,MONTH(DecSun1+16)=12),DecSun1+16, "")</f>
        <v>43082</v>
      </c>
      <c r="AE27" s="7">
        <f>IF(AND(YEAR(DecSun1+17)=TheYear,MONTH(DecSun1+17)=12),DecSun1+17, "")</f>
        <v>43083</v>
      </c>
      <c r="AF27" s="7">
        <f>IF(AND(YEAR(DecSun1+18)=TheYear,MONTH(DecSun1+18)=12),DecSun1+18, "")</f>
        <v>43084</v>
      </c>
      <c r="AG27" s="7">
        <f>IF(AND(YEAR(DecSun1+19)=TheYear,MONTH(DecSun1+19)=12),DecSun1+19, "")</f>
        <v>43085</v>
      </c>
      <c r="AH27" s="7">
        <f>IF(AND(YEAR(DecSun1+20)=TheYear,MONTH(DecSun1+20)=12),DecSun1+20, "")</f>
        <v>43086</v>
      </c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</row>
    <row r="28" spans="2:80" ht="12.95" customHeight="1" x14ac:dyDescent="0.25">
      <c r="D28" s="7">
        <f>IF(AND(YEAR(SepSun1+21)=TheYear,MONTH(SepSun1+21)=9),SepSun1+21, "")</f>
        <v>42996</v>
      </c>
      <c r="E28" s="7">
        <f>IF(AND(YEAR(SepSun1+22)=TheYear,MONTH(SepSun1+22)=9),SepSun1+22, "")</f>
        <v>42997</v>
      </c>
      <c r="F28" s="7">
        <f>IF(AND(YEAR(SepSun1+23)=TheYear,MONTH(SepSun1+23)=9),SepSun1+23, "")</f>
        <v>42998</v>
      </c>
      <c r="G28" s="7">
        <f>IF(AND(YEAR(SepSun1+24)=TheYear,MONTH(SepSun1+24)=9),SepSun1+24, "")</f>
        <v>42999</v>
      </c>
      <c r="H28" s="7">
        <f>IF(AND(YEAR(SepSun1+25)=TheYear,MONTH(SepSun1+25)=9),SepSun1+25, "")</f>
        <v>43000</v>
      </c>
      <c r="I28" s="7">
        <f>IF(AND(YEAR(SepSun1+26)=TheYear,MONTH(SepSun1+26)=9),SepSun1+26, "")</f>
        <v>43001</v>
      </c>
      <c r="J28" s="7">
        <f>IF(AND(YEAR(SepSun1+27)=TheYear,MONTH(SepSun1+27)=9),SepSun1+27, "")</f>
        <v>43002</v>
      </c>
      <c r="K28" s="6"/>
      <c r="L28" s="7">
        <f>IF(AND(YEAR(OctSun1+21)=TheYear,MONTH(OctSun1+21)=10),OctSun1+21, "")</f>
        <v>43024</v>
      </c>
      <c r="M28" s="7">
        <f>IF(AND(YEAR(OctSun1+22)=TheYear,MONTH(OctSun1+22)=10),OctSun1+22, "")</f>
        <v>43025</v>
      </c>
      <c r="N28" s="7">
        <f>IF(AND(YEAR(OctSun1+23)=TheYear,MONTH(OctSun1+23)=10),OctSun1+23, "")</f>
        <v>43026</v>
      </c>
      <c r="O28" s="7">
        <f>IF(AND(YEAR(OctSun1+24)=TheYear,MONTH(OctSun1+24)=10),OctSun1+24, "")</f>
        <v>43027</v>
      </c>
      <c r="P28" s="7">
        <f>IF(AND(YEAR(OctSun1+25)=TheYear,MONTH(OctSun1+25)=10),OctSun1+25, "")</f>
        <v>43028</v>
      </c>
      <c r="Q28" s="7">
        <f>IF(AND(YEAR(OctSun1+26)=TheYear,MONTH(OctSun1+26)=10),OctSun1+26, "")</f>
        <v>43029</v>
      </c>
      <c r="R28" s="7">
        <f>IF(AND(YEAR(OctSun1+27)=TheYear,MONTH(OctSun1+27)=10),OctSun1+27, "")</f>
        <v>43030</v>
      </c>
      <c r="T28" s="7">
        <f>IF(AND(YEAR(NovSun1+21)=TheYear,MONTH(NovSun1+21)=11),NovSun1+21, "")</f>
        <v>43059</v>
      </c>
      <c r="U28" s="7">
        <f>IF(AND(YEAR(NovSun1+22)=TheYear,MONTH(NovSun1+22)=11),NovSun1+22, "")</f>
        <v>43060</v>
      </c>
      <c r="V28" s="7">
        <f>IF(AND(YEAR(NovSun1+23)=TheYear,MONTH(NovSun1+23)=11),NovSun1+23, "")</f>
        <v>43061</v>
      </c>
      <c r="W28" s="7">
        <f>IF(AND(YEAR(NovSun1+24)=TheYear,MONTH(NovSun1+24)=11),NovSun1+24, "")</f>
        <v>43062</v>
      </c>
      <c r="X28" s="7">
        <f>IF(AND(YEAR(NovSun1+25)=TheYear,MONTH(NovSun1+25)=11),NovSun1+25, "")</f>
        <v>43063</v>
      </c>
      <c r="Y28" s="7">
        <f>IF(AND(YEAR(NovSun1+26)=TheYear,MONTH(NovSun1+26)=11),NovSun1+26, "")</f>
        <v>43064</v>
      </c>
      <c r="Z28" s="7">
        <f>IF(AND(YEAR(NovSun1+27)=TheYear,MONTH(NovSun1+27)=11),NovSun1+27, "")</f>
        <v>43065</v>
      </c>
      <c r="AB28" s="7">
        <f>IF(AND(YEAR(DecSun1+21)=TheYear,MONTH(DecSun1+21)=12),DecSun1+21, "")</f>
        <v>43087</v>
      </c>
      <c r="AC28" s="7">
        <f>IF(AND(YEAR(DecSun1+22)=TheYear,MONTH(DecSun1+22)=12),DecSun1+22, "")</f>
        <v>43088</v>
      </c>
      <c r="AD28" s="7">
        <f>IF(AND(YEAR(DecSun1+23)=TheYear,MONTH(DecSun1+23)=12),DecSun1+23, "")</f>
        <v>43089</v>
      </c>
      <c r="AE28" s="7">
        <f>IF(AND(YEAR(DecSun1+24)=TheYear,MONTH(DecSun1+24)=12),DecSun1+24, "")</f>
        <v>43090</v>
      </c>
      <c r="AF28" s="7">
        <f>IF(AND(YEAR(DecSun1+25)=TheYear,MONTH(DecSun1+25)=12),DecSun1+25, "")</f>
        <v>43091</v>
      </c>
      <c r="AG28" s="7">
        <f>IF(AND(YEAR(DecSun1+26)=TheYear,MONTH(DecSun1+26)=12),DecSun1+26, "")</f>
        <v>43092</v>
      </c>
      <c r="AH28" s="7">
        <f>IF(AND(YEAR(DecSun1+27)=TheYear,MONTH(DecSun1+27)=12),DecSun1+27, "")</f>
        <v>43093</v>
      </c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</row>
    <row r="29" spans="2:80" ht="12.95" customHeight="1" x14ac:dyDescent="0.25">
      <c r="D29" s="7">
        <f>IF(AND(YEAR(SepSun1+28)=TheYear,MONTH(SepSun1+28)=9),SepSun1+28, "")</f>
        <v>43003</v>
      </c>
      <c r="E29" s="7">
        <f>IF(AND(YEAR(SepSun1+29)=TheYear,MONTH(SepSun1+29)=9),SepSun1+29, "")</f>
        <v>43004</v>
      </c>
      <c r="F29" s="7">
        <f>IF(AND(YEAR(SepSun1+30)=TheYear,MONTH(SepSun1+30)=9),SepSun1+30, "")</f>
        <v>43005</v>
      </c>
      <c r="G29" s="7">
        <f>IF(AND(YEAR(SepSun1+31)=TheYear,MONTH(SepSun1+31)=9),SepSun1+31, "")</f>
        <v>43006</v>
      </c>
      <c r="H29" s="7">
        <f>IF(AND(YEAR(SepSun1+32)=TheYear,MONTH(SepSun1+32)=9),SepSun1+32, "")</f>
        <v>43007</v>
      </c>
      <c r="I29" s="7">
        <f>IF(AND(YEAR(SepSun1+33)=TheYear,MONTH(SepSun1+33)=9),SepSun1+33, "")</f>
        <v>43008</v>
      </c>
      <c r="J29" s="7" t="str">
        <f>IF(AND(YEAR(SepSun1+34)=TheYear,MONTH(SepSun1+34)=9),SepSun1+34, "")</f>
        <v/>
      </c>
      <c r="K29" s="6"/>
      <c r="L29" s="7">
        <f>IF(AND(YEAR(OctSun1+28)=TheYear,MONTH(OctSun1+28)=10),OctSun1+28, "")</f>
        <v>43031</v>
      </c>
      <c r="M29" s="7">
        <f>IF(AND(YEAR(OctSun1+29)=TheYear,MONTH(OctSun1+29)=10),OctSun1+29, "")</f>
        <v>43032</v>
      </c>
      <c r="N29" s="7">
        <f>IF(AND(YEAR(OctSun1+30)=TheYear,MONTH(OctSun1+30)=10),OctSun1+30, "")</f>
        <v>43033</v>
      </c>
      <c r="O29" s="7">
        <f>IF(AND(YEAR(OctSun1+31)=TheYear,MONTH(OctSun1+31)=10),OctSun1+31, "")</f>
        <v>43034</v>
      </c>
      <c r="P29" s="7">
        <f>IF(AND(YEAR(OctSun1+32)=TheYear,MONTH(OctSun1+32)=10),OctSun1+32, "")</f>
        <v>43035</v>
      </c>
      <c r="Q29" s="7">
        <f>IF(AND(YEAR(OctSun1+33)=TheYear,MONTH(OctSun1+33)=10),OctSun1+33, "")</f>
        <v>43036</v>
      </c>
      <c r="R29" s="7">
        <f>IF(AND(YEAR(OctSun1+34)=TheYear,MONTH(OctSun1+34)=10),OctSun1+34, "")</f>
        <v>43037</v>
      </c>
      <c r="T29" s="7">
        <f>IF(AND(YEAR(NovSun1+28)=TheYear,MONTH(NovSun1+28)=11),NovSun1+28, "")</f>
        <v>43066</v>
      </c>
      <c r="U29" s="7">
        <f>IF(AND(YEAR(NovSun1+29)=TheYear,MONTH(NovSun1+29)=11),NovSun1+29, "")</f>
        <v>43067</v>
      </c>
      <c r="V29" s="7">
        <f>IF(AND(YEAR(NovSun1+30)=TheYear,MONTH(NovSun1+30)=11),NovSun1+30, "")</f>
        <v>43068</v>
      </c>
      <c r="W29" s="7">
        <f>IF(AND(YEAR(NovSun1+31)=TheYear,MONTH(NovSun1+31)=11),NovSun1+31, "")</f>
        <v>43069</v>
      </c>
      <c r="X29" s="7" t="str">
        <f>IF(AND(YEAR(NovSun1+32)=TheYear,MONTH(NovSun1+32)=11),NovSun1+32, "")</f>
        <v/>
      </c>
      <c r="Y29" s="7" t="str">
        <f>IF(AND(YEAR(NovSun1+33)=TheYear,MONTH(NovSun1+33)=11),NovSun1+33, "")</f>
        <v/>
      </c>
      <c r="Z29" s="7" t="str">
        <f>IF(AND(YEAR(NovSun1+34)=TheYear,MONTH(NovSun1+34)=11),NovSun1+34, "")</f>
        <v/>
      </c>
      <c r="AB29" s="7">
        <f>IF(AND(YEAR(DecSun1+28)=TheYear,MONTH(DecSun1+28)=12),DecSun1+28, "")</f>
        <v>43094</v>
      </c>
      <c r="AC29" s="7">
        <f>IF(AND(YEAR(DecSun1+29)=TheYear,MONTH(DecSun1+29)=12),DecSun1+29, "")</f>
        <v>43095</v>
      </c>
      <c r="AD29" s="7">
        <f>IF(AND(YEAR(DecSun1+30)=TheYear,MONTH(DecSun1+30)=12),DecSun1+30, "")</f>
        <v>43096</v>
      </c>
      <c r="AE29" s="7">
        <f>IF(AND(YEAR(DecSun1+31)=TheYear,MONTH(DecSun1+31)=12),DecSun1+31, "")</f>
        <v>43097</v>
      </c>
      <c r="AF29" s="7">
        <f>IF(AND(YEAR(DecSun1+32)=TheYear,MONTH(DecSun1+32)=12),DecSun1+32, "")</f>
        <v>43098</v>
      </c>
      <c r="AG29" s="7">
        <f>IF(AND(YEAR(DecSun1+33)=TheYear,MONTH(DecSun1+33)=12),DecSun1+33, "")</f>
        <v>43099</v>
      </c>
      <c r="AH29" s="7">
        <f>IF(AND(YEAR(DecSun1+34)=TheYear,MONTH(DecSun1+34)=12),DecSun1+34, "")</f>
        <v>43100</v>
      </c>
      <c r="AT29" s="14"/>
    </row>
    <row r="30" spans="2:80" ht="12.95" customHeight="1" x14ac:dyDescent="0.25">
      <c r="D30" s="7" t="str">
        <f>IF(AND(YEAR(SepSun1+35)=TheYear,MONTH(SepSun1+35)=9),SepSun1+35, "")</f>
        <v/>
      </c>
      <c r="E30" s="7" t="str">
        <f>IF(AND(YEAR(SepSun1+36)=TheYear,MONTH(SepSun1+36)=9),SepSun1+36, "")</f>
        <v/>
      </c>
      <c r="F30" s="7" t="str">
        <f>IF(AND(YEAR(SepSun1+37)=TheYear,MONTH(SepSun1+37)=9),SepSun1+37, "")</f>
        <v/>
      </c>
      <c r="G30" s="7" t="str">
        <f>IF(AND(YEAR(SepSun1+38)=TheYear,MONTH(SepSun1+38)=9),SepSun1+38, "")</f>
        <v/>
      </c>
      <c r="H30" s="7" t="str">
        <f>IF(AND(YEAR(SepSun1+39)=TheYear,MONTH(SepSun1+39)=9),SepSun1+39, "")</f>
        <v/>
      </c>
      <c r="I30" s="7" t="str">
        <f>IF(AND(YEAR(SepSun1+40)=TheYear,MONTH(SepSun1+40)=9),SepSun1+40, "")</f>
        <v/>
      </c>
      <c r="J30" s="7" t="str">
        <f>IF(AND(YEAR(SepSun1+41)=TheYear,MONTH(SepSun1+41)=9),SepSun1+41, "")</f>
        <v/>
      </c>
      <c r="K30" s="6"/>
      <c r="L30" s="7">
        <f>IF(AND(YEAR(OctSun1+35)=TheYear,MONTH(OctSun1+35)=10),OctSun1+35, "")</f>
        <v>43038</v>
      </c>
      <c r="M30" s="7">
        <f>IF(AND(YEAR(OctSun1+36)=TheYear,MONTH(OctSun1+36)=10),OctSun1+36, "")</f>
        <v>43039</v>
      </c>
      <c r="N30" s="7" t="str">
        <f>IF(AND(YEAR(OctSun1+37)=TheYear,MONTH(OctSun1+37)=10),OctSun1+37, "")</f>
        <v/>
      </c>
      <c r="O30" s="7" t="str">
        <f>IF(AND(YEAR(OctSun1+38)=TheYear,MONTH(OctSun1+38)=10),OctSun1+38, "")</f>
        <v/>
      </c>
      <c r="P30" s="7" t="str">
        <f>IF(AND(YEAR(OctSun1+39)=TheYear,MONTH(OctSun1+39)=10),OctSun1+39, "")</f>
        <v/>
      </c>
      <c r="Q30" s="7" t="str">
        <f>IF(AND(YEAR(OctSun1+40)=TheYear,MONTH(OctSun1+40)=10),OctSun1+40, "")</f>
        <v/>
      </c>
      <c r="R30" s="7" t="str">
        <f>IF(AND(YEAR(OctSun1+41)=TheYear,MONTH(OctSun1+41)=10),OctSun1+41, "")</f>
        <v/>
      </c>
      <c r="T30" s="7" t="str">
        <f>IF(AND(YEAR(NovSun1+35)=TheYear,MONTH(NovSun1+35)=11),NovSun1+35, "")</f>
        <v/>
      </c>
      <c r="U30" s="7" t="str">
        <f>IF(AND(YEAR(NovSun1+36)=TheYear,MONTH(NovSun1+36)=11),NovSun1+36, "")</f>
        <v/>
      </c>
      <c r="V30" s="7" t="str">
        <f>IF(AND(YEAR(NovSun1+37)=TheYear,MONTH(NovSun1+37)=11),NovSun1+37, "")</f>
        <v/>
      </c>
      <c r="W30" s="7" t="str">
        <f>IF(AND(YEAR(NovSun1+38)=TheYear,MONTH(NovSun1+38)=11),NovSun1+38, "")</f>
        <v/>
      </c>
      <c r="X30" s="7" t="str">
        <f>IF(AND(YEAR(NovSun1+39)=TheYear,MONTH(NovSun1+39)=11),NovSun1+39, "")</f>
        <v/>
      </c>
      <c r="Y30" s="7" t="str">
        <f>IF(AND(YEAR(NovSun1+40)=TheYear,MONTH(NovSun1+40)=11),NovSun1+40, "")</f>
        <v/>
      </c>
      <c r="Z30" s="7" t="str">
        <f>IF(AND(YEAR(NovSun1+41)=TheYear,MONTH(NovSun1+41)=11),NovSun1+41, "")</f>
        <v/>
      </c>
      <c r="AB30" s="7" t="str">
        <f>IF(AND(YEAR(DecSun1+35)=TheYear,MONTH(DecSun1+35)=12),DecSun1+35, "")</f>
        <v/>
      </c>
      <c r="AC30" s="7" t="str">
        <f>IF(AND(YEAR(DecSun1+36)=TheYear,MONTH(DecSun1+36)=12),DecSun1+36, "")</f>
        <v/>
      </c>
      <c r="AD30" s="7" t="str">
        <f>IF(AND(YEAR(DecSun1+37)=TheYear,MONTH(DecSun1+37)=12),DecSun1+37, "")</f>
        <v/>
      </c>
      <c r="AE30" s="7" t="str">
        <f>IF(AND(YEAR(DecSun1+38)=TheYear,MONTH(DecSun1+38)=12),DecSun1+38, "")</f>
        <v/>
      </c>
      <c r="AF30" s="7" t="str">
        <f>IF(AND(YEAR(DecSun1+39)=TheYear,MONTH(DecSun1+39)=12),DecSun1+39, "")</f>
        <v/>
      </c>
      <c r="AG30" s="7" t="str">
        <f>IF(AND(YEAR(DecSun1+40)=TheYear,MONTH(DecSun1+40)=12),DecSun1+40, "")</f>
        <v/>
      </c>
      <c r="AH30" s="7" t="str">
        <f>IF(AND(YEAR(DecSun1+41)=TheYear,MONTH(DecSun1+41)=12),DecSun1+41, "")</f>
        <v/>
      </c>
    </row>
    <row r="31" spans="2:80" ht="21" customHeight="1" x14ac:dyDescent="0.2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2:80" ht="9.75" customHeight="1" x14ac:dyDescent="0.2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2:36" ht="9.75" customHeight="1" x14ac:dyDescent="0.2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spans="2:36" ht="33.75" customHeight="1" x14ac:dyDescent="0.2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spans="2:36" ht="21.75" customHeight="1" x14ac:dyDescent="0.25">
      <c r="Z35" s="6"/>
      <c r="AH35" s="6"/>
    </row>
    <row r="36" spans="2:36" x14ac:dyDescent="0.25">
      <c r="Z36" s="6"/>
      <c r="AH36" s="6"/>
    </row>
    <row r="37" spans="2:36" x14ac:dyDescent="0.25">
      <c r="Z37" s="6"/>
      <c r="AH37" s="6"/>
    </row>
    <row r="38" spans="2:36" x14ac:dyDescent="0.25">
      <c r="Z38" s="6"/>
      <c r="AH38" s="6"/>
    </row>
    <row r="39" spans="2:36" x14ac:dyDescent="0.25">
      <c r="Z39" s="6"/>
      <c r="AH39" s="6"/>
    </row>
    <row r="41" spans="2:36" x14ac:dyDescent="0.25">
      <c r="D41" s="3"/>
      <c r="E41" s="3"/>
      <c r="F41" s="3"/>
      <c r="G41" s="3"/>
      <c r="H41" s="3"/>
      <c r="I41" s="3"/>
      <c r="J41" s="3"/>
      <c r="L41" s="15"/>
      <c r="M41" s="15"/>
      <c r="N41" s="15"/>
      <c r="O41" s="15"/>
      <c r="P41" s="15"/>
      <c r="Q41" s="15"/>
      <c r="R41" s="15"/>
    </row>
    <row r="42" spans="2:36" x14ac:dyDescent="0.25">
      <c r="L42" s="15"/>
      <c r="M42" s="15"/>
      <c r="N42" s="15"/>
      <c r="O42" s="15"/>
      <c r="P42" s="15"/>
      <c r="Q42" s="15"/>
      <c r="R42" s="15"/>
    </row>
    <row r="43" spans="2:36" x14ac:dyDescent="0.25">
      <c r="L43" s="15"/>
      <c r="M43" s="15"/>
      <c r="N43" s="15"/>
      <c r="O43" s="15"/>
      <c r="P43" s="15"/>
      <c r="Q43" s="15"/>
      <c r="R43" s="15"/>
    </row>
    <row r="50" spans="4:34" ht="20.25" x14ac:dyDescent="0.35">
      <c r="D50" s="16"/>
      <c r="E50" s="15"/>
      <c r="F50" s="15"/>
      <c r="G50" s="15"/>
      <c r="H50" s="15"/>
      <c r="I50" s="15"/>
      <c r="J50" s="15"/>
      <c r="T50" s="15"/>
      <c r="U50" s="15"/>
      <c r="V50" s="15"/>
      <c r="W50" s="15"/>
      <c r="X50" s="15"/>
      <c r="Y50" s="15"/>
      <c r="Z50" s="15"/>
      <c r="AB50" s="9"/>
      <c r="AC50" s="9"/>
      <c r="AD50" s="9"/>
      <c r="AE50" s="9"/>
      <c r="AF50" s="9"/>
      <c r="AG50" s="9"/>
      <c r="AH50" s="9"/>
    </row>
    <row r="51" spans="4:34" x14ac:dyDescent="0.25">
      <c r="D51" s="15"/>
      <c r="E51" s="15"/>
      <c r="F51" s="15"/>
      <c r="G51" s="15"/>
      <c r="H51" s="15"/>
      <c r="I51" s="15"/>
      <c r="J51" s="15"/>
      <c r="T51" s="15"/>
      <c r="U51" s="15"/>
      <c r="V51" s="15"/>
      <c r="W51" s="15"/>
      <c r="X51" s="15"/>
      <c r="Y51" s="15"/>
      <c r="Z51" s="15"/>
      <c r="AB51" s="9"/>
      <c r="AC51" s="9"/>
      <c r="AD51" s="9"/>
      <c r="AE51" s="9"/>
      <c r="AF51" s="9"/>
      <c r="AG51" s="9"/>
      <c r="AH51" s="9"/>
    </row>
    <row r="52" spans="4:34" x14ac:dyDescent="0.25">
      <c r="D52" s="15"/>
      <c r="E52" s="15"/>
      <c r="F52" s="15"/>
      <c r="G52" s="15"/>
      <c r="H52" s="15"/>
      <c r="I52" s="15"/>
      <c r="J52" s="15"/>
      <c r="T52" s="15"/>
      <c r="U52" s="15"/>
      <c r="V52" s="15"/>
      <c r="W52" s="15"/>
      <c r="X52" s="15"/>
      <c r="Y52" s="15"/>
      <c r="Z52" s="15"/>
    </row>
  </sheetData>
  <mergeCells count="21">
    <mergeCell ref="AJ2:AJ4"/>
    <mergeCell ref="B2:B4"/>
    <mergeCell ref="B31:AJ34"/>
    <mergeCell ref="Z2:AI4"/>
    <mergeCell ref="G2:Y4"/>
    <mergeCell ref="C2:C4"/>
    <mergeCell ref="D2:D4"/>
    <mergeCell ref="E2:E4"/>
    <mergeCell ref="F2:F4"/>
    <mergeCell ref="AB23:AH23"/>
    <mergeCell ref="T5:Z5"/>
    <mergeCell ref="AB5:AH5"/>
    <mergeCell ref="D14:J14"/>
    <mergeCell ref="L14:R14"/>
    <mergeCell ref="T14:Z14"/>
    <mergeCell ref="AB14:AH14"/>
    <mergeCell ref="D23:J23"/>
    <mergeCell ref="D5:J5"/>
    <mergeCell ref="L5:R5"/>
    <mergeCell ref="L23:R23"/>
    <mergeCell ref="T23:Z23"/>
  </mergeCells>
  <phoneticPr fontId="1" type="noConversion"/>
  <dataValidations disablePrompts="1" count="1">
    <dataValidation type="whole" allowBlank="1" showInputMessage="1" showErrorMessage="1" sqref="AM5 Z2 AP3 AV26">
      <formula1>1900</formula1>
      <formula2>9999</formula2>
    </dataValidation>
  </dataValidations>
  <printOptions horizontalCentered="1" verticalCentered="1"/>
  <pageMargins left="0" right="0" top="0" bottom="0" header="0" footer="0"/>
  <pageSetup paperSize="9" orientation="landscape" horizontalDpi="525" verticalDpi="525" r:id="rId1"/>
  <headerFooter scaleWithDoc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5" r:id="rId4" name="Control numérico 21">
              <controlPr defaultSize="0" print="0" autoPict="0">
                <anchor>
                  <from>
                    <xdr:col>37</xdr:col>
                    <xdr:colOff>419100</xdr:colOff>
                    <xdr:row>1</xdr:row>
                    <xdr:rowOff>219075</xdr:rowOff>
                  </from>
                  <to>
                    <xdr:col>38</xdr:col>
                    <xdr:colOff>85725</xdr:colOff>
                    <xdr:row>2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6534818-5B37-46AF-A367-D9C1DFA126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Calendario</vt:lpstr>
      <vt:lpstr>Calendario!Área_de_impresión</vt:lpstr>
      <vt:lpstr>TheYear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Any year business calendar</dc:title>
  <dc:creator/>
  <cp:lastModifiedBy/>
  <dcterms:created xsi:type="dcterms:W3CDTF">2015-10-05T08:52:03Z</dcterms:created>
  <dcterms:modified xsi:type="dcterms:W3CDTF">2017-02-17T20:09:43Z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TC102741249990</vt:lpwstr>
  </property>
</Properties>
</file>