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61AF4E4-7F88-4C40-AD0C-CD1A3D0A02FA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VAN, TIR, PRD, BC (E)" sheetId="11" r:id="rId1"/>
    <sheet name="VAC, CAUE, CC, MCM (E)" sheetId="8" r:id="rId2"/>
    <sheet name="ACCIONES(E)" sheetId="6" r:id="rId3"/>
    <sheet name="WACC(E)" sheetId="1" r:id="rId4"/>
    <sheet name="BONO(E)" sheetId="3" r:id="rId5"/>
    <sheet name="BONO" sheetId="5" r:id="rId6"/>
    <sheet name="WACC" sheetId="2" r:id="rId7"/>
    <sheet name="VAN, TIR, PRD, BC" sheetId="12" r:id="rId8"/>
    <sheet name="VAC, CAUE, CC, MCM" sheetId="9" r:id="rId9"/>
    <sheet name="ACCIONES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6" l="1"/>
  <c r="B15" i="6"/>
  <c r="B14" i="6"/>
  <c r="E13" i="6"/>
  <c r="B13" i="6"/>
  <c r="E18" i="1"/>
  <c r="C18" i="1"/>
  <c r="B18" i="1"/>
  <c r="E16" i="1"/>
  <c r="E13" i="1"/>
  <c r="D13" i="1"/>
  <c r="C13" i="1"/>
  <c r="E10" i="1"/>
  <c r="E6" i="1"/>
  <c r="C6" i="1"/>
  <c r="H7" i="1"/>
  <c r="K36" i="3"/>
  <c r="F10" i="3"/>
  <c r="F9" i="3"/>
  <c r="G8" i="3"/>
  <c r="F8" i="3"/>
  <c r="E7" i="3"/>
  <c r="G7" i="3"/>
  <c r="F7" i="3"/>
  <c r="G5" i="3"/>
  <c r="F5" i="3"/>
  <c r="F6" i="3"/>
  <c r="C69" i="8"/>
  <c r="M137" i="8"/>
  <c r="O136" i="8"/>
  <c r="L124" i="8"/>
  <c r="O124" i="8"/>
  <c r="O123" i="8"/>
  <c r="R120" i="8"/>
  <c r="C26" i="8"/>
  <c r="L123" i="8"/>
  <c r="M123" i="8"/>
  <c r="L120" i="8"/>
  <c r="M124" i="8" s="1"/>
  <c r="L99" i="8"/>
  <c r="L98" i="8"/>
  <c r="D61" i="12"/>
  <c r="D60" i="12"/>
  <c r="D59" i="12"/>
  <c r="F41" i="12"/>
  <c r="G41" i="12"/>
  <c r="F42" i="12"/>
  <c r="E66" i="12"/>
  <c r="D66" i="12"/>
  <c r="E58" i="12"/>
  <c r="D58" i="12"/>
  <c r="F47" i="12"/>
  <c r="F46" i="12"/>
  <c r="C42" i="12"/>
  <c r="C43" i="12" s="1"/>
  <c r="E33" i="12"/>
  <c r="D33" i="12"/>
  <c r="C22" i="11"/>
  <c r="D22" i="11"/>
  <c r="D15" i="11"/>
  <c r="D14" i="11"/>
  <c r="D13" i="11"/>
  <c r="E4" i="11"/>
  <c r="D28" i="12"/>
  <c r="E25" i="12"/>
  <c r="D25" i="12"/>
  <c r="G8" i="12"/>
  <c r="G12" i="11"/>
  <c r="F14" i="12"/>
  <c r="F13" i="12"/>
  <c r="F8" i="12"/>
  <c r="D26" i="12"/>
  <c r="D16" i="11"/>
  <c r="C10" i="12"/>
  <c r="C11" i="12" s="1"/>
  <c r="F11" i="12" s="1"/>
  <c r="C9" i="12"/>
  <c r="F9" i="12" s="1"/>
  <c r="G9" i="12" s="1"/>
  <c r="E22" i="11"/>
  <c r="E13" i="11"/>
  <c r="C9" i="11"/>
  <c r="C10" i="11" s="1"/>
  <c r="C11" i="11" s="1"/>
  <c r="G8" i="11"/>
  <c r="F8" i="11"/>
  <c r="C88" i="9"/>
  <c r="C73" i="9"/>
  <c r="C61" i="9"/>
  <c r="H159" i="8"/>
  <c r="G159" i="8"/>
  <c r="J27" i="9"/>
  <c r="I27" i="9"/>
  <c r="H27" i="9"/>
  <c r="G27" i="9"/>
  <c r="F27" i="9"/>
  <c r="E27" i="9"/>
  <c r="D27" i="9"/>
  <c r="C27" i="9"/>
  <c r="G11" i="9"/>
  <c r="F11" i="9"/>
  <c r="E11" i="9"/>
  <c r="D11" i="9"/>
  <c r="C11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70" i="9" s="1"/>
  <c r="C67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8" i="9" s="1"/>
  <c r="C55" i="9"/>
  <c r="P134" i="8"/>
  <c r="O134" i="8"/>
  <c r="N134" i="8"/>
  <c r="M134" i="8"/>
  <c r="L134" i="8"/>
  <c r="M136" i="8" s="1"/>
  <c r="Q120" i="8"/>
  <c r="P120" i="8"/>
  <c r="O120" i="8"/>
  <c r="N120" i="8"/>
  <c r="M120" i="8"/>
  <c r="G42" i="12" l="1"/>
  <c r="F43" i="12"/>
  <c r="C44" i="12"/>
  <c r="F10" i="12"/>
  <c r="G10" i="12" s="1"/>
  <c r="G11" i="12" s="1"/>
  <c r="F9" i="11"/>
  <c r="G9" i="11" s="1"/>
  <c r="C12" i="12"/>
  <c r="F12" i="12" s="1"/>
  <c r="F11" i="11"/>
  <c r="C12" i="11"/>
  <c r="F12" i="11" s="1"/>
  <c r="F10" i="11"/>
  <c r="G10" i="11" s="1"/>
  <c r="C14" i="9"/>
  <c r="C15" i="9" s="1"/>
  <c r="C30" i="9"/>
  <c r="C31" i="9" s="1"/>
  <c r="L136" i="8"/>
  <c r="L137" i="8" s="1"/>
  <c r="C84" i="8"/>
  <c r="C85" i="8" s="1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C81" i="8" s="1"/>
  <c r="C72" i="8"/>
  <c r="C73" i="8" s="1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E62" i="8"/>
  <c r="C42" i="8"/>
  <c r="C43" i="8" s="1"/>
  <c r="J35" i="8"/>
  <c r="I35" i="8"/>
  <c r="H35" i="8"/>
  <c r="G35" i="8"/>
  <c r="F35" i="8"/>
  <c r="E35" i="8"/>
  <c r="C38" i="8" s="1"/>
  <c r="C39" i="8" s="1"/>
  <c r="D35" i="8"/>
  <c r="C35" i="8"/>
  <c r="C27" i="8"/>
  <c r="C22" i="8"/>
  <c r="C23" i="8" s="1"/>
  <c r="G19" i="8"/>
  <c r="F19" i="8"/>
  <c r="E19" i="8"/>
  <c r="D19" i="8"/>
  <c r="C19" i="8"/>
  <c r="C45" i="12" l="1"/>
  <c r="F45" i="12" s="1"/>
  <c r="F44" i="12"/>
  <c r="G43" i="12"/>
  <c r="G12" i="12"/>
  <c r="G13" i="12" s="1"/>
  <c r="G11" i="11"/>
  <c r="G44" i="12" l="1"/>
  <c r="G45" i="12" s="1"/>
  <c r="G46" i="12" s="1"/>
  <c r="D27" i="12"/>
  <c r="G14" i="12"/>
  <c r="B20" i="7"/>
  <c r="B18" i="7"/>
  <c r="B17" i="7"/>
  <c r="B16" i="7"/>
  <c r="E16" i="7"/>
  <c r="B34" i="6"/>
  <c r="B32" i="6"/>
  <c r="B31" i="6"/>
  <c r="E30" i="6"/>
  <c r="B30" i="6"/>
  <c r="G47" i="12" l="1"/>
  <c r="C43" i="5"/>
  <c r="C46" i="5"/>
  <c r="K39" i="5"/>
  <c r="K37" i="5"/>
  <c r="J37" i="5"/>
  <c r="H34" i="5"/>
  <c r="C35" i="5"/>
  <c r="C36" i="5" s="1"/>
  <c r="C37" i="5" s="1"/>
  <c r="D14" i="5"/>
  <c r="F10" i="5"/>
  <c r="G10" i="5"/>
  <c r="F9" i="5"/>
  <c r="G9" i="5" s="1"/>
  <c r="F8" i="5"/>
  <c r="G8" i="5" s="1"/>
  <c r="F7" i="5"/>
  <c r="G7" i="5" s="1"/>
  <c r="E36" i="5"/>
  <c r="E37" i="5" s="1"/>
  <c r="F35" i="5"/>
  <c r="I34" i="5"/>
  <c r="F34" i="5"/>
  <c r="D34" i="5"/>
  <c r="D35" i="5" s="1"/>
  <c r="D36" i="5" s="1"/>
  <c r="D37" i="5" s="1"/>
  <c r="D38" i="5" s="1"/>
  <c r="D39" i="5" s="1"/>
  <c r="B34" i="5"/>
  <c r="B35" i="5" s="1"/>
  <c r="B36" i="5" s="1"/>
  <c r="B37" i="5" s="1"/>
  <c r="B38" i="5" s="1"/>
  <c r="B39" i="5" s="1"/>
  <c r="F6" i="5"/>
  <c r="G6" i="5" s="1"/>
  <c r="F5" i="5"/>
  <c r="G5" i="5" s="1"/>
  <c r="O33" i="3"/>
  <c r="P33" i="3"/>
  <c r="C46" i="3"/>
  <c r="C43" i="3"/>
  <c r="D14" i="3"/>
  <c r="P39" i="3"/>
  <c r="O39" i="3"/>
  <c r="O38" i="3"/>
  <c r="O35" i="3"/>
  <c r="J38" i="3"/>
  <c r="J39" i="3"/>
  <c r="L36" i="3"/>
  <c r="H39" i="3"/>
  <c r="I39" i="3"/>
  <c r="K37" i="3"/>
  <c r="M36" i="3"/>
  <c r="H37" i="3" s="1"/>
  <c r="I37" i="3" s="1"/>
  <c r="M35" i="3"/>
  <c r="M34" i="3"/>
  <c r="J34" i="3"/>
  <c r="C42" i="3"/>
  <c r="H34" i="3"/>
  <c r="I34" i="3"/>
  <c r="I36" i="3"/>
  <c r="F34" i="3"/>
  <c r="F35" i="3"/>
  <c r="E36" i="3"/>
  <c r="F36" i="3" s="1"/>
  <c r="C35" i="3"/>
  <c r="C36" i="3" s="1"/>
  <c r="C37" i="3" s="1"/>
  <c r="D34" i="3"/>
  <c r="D35" i="3" s="1"/>
  <c r="D36" i="3" s="1"/>
  <c r="D37" i="3" s="1"/>
  <c r="D38" i="3" s="1"/>
  <c r="D39" i="3" s="1"/>
  <c r="B34" i="3"/>
  <c r="B35" i="3" s="1"/>
  <c r="B36" i="3" s="1"/>
  <c r="B37" i="3" s="1"/>
  <c r="B38" i="3" s="1"/>
  <c r="B39" i="3" s="1"/>
  <c r="C38" i="5" l="1"/>
  <c r="C39" i="5"/>
  <c r="J34" i="5"/>
  <c r="K34" i="5" s="1"/>
  <c r="O34" i="5" s="1"/>
  <c r="P34" i="5" s="1"/>
  <c r="M34" i="5"/>
  <c r="H35" i="5" s="1"/>
  <c r="I35" i="5" s="1"/>
  <c r="E39" i="5"/>
  <c r="F39" i="5" s="1"/>
  <c r="E38" i="5"/>
  <c r="F38" i="5" s="1"/>
  <c r="F37" i="5"/>
  <c r="F36" i="5"/>
  <c r="E37" i="3"/>
  <c r="H35" i="3"/>
  <c r="I35" i="3" s="1"/>
  <c r="K34" i="3"/>
  <c r="O34" i="3" s="1"/>
  <c r="P34" i="3" s="1"/>
  <c r="C39" i="3"/>
  <c r="C38" i="3"/>
  <c r="J35" i="5" l="1"/>
  <c r="K35" i="5" s="1"/>
  <c r="O35" i="5" s="1"/>
  <c r="P35" i="5" s="1"/>
  <c r="M35" i="5"/>
  <c r="H36" i="5" s="1"/>
  <c r="I36" i="5" s="1"/>
  <c r="E38" i="3"/>
  <c r="F38" i="3" s="1"/>
  <c r="E39" i="3"/>
  <c r="F39" i="3" s="1"/>
  <c r="F37" i="3"/>
  <c r="J35" i="3"/>
  <c r="K35" i="3" s="1"/>
  <c r="P35" i="3" s="1"/>
  <c r="H36" i="3"/>
  <c r="J36" i="5" l="1"/>
  <c r="K36" i="5"/>
  <c r="J36" i="3"/>
  <c r="O36" i="5" l="1"/>
  <c r="P36" i="5" s="1"/>
  <c r="L36" i="5"/>
  <c r="M36" i="5" s="1"/>
  <c r="H37" i="5" s="1"/>
  <c r="I37" i="5" s="1"/>
  <c r="O36" i="3"/>
  <c r="P36" i="3" s="1"/>
  <c r="J37" i="3" l="1"/>
  <c r="O37" i="5" l="1"/>
  <c r="P37" i="5" s="1"/>
  <c r="L37" i="5"/>
  <c r="M37" i="5" s="1"/>
  <c r="H38" i="5" s="1"/>
  <c r="I38" i="5" s="1"/>
  <c r="L37" i="3"/>
  <c r="M37" i="3" s="1"/>
  <c r="H38" i="3" s="1"/>
  <c r="I38" i="3" s="1"/>
  <c r="K38" i="3" s="1"/>
  <c r="O37" i="3"/>
  <c r="P37" i="3" s="1"/>
  <c r="J38" i="5" l="1"/>
  <c r="K38" i="5"/>
  <c r="O38" i="5" l="1"/>
  <c r="P38" i="5" s="1"/>
  <c r="L38" i="5"/>
  <c r="M38" i="5" s="1"/>
  <c r="H39" i="5" s="1"/>
  <c r="I39" i="5" s="1"/>
  <c r="P38" i="3"/>
  <c r="L38" i="3"/>
  <c r="M38" i="3" s="1"/>
  <c r="K39" i="3" s="1"/>
  <c r="N39" i="5" l="1"/>
  <c r="J39" i="5"/>
  <c r="N39" i="3"/>
  <c r="O39" i="5" l="1"/>
  <c r="P39" i="5" s="1"/>
  <c r="L39" i="5"/>
  <c r="M39" i="5" s="1"/>
  <c r="L39" i="3"/>
  <c r="M39" i="3" s="1"/>
  <c r="E10" i="3" l="1"/>
  <c r="E9" i="3"/>
  <c r="E8" i="3"/>
  <c r="G6" i="3"/>
  <c r="G10" i="3" l="1"/>
  <c r="G9" i="3"/>
  <c r="C13" i="2"/>
  <c r="C6" i="2"/>
  <c r="B18" i="2"/>
  <c r="D15" i="2"/>
  <c r="D14" i="2"/>
  <c r="D13" i="2"/>
  <c r="D39" i="1"/>
  <c r="D38" i="1"/>
  <c r="D37" i="1"/>
  <c r="C33" i="1"/>
  <c r="C32" i="1"/>
  <c r="C31" i="1"/>
  <c r="C30" i="1"/>
  <c r="B16" i="2"/>
  <c r="C15" i="2" s="1"/>
  <c r="B10" i="2"/>
  <c r="E6" i="2" s="1"/>
  <c r="E10" i="2" s="1"/>
  <c r="B10" i="1"/>
  <c r="B34" i="1"/>
  <c r="E30" i="1" s="1"/>
  <c r="B33" i="1"/>
  <c r="H21" i="2"/>
  <c r="H14" i="2"/>
  <c r="H7" i="2"/>
  <c r="C14" i="2"/>
  <c r="C7" i="2"/>
  <c r="E7" i="2" s="1"/>
  <c r="E31" i="1"/>
  <c r="E32" i="1"/>
  <c r="H45" i="1"/>
  <c r="B40" i="1"/>
  <c r="B42" i="1" s="1"/>
  <c r="C34" i="1" s="1"/>
  <c r="H38" i="1"/>
  <c r="H31" i="1"/>
  <c r="E15" i="2" l="1"/>
  <c r="E14" i="2"/>
  <c r="E13" i="2"/>
  <c r="E16" i="2" s="1"/>
  <c r="C37" i="1"/>
  <c r="E37" i="1" s="1"/>
  <c r="C38" i="1"/>
  <c r="E38" i="1" s="1"/>
  <c r="C39" i="1"/>
  <c r="E39" i="1" s="1"/>
  <c r="C8" i="2"/>
  <c r="E8" i="2" s="1"/>
  <c r="C9" i="2"/>
  <c r="E9" i="2" s="1"/>
  <c r="C16" i="2"/>
  <c r="E33" i="1"/>
  <c r="E34" i="1" s="1"/>
  <c r="C40" i="1"/>
  <c r="C42" i="1" s="1"/>
  <c r="E40" i="1" l="1"/>
  <c r="E42" i="1"/>
  <c r="C10" i="2"/>
  <c r="E18" i="2" s="1"/>
  <c r="E15" i="1"/>
  <c r="H21" i="1"/>
  <c r="D15" i="1" s="1"/>
  <c r="B16" i="1"/>
  <c r="C15" i="1" s="1"/>
  <c r="H14" i="1"/>
  <c r="D14" i="1" s="1"/>
  <c r="E14" i="1" s="1"/>
  <c r="C14" i="1"/>
  <c r="C18" i="2" l="1"/>
  <c r="C16" i="1"/>
  <c r="C8" i="1"/>
  <c r="E8" i="1" s="1"/>
  <c r="C9" i="1"/>
  <c r="E9" i="1" s="1"/>
  <c r="C7" i="1"/>
  <c r="E7" i="1" s="1"/>
  <c r="C10" i="1" l="1"/>
</calcChain>
</file>

<file path=xl/sharedStrings.xml><?xml version="1.0" encoding="utf-8"?>
<sst xmlns="http://schemas.openxmlformats.org/spreadsheetml/2006/main" count="511" uniqueCount="194">
  <si>
    <t>ESTRUCTURACION  DE CAPITAL Y WACC</t>
  </si>
  <si>
    <t>ACCIONES COMUNES</t>
  </si>
  <si>
    <t>Impuesto a la renta</t>
  </si>
  <si>
    <t>Do</t>
  </si>
  <si>
    <t>Ultimo dividendo</t>
  </si>
  <si>
    <t>Po</t>
  </si>
  <si>
    <t>Precio de la acción</t>
  </si>
  <si>
    <t>DEUDA =&gt; Kd</t>
  </si>
  <si>
    <t>Monto</t>
  </si>
  <si>
    <t>Kd o TCEA</t>
  </si>
  <si>
    <t>Kd*Wd%</t>
  </si>
  <si>
    <t>Flotación</t>
  </si>
  <si>
    <t>Costo de flotación</t>
  </si>
  <si>
    <t>Bco Trabajo</t>
  </si>
  <si>
    <t>g</t>
  </si>
  <si>
    <t>Tasa de crecimiento</t>
  </si>
  <si>
    <t>Bco Desarrollo</t>
  </si>
  <si>
    <t>Ksac</t>
  </si>
  <si>
    <t>Bco Industrial</t>
  </si>
  <si>
    <t>Bonos</t>
  </si>
  <si>
    <t>ACCIONES PREFERENTES</t>
  </si>
  <si>
    <t>Dp</t>
  </si>
  <si>
    <t>Dividendo de acciones preferentes</t>
  </si>
  <si>
    <t>PATRIMONIO =&gt; Ks</t>
  </si>
  <si>
    <t>Ks</t>
  </si>
  <si>
    <t>Ks*Ws%</t>
  </si>
  <si>
    <t>Acciones comunes</t>
  </si>
  <si>
    <t>Acciones preferentes</t>
  </si>
  <si>
    <t>Ksap</t>
  </si>
  <si>
    <t>Utilidades retenidas</t>
  </si>
  <si>
    <t>RETENCIÓN DE UTILIDADES</t>
  </si>
  <si>
    <t>Total Empresa</t>
  </si>
  <si>
    <t>WACC =</t>
  </si>
  <si>
    <t>Ksur</t>
  </si>
  <si>
    <t>WACC=</t>
  </si>
  <si>
    <t>KdProm * Wd% * (1-ImpRenta) + KsProm * Ws%</t>
  </si>
  <si>
    <t>Wd% (Monto/MontoTotal)</t>
  </si>
  <si>
    <t>Ws%(Monto/MontoTotal)</t>
  </si>
  <si>
    <t>Kd prom. (SUMA)=</t>
  </si>
  <si>
    <t>Ks prom. (SUMA)=</t>
  </si>
  <si>
    <r>
      <t>Ks = D</t>
    </r>
    <r>
      <rPr>
        <b/>
        <vertAlign val="subscript"/>
        <sz val="10"/>
        <rFont val="Calibri"/>
        <family val="2"/>
        <scheme val="minor"/>
      </rPr>
      <t xml:space="preserve">0 </t>
    </r>
    <r>
      <rPr>
        <b/>
        <sz val="10"/>
        <rFont val="Calibri"/>
        <family val="2"/>
        <scheme val="minor"/>
      </rPr>
      <t>* ( 1 + g ) / ( P</t>
    </r>
    <r>
      <rPr>
        <b/>
        <vertAlign val="subscript"/>
        <sz val="10"/>
        <rFont val="Calibri"/>
        <family val="2"/>
        <scheme val="minor"/>
      </rPr>
      <t xml:space="preserve">0 </t>
    </r>
    <r>
      <rPr>
        <b/>
        <sz val="10"/>
        <rFont val="Calibri"/>
        <family val="2"/>
        <scheme val="minor"/>
      </rPr>
      <t>* ( 1 - f ) ) + g</t>
    </r>
  </si>
  <si>
    <r>
      <t>Ks = Dp / ( P</t>
    </r>
    <r>
      <rPr>
        <b/>
        <vertAlign val="subscript"/>
        <sz val="10"/>
        <rFont val="Calibri"/>
        <family val="2"/>
        <scheme val="minor"/>
      </rPr>
      <t xml:space="preserve">0 </t>
    </r>
    <r>
      <rPr>
        <b/>
        <sz val="10"/>
        <rFont val="Calibri"/>
        <family val="2"/>
        <scheme val="minor"/>
      </rPr>
      <t>* ( 1 - f ) )</t>
    </r>
  </si>
  <si>
    <r>
      <t>Ks = D</t>
    </r>
    <r>
      <rPr>
        <b/>
        <vertAlign val="subscript"/>
        <sz val="10"/>
        <rFont val="Calibri"/>
        <family val="2"/>
        <scheme val="minor"/>
      </rPr>
      <t xml:space="preserve">0 </t>
    </r>
    <r>
      <rPr>
        <b/>
        <sz val="10"/>
        <rFont val="Calibri"/>
        <family val="2"/>
        <scheme val="minor"/>
      </rPr>
      <t>* ( 1 + g ) / P</t>
    </r>
    <r>
      <rPr>
        <b/>
        <vertAlign val="subscript"/>
        <sz val="10"/>
        <rFont val="Calibri"/>
        <family val="2"/>
        <scheme val="minor"/>
      </rPr>
      <t xml:space="preserve">0 </t>
    </r>
    <r>
      <rPr>
        <b/>
        <sz val="10"/>
        <rFont val="Calibri"/>
        <family val="2"/>
        <scheme val="minor"/>
      </rPr>
      <t>+ g</t>
    </r>
  </si>
  <si>
    <t>Banco</t>
  </si>
  <si>
    <t>Banco TRABAJO</t>
  </si>
  <si>
    <t>Banco SUDA</t>
  </si>
  <si>
    <t>Banco INTER</t>
  </si>
  <si>
    <t>TEA</t>
  </si>
  <si>
    <t>TEP</t>
  </si>
  <si>
    <t>Inicial</t>
  </si>
  <si>
    <t>Interes</t>
  </si>
  <si>
    <t>Cuota</t>
  </si>
  <si>
    <t>de TEA a TES con descontada =</t>
  </si>
  <si>
    <t>precio de bono</t>
  </si>
  <si>
    <t>152.26/(1+1.93%)+152.26/(1+1.93%)^2+1402.26/(1+1.93)^3+1364.20/(1+1.93%)^4+1326.13/(1+1.93%)^5+1300.57/(1+1.93%)^6</t>
  </si>
  <si>
    <t>TES=(1+6%/360)^180-1=3.05%</t>
  </si>
  <si>
    <r>
      <t>Período 1=3.05%*5,000=</t>
    </r>
    <r>
      <rPr>
        <b/>
        <sz val="11"/>
        <color rgb="FF0070C0"/>
        <rFont val="Calibri"/>
        <family val="2"/>
        <scheme val="minor"/>
      </rPr>
      <t>152.26</t>
    </r>
  </si>
  <si>
    <r>
      <t>Período 2=3.05%*5,000=</t>
    </r>
    <r>
      <rPr>
        <b/>
        <sz val="11"/>
        <color rgb="FF0070C0"/>
        <rFont val="Calibri"/>
        <family val="2"/>
        <scheme val="minor"/>
      </rPr>
      <t>152.26</t>
    </r>
  </si>
  <si>
    <r>
      <t>Período 3=5,000/4+3.05%*5,000=</t>
    </r>
    <r>
      <rPr>
        <b/>
        <sz val="11"/>
        <color rgb="FF0070C0"/>
        <rFont val="Calibri"/>
        <family val="2"/>
        <scheme val="minor"/>
      </rPr>
      <t>1,402.50</t>
    </r>
  </si>
  <si>
    <r>
      <t>Período 4=5,000/4+3.05%*(5,000-5,000/4)=</t>
    </r>
    <r>
      <rPr>
        <b/>
        <sz val="11"/>
        <color rgb="FF0070C0"/>
        <rFont val="Calibri"/>
        <family val="2"/>
        <scheme val="minor"/>
      </rPr>
      <t>1,364.38</t>
    </r>
  </si>
  <si>
    <r>
      <t>Período 5=5,000/4+3.05%*(5,000-5,000/4*2)=</t>
    </r>
    <r>
      <rPr>
        <b/>
        <sz val="11"/>
        <color rgb="FF0070C0"/>
        <rFont val="Calibri"/>
        <family val="2"/>
        <scheme val="minor"/>
      </rPr>
      <t>1,326.25</t>
    </r>
  </si>
  <si>
    <r>
      <t>Período 6=5,000/4+3.05%*(5,000-5,000/4*3)+1%*(5,000-5,000/4*3)=</t>
    </r>
    <r>
      <rPr>
        <b/>
        <sz val="11"/>
        <color rgb="FF0070C0"/>
        <rFont val="Calibri"/>
        <family val="2"/>
        <scheme val="minor"/>
      </rPr>
      <t>1,300.63</t>
    </r>
  </si>
  <si>
    <t xml:space="preserve">COK= Tasa descontada a 360 días (d360) de 3.75% ¿Cuál será el máximo precio </t>
  </si>
  <si>
    <t>TEA=d%/(1-d%)=3.75%/(1-3.75%)=3.90%</t>
  </si>
  <si>
    <t>TES=(1+3.90%)^(180/360)-1=1.93%</t>
  </si>
  <si>
    <t>ALEMAN</t>
  </si>
  <si>
    <t>FRANCES</t>
  </si>
  <si>
    <t>En el inicial, se divide  entre el numero de periodos restantes luego del plazo de gracia</t>
  </si>
  <si>
    <t>N° semestres</t>
  </si>
  <si>
    <t>Tasa nominal anual con capitalización mensual</t>
  </si>
  <si>
    <t>Tasa cupón (TEP)</t>
  </si>
  <si>
    <t>Inflación anual proyectada</t>
  </si>
  <si>
    <t>IP (Inflación periódica)</t>
  </si>
  <si>
    <t>P.G.</t>
  </si>
  <si>
    <t>Saldo inicial</t>
  </si>
  <si>
    <t>Saldo indexado</t>
  </si>
  <si>
    <t>Amortiz.</t>
  </si>
  <si>
    <t>Saldo final</t>
  </si>
  <si>
    <t>Prima</t>
  </si>
  <si>
    <t>Flujo emisor</t>
  </si>
  <si>
    <t>Flujo bonista</t>
  </si>
  <si>
    <t>P</t>
  </si>
  <si>
    <t>S</t>
  </si>
  <si>
    <t>Interés (Cupón) = Indexado * TasaCup</t>
  </si>
  <si>
    <t>Tasa de interés mercado (TES)</t>
  </si>
  <si>
    <t>Precio del bono</t>
  </si>
  <si>
    <t>IMPORTANTE</t>
  </si>
  <si>
    <t>Precio del bono = 152.26/(1+1.93%)+152.26/(1+1.93%)^2+1,402.50/(1+1.93%)^3+1,364.38/(1+1.93%)^4+1,326.25/(1+1.93%)^5+1,300.63/(1+1.93%)^6</t>
  </si>
  <si>
    <t>Formula a mano:</t>
  </si>
  <si>
    <t>COLOCAR COSTOS</t>
  </si>
  <si>
    <t>Nominal:</t>
  </si>
  <si>
    <t>rendimiento esperado (COK)</t>
  </si>
  <si>
    <t>crecimiento (g)</t>
  </si>
  <si>
    <t>dividendos</t>
  </si>
  <si>
    <t>8.17</t>
  </si>
  <si>
    <t>años</t>
  </si>
  <si>
    <t>anualidad de 3 primeros años dividendo 1</t>
  </si>
  <si>
    <t>flujo de año 4 llevado a cero</t>
  </si>
  <si>
    <t>flujo</t>
  </si>
  <si>
    <t>suma</t>
  </si>
  <si>
    <t>(UN PERIODO ANTES)</t>
  </si>
  <si>
    <t>flujo de año 5 llevado a cero</t>
  </si>
  <si>
    <t>anualidad de 4 primeros años dividendo 4</t>
  </si>
  <si>
    <t>flujo perpetuo concrecimiento</t>
  </si>
  <si>
    <t>flujo perpetuo concrecimiento a parit r de año 6</t>
  </si>
  <si>
    <t xml:space="preserve">EJM 7: VAC Y CAUE </t>
  </si>
  <si>
    <t>Solución</t>
  </si>
  <si>
    <t>Equipo 1</t>
  </si>
  <si>
    <t>Inversión</t>
  </si>
  <si>
    <t>Mantenimiento anual</t>
  </si>
  <si>
    <t>Mano de obra anual</t>
  </si>
  <si>
    <t>Valor de salvamento</t>
  </si>
  <si>
    <t>Total flujos</t>
  </si>
  <si>
    <t>Con fórmula excel:</t>
  </si>
  <si>
    <t>VAC</t>
  </si>
  <si>
    <t>VAC = VNA(Tasa, flujos futuros…) + Inversión</t>
  </si>
  <si>
    <t>CAUE</t>
  </si>
  <si>
    <t>CAUE =A = -Pago(tasa, tiempo,VAC,0,0)</t>
  </si>
  <si>
    <t>Con calculadora:</t>
  </si>
  <si>
    <r>
      <t>A = (VA</t>
    </r>
    <r>
      <rPr>
        <sz val="12"/>
        <color rgb="FFFF0000"/>
        <rFont val="Arial"/>
        <family val="2"/>
      </rPr>
      <t>*i)/(1-(1+i)</t>
    </r>
    <r>
      <rPr>
        <sz val="12"/>
        <color rgb="FFFF0000"/>
        <rFont val="Calibri"/>
        <family val="2"/>
      </rPr>
      <t>¯ᶯ</t>
    </r>
    <r>
      <rPr>
        <sz val="12"/>
        <color rgb="FFFF0000"/>
        <rFont val="Arial"/>
        <family val="2"/>
      </rPr>
      <t>)</t>
    </r>
  </si>
  <si>
    <t>Equipo 2</t>
  </si>
  <si>
    <t>Gastos Indir. Fabric. Anual</t>
  </si>
  <si>
    <t>Se debe utilizar el método CAUE y elegir la alternativa equipo 2 porque tiene el menor CAUE</t>
  </si>
  <si>
    <t>PARA SER MÁS PRECISO DEBEMOS CALCULAR EL CAUE, PORQUE SON ALTERNATIVAS DE DIFERENTE VIDA ÚTIL</t>
  </si>
  <si>
    <t>EJM 3: MCM</t>
  </si>
  <si>
    <t>3-7</t>
  </si>
  <si>
    <t>3</t>
  </si>
  <si>
    <t>1-7</t>
  </si>
  <si>
    <t>7</t>
  </si>
  <si>
    <t>1-1</t>
  </si>
  <si>
    <t>MCM =</t>
  </si>
  <si>
    <t>= (3*7)</t>
  </si>
  <si>
    <t>Posibilidad 1</t>
  </si>
  <si>
    <t>TE (3 años)</t>
  </si>
  <si>
    <t>TEA a una TE período de 3 años.</t>
  </si>
  <si>
    <t>Posibilidad 2</t>
  </si>
  <si>
    <t>TE (7 años)</t>
  </si>
  <si>
    <t>TEA a una TE período de 7 años.</t>
  </si>
  <si>
    <t>Como puede comprobarse, al realizar de forma correcta la cadena de renovaciones, el proyecto más interesante es la primera posibilidad porque tiene el menor VAC</t>
  </si>
  <si>
    <t>PARA ESTE EJERCICIO COMO INDICA RENOVABLES, DEBEMOS UTILIZAR EL MCM</t>
  </si>
  <si>
    <t>EJM 7: CASO DE EXAMEN FINAL</t>
  </si>
  <si>
    <t>…</t>
  </si>
  <si>
    <t>TEA(10)</t>
  </si>
  <si>
    <t>CC</t>
  </si>
  <si>
    <t>EJM 8: CASO DE EXAMEN FINAL</t>
  </si>
  <si>
    <t>Se usará VAC y CAUE ps mongol :v</t>
  </si>
  <si>
    <t>Anualidad de año 1 a 5 a valor presente</t>
  </si>
  <si>
    <t>Traerlo a tiempo 0 (UN PERIODO MENOS)</t>
  </si>
  <si>
    <t>Traer a valor presente la inversión del año 6</t>
  </si>
  <si>
    <t>CC de flujo perpetuo a partir del año 6 (NUMERADOR)</t>
  </si>
  <si>
    <t>250000      +             12000*(1-(1+7%)^-5)/7%           +       (18000/7%)/((1+7%)^5)                                        +                 (100000)/((1+7%)^5)                                   +(50000/96.72%)/(1+7%)^5</t>
  </si>
  <si>
    <t>CC desde el año 15</t>
  </si>
  <si>
    <t>Traerlo a tiempo 0 desde el año 6 (UN PERIODO MENOS)</t>
  </si>
  <si>
    <t>TASA:</t>
  </si>
  <si>
    <t>1. Información Base</t>
  </si>
  <si>
    <t>Construir</t>
  </si>
  <si>
    <t>Concesionar</t>
  </si>
  <si>
    <t>Costo mantenimiento anual</t>
  </si>
  <si>
    <t>Refacción a los 20 años</t>
  </si>
  <si>
    <t>TNA</t>
  </si>
  <si>
    <t>Vida útil (años)</t>
  </si>
  <si>
    <t>Cuál alternativa es mejor</t>
  </si>
  <si>
    <t>?</t>
  </si>
  <si>
    <t>TASA=</t>
  </si>
  <si>
    <t>Tasa nominal anual</t>
  </si>
  <si>
    <t>Tasa efectiva anual</t>
  </si>
  <si>
    <t>FLUJO</t>
  </si>
  <si>
    <t>FLUJO DESCONTADO</t>
  </si>
  <si>
    <t>FLUJO ACUMULADO DESCONTADO</t>
  </si>
  <si>
    <t>Año</t>
  </si>
  <si>
    <t>Anderson</t>
  </si>
  <si>
    <t>Birmania</t>
  </si>
  <si>
    <r>
      <rPr>
        <b/>
        <sz val="8"/>
        <color rgb="FFFF0000"/>
        <rFont val="Arial"/>
        <family val="2"/>
      </rPr>
      <t>Primer paso:</t>
    </r>
    <r>
      <rPr>
        <sz val="8"/>
        <color rgb="FFFF0000"/>
        <rFont val="Arial"/>
        <family val="2"/>
      </rPr>
      <t xml:space="preserve"> Obtener la tasa periódica: </t>
    </r>
    <r>
      <rPr>
        <b/>
        <sz val="8"/>
        <color rgb="FF0070C0"/>
        <rFont val="Arial"/>
        <family val="2"/>
      </rPr>
      <t>TN/m</t>
    </r>
  </si>
  <si>
    <r>
      <rPr>
        <b/>
        <sz val="8"/>
        <color rgb="FFFF0000"/>
        <rFont val="Arial"/>
        <family val="2"/>
      </rPr>
      <t>Segundo paso:</t>
    </r>
    <r>
      <rPr>
        <sz val="8"/>
        <color rgb="FFFF0000"/>
        <rFont val="Arial"/>
        <family val="2"/>
      </rPr>
      <t xml:space="preserve"> A la TEP obtenida en el paso 1, determinar cuántas veces capitaliza a la TE buscada :</t>
    </r>
    <r>
      <rPr>
        <b/>
        <sz val="8"/>
        <color rgb="FF0070C0"/>
        <rFont val="Arial"/>
        <family val="2"/>
      </rPr>
      <t xml:space="preserve"> n</t>
    </r>
  </si>
  <si>
    <t>a).</t>
  </si>
  <si>
    <t>VAN</t>
  </si>
  <si>
    <t>b)</t>
  </si>
  <si>
    <t>TIR</t>
  </si>
  <si>
    <t>PRD</t>
  </si>
  <si>
    <t>B/C</t>
  </si>
  <si>
    <r>
      <t xml:space="preserve">Siempre la mejor opción es la que tenga el </t>
    </r>
    <r>
      <rPr>
        <b/>
        <sz val="10"/>
        <color rgb="FFFF0000"/>
        <rFont val="Comic Sans MS"/>
        <family val="4"/>
      </rPr>
      <t>MAYOR VAN: Anderson</t>
    </r>
  </si>
  <si>
    <t xml:space="preserve">c). </t>
  </si>
  <si>
    <t>VAN Anders.</t>
  </si>
  <si>
    <t>VAN Birm.</t>
  </si>
  <si>
    <r>
      <t xml:space="preserve">Siempre la mejor opción es la que tenga el </t>
    </r>
    <r>
      <rPr>
        <b/>
        <sz val="10"/>
        <color rgb="FFFF0000"/>
        <rFont val="Comic Sans MS"/>
        <family val="4"/>
      </rPr>
      <t>MAYOR VAN: Birmania</t>
    </r>
  </si>
  <si>
    <t>CAMBIA LA TASA</t>
  </si>
  <si>
    <t>poner en menos</t>
  </si>
  <si>
    <t>ESCOGIDO</t>
  </si>
  <si>
    <r>
      <t xml:space="preserve">Siempre la mejor opción es la que tenga el </t>
    </r>
    <r>
      <rPr>
        <b/>
        <sz val="10"/>
        <color rgb="FFFF0000"/>
        <rFont val="Comic Sans MS"/>
        <family val="4"/>
      </rPr>
      <t xml:space="preserve">MAYOR VAN: </t>
    </r>
  </si>
  <si>
    <t>TUVIEJA :V</t>
  </si>
  <si>
    <t>hp</t>
  </si>
  <si>
    <t>mac</t>
  </si>
  <si>
    <t>TUPAPA</t>
  </si>
  <si>
    <t>LUEGO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</si>
</sst>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0.000%"/>
    <numFmt numFmtId="165" formatCode="0.00000%"/>
    <numFmt numFmtId="166" formatCode="0.0000000%"/>
    <numFmt numFmtId="167" formatCode="0.0%"/>
    <numFmt numFmtId="168" formatCode="0.00_ ;[Red]\-0.00\ "/>
    <numFmt numFmtId="169" formatCode="#,##0.00_ ;[Red]\-#,##0.00\ "/>
    <numFmt numFmtId="170" formatCode="0.0000%"/>
    <numFmt numFmtId="171" formatCode="&quot;S/.&quot;#,##0.00;[Red]&quot;S/.&quot;\-#,##0.00"/>
    <numFmt numFmtId="172" formatCode="&quot;S/&quot;\ #,##0.00;[Red]\-&quot;S/&quot;\ #,##0.00"/>
    <numFmt numFmtId="173" formatCode="[Blue]\ #,##0.00_);[Red]\(\ #,##0.00\)"/>
    <numFmt numFmtId="174" formatCode="[Blue]\ #,##0.000_);[Red]\(\ #,##0.000\)"/>
    <numFmt numFmtId="175" formatCode="#,##0.000;[Red]#,##0.000"/>
    <numFmt numFmtId="176" formatCode="#,##0.00;[Red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omic Sans MS"/>
      <family val="4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8"/>
      <color rgb="FF0070C0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  <font>
      <sz val="12"/>
      <color rgb="FF0070C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</font>
    <font>
      <sz val="10"/>
      <color theme="0"/>
      <name val="Arial"/>
      <family val="2"/>
    </font>
    <font>
      <b/>
      <sz val="9"/>
      <color indexed="12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Comic Sans MS"/>
      <family val="4"/>
    </font>
    <font>
      <b/>
      <sz val="9"/>
      <name val="Arial"/>
      <family val="2"/>
    </font>
    <font>
      <sz val="9"/>
      <color indexed="12"/>
      <name val="Arial"/>
      <family val="2"/>
    </font>
    <font>
      <sz val="12"/>
      <color rgb="FFFF0000"/>
      <name val="Comic Sans MS"/>
      <family val="4"/>
    </font>
    <font>
      <b/>
      <sz val="10"/>
      <color rgb="FFFF0000"/>
      <name val="Comic Sans MS"/>
      <family val="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27"/>
      </patternFill>
    </fill>
    <fill>
      <patternFill patternType="solid">
        <fgColor theme="9" tint="0.59999389629810485"/>
        <bgColor indexed="27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3" fillId="2" borderId="4" xfId="1" applyFont="1" applyFill="1" applyBorder="1" applyAlignment="1">
      <alignment horizontal="left"/>
    </xf>
    <xf numFmtId="164" fontId="3" fillId="2" borderId="4" xfId="3" applyNumberFormat="1" applyFont="1" applyFill="1" applyBorder="1" applyAlignment="1">
      <alignment horizontal="right"/>
    </xf>
    <xf numFmtId="164" fontId="3" fillId="2" borderId="4" xfId="1" applyNumberFormat="1" applyFont="1" applyFill="1" applyBorder="1" applyAlignment="1">
      <alignment horizontal="right"/>
    </xf>
    <xf numFmtId="0" fontId="0" fillId="2" borderId="0" xfId="0" applyFill="1"/>
    <xf numFmtId="0" fontId="3" fillId="2" borderId="0" xfId="1" applyFont="1" applyFill="1"/>
    <xf numFmtId="10" fontId="3" fillId="2" borderId="4" xfId="2" applyNumberFormat="1" applyFont="1" applyFill="1" applyBorder="1" applyAlignment="1">
      <alignment horizontal="right"/>
    </xf>
    <xf numFmtId="43" fontId="3" fillId="2" borderId="4" xfId="1" applyNumberFormat="1" applyFont="1" applyFill="1" applyBorder="1"/>
    <xf numFmtId="0" fontId="3" fillId="2" borderId="4" xfId="1" applyFont="1" applyFill="1" applyBorder="1"/>
    <xf numFmtId="43" fontId="3" fillId="2" borderId="4" xfId="2" applyFont="1" applyFill="1" applyBorder="1"/>
    <xf numFmtId="10" fontId="3" fillId="2" borderId="4" xfId="2" applyNumberFormat="1" applyFont="1" applyFill="1" applyBorder="1"/>
    <xf numFmtId="165" fontId="5" fillId="2" borderId="4" xfId="3" applyNumberFormat="1" applyFont="1" applyFill="1" applyBorder="1" applyAlignment="1">
      <alignment horizontal="right"/>
    </xf>
    <xf numFmtId="0" fontId="6" fillId="2" borderId="0" xfId="1" applyFont="1" applyFill="1"/>
    <xf numFmtId="43" fontId="3" fillId="2" borderId="0" xfId="2" applyFont="1" applyFill="1"/>
    <xf numFmtId="43" fontId="3" fillId="2" borderId="4" xfId="2" applyFont="1" applyFill="1" applyBorder="1" applyAlignment="1">
      <alignment horizontal="right" vertical="center"/>
    </xf>
    <xf numFmtId="0" fontId="4" fillId="2" borderId="0" xfId="1" applyFont="1" applyFill="1"/>
    <xf numFmtId="0" fontId="9" fillId="2" borderId="0" xfId="0" applyFont="1" applyFill="1"/>
    <xf numFmtId="0" fontId="5" fillId="2" borderId="4" xfId="1" applyFont="1" applyFill="1" applyBorder="1"/>
    <xf numFmtId="0" fontId="5" fillId="2" borderId="4" xfId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43" fontId="5" fillId="2" borderId="4" xfId="2" applyFont="1" applyFill="1" applyBorder="1" applyAlignment="1">
      <alignment horizontal="center"/>
    </xf>
    <xf numFmtId="165" fontId="5" fillId="2" borderId="4" xfId="1" applyNumberFormat="1" applyFont="1" applyFill="1" applyBorder="1" applyAlignment="1">
      <alignment horizontal="right" vertical="center"/>
    </xf>
    <xf numFmtId="0" fontId="3" fillId="2" borderId="0" xfId="1" applyFont="1" applyFill="1" applyAlignment="1">
      <alignment horizontal="center"/>
    </xf>
    <xf numFmtId="10" fontId="0" fillId="0" borderId="0" xfId="0" applyNumberFormat="1"/>
    <xf numFmtId="0" fontId="0" fillId="0" borderId="5" xfId="0" applyBorder="1"/>
    <xf numFmtId="9" fontId="0" fillId="0" borderId="5" xfId="0" applyNumberFormat="1" applyBorder="1"/>
    <xf numFmtId="10" fontId="0" fillId="0" borderId="5" xfId="0" applyNumberFormat="1" applyBorder="1"/>
    <xf numFmtId="166" fontId="0" fillId="0" borderId="5" xfId="0" applyNumberFormat="1" applyBorder="1"/>
    <xf numFmtId="0" fontId="11" fillId="0" borderId="0" xfId="0" applyFont="1"/>
    <xf numFmtId="0" fontId="13" fillId="0" borderId="0" xfId="0" applyFont="1"/>
    <xf numFmtId="0" fontId="9" fillId="0" borderId="0" xfId="0" applyFont="1"/>
    <xf numFmtId="0" fontId="14" fillId="5" borderId="5" xfId="4" applyFont="1" applyFill="1" applyBorder="1" applyAlignment="1">
      <alignment horizontal="center" vertical="center" wrapText="1"/>
    </xf>
    <xf numFmtId="0" fontId="15" fillId="5" borderId="5" xfId="4" applyFont="1" applyFill="1" applyBorder="1" applyAlignment="1">
      <alignment horizontal="center" vertical="center" wrapText="1"/>
    </xf>
    <xf numFmtId="0" fontId="14" fillId="6" borderId="5" xfId="4" applyFont="1" applyFill="1" applyBorder="1" applyAlignment="1">
      <alignment horizontal="center" vertical="center" wrapText="1"/>
    </xf>
    <xf numFmtId="0" fontId="4" fillId="5" borderId="5" xfId="4" applyFill="1" applyBorder="1" applyAlignment="1">
      <alignment horizontal="center"/>
    </xf>
    <xf numFmtId="9" fontId="4" fillId="5" borderId="5" xfId="4" applyNumberFormat="1" applyFill="1" applyBorder="1" applyAlignment="1">
      <alignment horizontal="center"/>
    </xf>
    <xf numFmtId="167" fontId="16" fillId="5" borderId="6" xfId="3" applyNumberFormat="1" applyFont="1" applyFill="1" applyBorder="1" applyAlignment="1">
      <alignment horizontal="left"/>
    </xf>
    <xf numFmtId="4" fontId="4" fillId="5" borderId="5" xfId="4" applyNumberFormat="1" applyFill="1" applyBorder="1" applyAlignment="1">
      <alignment horizontal="center"/>
    </xf>
    <xf numFmtId="168" fontId="4" fillId="5" borderId="5" xfId="4" applyNumberFormat="1" applyFill="1" applyBorder="1" applyAlignment="1">
      <alignment horizontal="center"/>
    </xf>
    <xf numFmtId="169" fontId="4" fillId="5" borderId="5" xfId="4" applyNumberFormat="1" applyFill="1" applyBorder="1" applyAlignment="1">
      <alignment horizontal="center"/>
    </xf>
    <xf numFmtId="169" fontId="4" fillId="6" borderId="5" xfId="4" applyNumberFormat="1" applyFill="1" applyBorder="1" applyAlignment="1">
      <alignment horizontal="center"/>
    </xf>
    <xf numFmtId="10" fontId="4" fillId="5" borderId="5" xfId="4" applyNumberFormat="1" applyFill="1" applyBorder="1" applyAlignment="1">
      <alignment horizontal="center"/>
    </xf>
    <xf numFmtId="4" fontId="4" fillId="6" borderId="5" xfId="4" applyNumberFormat="1" applyFill="1" applyBorder="1" applyAlignment="1">
      <alignment horizontal="center"/>
    </xf>
    <xf numFmtId="0" fontId="0" fillId="0" borderId="5" xfId="1" applyFont="1" applyBorder="1" applyAlignment="1">
      <alignment horizontal="left"/>
    </xf>
    <xf numFmtId="0" fontId="4" fillId="6" borderId="5" xfId="4" applyFill="1" applyBorder="1"/>
    <xf numFmtId="4" fontId="4" fillId="6" borderId="5" xfId="4" applyNumberFormat="1" applyFill="1" applyBorder="1"/>
    <xf numFmtId="170" fontId="0" fillId="2" borderId="0" xfId="0" applyNumberFormat="1" applyFill="1"/>
    <xf numFmtId="9" fontId="0" fillId="2" borderId="0" xfId="0" applyNumberFormat="1" applyFill="1"/>
    <xf numFmtId="0" fontId="0" fillId="2" borderId="5" xfId="0" applyFill="1" applyBorder="1"/>
    <xf numFmtId="2" fontId="0" fillId="2" borderId="0" xfId="0" applyNumberFormat="1" applyFill="1"/>
    <xf numFmtId="0" fontId="17" fillId="7" borderId="7" xfId="1" applyFont="1" applyFill="1" applyBorder="1" applyAlignment="1">
      <alignment horizontal="centerContinuous" vertical="center"/>
    </xf>
    <xf numFmtId="0" fontId="18" fillId="7" borderId="8" xfId="1" applyFont="1" applyFill="1" applyBorder="1" applyAlignment="1">
      <alignment horizontal="centerContinuous" vertical="center"/>
    </xf>
    <xf numFmtId="0" fontId="2" fillId="0" borderId="0" xfId="1" applyAlignment="1">
      <alignment vertical="center"/>
    </xf>
    <xf numFmtId="0" fontId="14" fillId="0" borderId="0" xfId="1" applyFont="1" applyAlignment="1">
      <alignment vertical="center"/>
    </xf>
    <xf numFmtId="0" fontId="2" fillId="0" borderId="5" xfId="1" applyBorder="1" applyAlignment="1">
      <alignment vertical="center"/>
    </xf>
    <xf numFmtId="3" fontId="2" fillId="0" borderId="5" xfId="1" applyNumberFormat="1" applyBorder="1" applyAlignment="1">
      <alignment vertical="center"/>
    </xf>
    <xf numFmtId="37" fontId="2" fillId="0" borderId="5" xfId="1" applyNumberFormat="1" applyBorder="1" applyAlignment="1">
      <alignment vertical="center"/>
    </xf>
    <xf numFmtId="37" fontId="2" fillId="0" borderId="0" xfId="1" applyNumberFormat="1" applyAlignment="1">
      <alignment vertical="center"/>
    </xf>
    <xf numFmtId="3" fontId="2" fillId="0" borderId="0" xfId="1" applyNumberFormat="1" applyAlignment="1">
      <alignment vertical="center"/>
    </xf>
    <xf numFmtId="0" fontId="14" fillId="0" borderId="5" xfId="1" applyFont="1" applyBorder="1" applyAlignment="1">
      <alignment vertical="center"/>
    </xf>
    <xf numFmtId="3" fontId="14" fillId="0" borderId="5" xfId="1" applyNumberFormat="1" applyFont="1" applyBorder="1" applyAlignment="1">
      <alignment vertical="center"/>
    </xf>
    <xf numFmtId="3" fontId="14" fillId="0" borderId="0" xfId="1" applyNumberFormat="1" applyFont="1" applyAlignment="1">
      <alignment vertical="center"/>
    </xf>
    <xf numFmtId="0" fontId="19" fillId="0" borderId="0" xfId="1" applyFont="1" applyAlignment="1">
      <alignment vertical="center"/>
    </xf>
    <xf numFmtId="0" fontId="14" fillId="8" borderId="5" xfId="1" applyFont="1" applyFill="1" applyBorder="1" applyAlignment="1">
      <alignment vertical="center"/>
    </xf>
    <xf numFmtId="3" fontId="14" fillId="8" borderId="5" xfId="1" applyNumberFormat="1" applyFont="1" applyFill="1" applyBorder="1" applyAlignment="1">
      <alignment vertical="center"/>
    </xf>
    <xf numFmtId="49" fontId="20" fillId="0" borderId="6" xfId="1" applyNumberFormat="1" applyFont="1" applyBorder="1" applyAlignment="1">
      <alignment vertical="center"/>
    </xf>
    <xf numFmtId="0" fontId="21" fillId="0" borderId="6" xfId="1" applyFont="1" applyBorder="1" applyAlignment="1">
      <alignment vertical="center"/>
    </xf>
    <xf numFmtId="171" fontId="2" fillId="0" borderId="0" xfId="1" applyNumberFormat="1" applyAlignment="1">
      <alignment vertical="center"/>
    </xf>
    <xf numFmtId="0" fontId="7" fillId="0" borderId="0" xfId="1" applyFont="1" applyAlignment="1">
      <alignment vertical="center"/>
    </xf>
    <xf numFmtId="49" fontId="2" fillId="0" borderId="0" xfId="1" applyNumberFormat="1" applyAlignment="1">
      <alignment horizontal="right" vertical="center"/>
    </xf>
    <xf numFmtId="49" fontId="2" fillId="0" borderId="6" xfId="1" applyNumberFormat="1" applyBorder="1" applyAlignment="1">
      <alignment vertical="center"/>
    </xf>
    <xf numFmtId="49" fontId="2" fillId="0" borderId="0" xfId="1" applyNumberFormat="1" applyAlignment="1">
      <alignment vertical="center"/>
    </xf>
    <xf numFmtId="0" fontId="2" fillId="0" borderId="0" xfId="1" applyAlignment="1">
      <alignment horizontal="center" vertical="center"/>
    </xf>
    <xf numFmtId="9" fontId="2" fillId="0" borderId="0" xfId="1" applyNumberFormat="1" applyAlignment="1">
      <alignment vertical="center"/>
    </xf>
    <xf numFmtId="0" fontId="14" fillId="9" borderId="5" xfId="1" applyFont="1" applyFill="1" applyBorder="1" applyAlignment="1">
      <alignment vertical="center"/>
    </xf>
    <xf numFmtId="3" fontId="14" fillId="9" borderId="5" xfId="1" applyNumberFormat="1" applyFont="1" applyFill="1" applyBorder="1" applyAlignment="1">
      <alignment vertical="center"/>
    </xf>
    <xf numFmtId="10" fontId="2" fillId="0" borderId="5" xfId="1" applyNumberFormat="1" applyBorder="1" applyAlignment="1">
      <alignment vertical="center"/>
    </xf>
    <xf numFmtId="0" fontId="4" fillId="3" borderId="0" xfId="5" applyFill="1">
      <alignment vertical="center"/>
    </xf>
    <xf numFmtId="0" fontId="4" fillId="0" borderId="0" xfId="5">
      <alignment vertical="center"/>
    </xf>
    <xf numFmtId="0" fontId="4" fillId="0" borderId="5" xfId="5" applyBorder="1">
      <alignment vertical="center"/>
    </xf>
    <xf numFmtId="0" fontId="18" fillId="7" borderId="8" xfId="5" applyFont="1" applyFill="1" applyBorder="1" applyAlignment="1">
      <alignment horizontal="centerContinuous" vertical="center"/>
    </xf>
    <xf numFmtId="0" fontId="17" fillId="7" borderId="7" xfId="5" applyFont="1" applyFill="1" applyBorder="1" applyAlignment="1">
      <alignment horizontal="centerContinuous" vertical="center"/>
    </xf>
    <xf numFmtId="10" fontId="4" fillId="0" borderId="0" xfId="5" applyNumberFormat="1">
      <alignment vertical="center"/>
    </xf>
    <xf numFmtId="9" fontId="4" fillId="0" borderId="0" xfId="6" applyFont="1" applyAlignment="1">
      <alignment vertical="center"/>
    </xf>
    <xf numFmtId="10" fontId="4" fillId="0" borderId="0" xfId="6" applyNumberFormat="1" applyFont="1" applyAlignment="1">
      <alignment vertical="center"/>
    </xf>
    <xf numFmtId="172" fontId="4" fillId="0" borderId="0" xfId="5" applyNumberFormat="1">
      <alignment vertical="center"/>
    </xf>
    <xf numFmtId="0" fontId="4" fillId="10" borderId="0" xfId="5" applyFill="1">
      <alignment vertical="center"/>
    </xf>
    <xf numFmtId="0" fontId="4" fillId="4" borderId="0" xfId="5" applyFill="1">
      <alignment vertical="center"/>
    </xf>
    <xf numFmtId="0" fontId="4" fillId="11" borderId="0" xfId="5" applyFill="1">
      <alignment vertical="center"/>
    </xf>
    <xf numFmtId="0" fontId="4" fillId="12" borderId="0" xfId="5" applyFill="1">
      <alignment vertical="center"/>
    </xf>
    <xf numFmtId="0" fontId="4" fillId="0" borderId="0" xfId="1" applyFont="1" applyAlignment="1">
      <alignment vertical="center"/>
    </xf>
    <xf numFmtId="0" fontId="4" fillId="0" borderId="5" xfId="1" applyFont="1" applyBorder="1" applyAlignment="1">
      <alignment vertical="center"/>
    </xf>
    <xf numFmtId="0" fontId="17" fillId="0" borderId="0" xfId="5" applyFont="1" applyAlignment="1">
      <alignment horizontal="centerContinuous" vertical="center"/>
    </xf>
    <xf numFmtId="0" fontId="18" fillId="0" borderId="0" xfId="5" applyFont="1" applyAlignment="1">
      <alignment horizontal="centerContinuous" vertical="center"/>
    </xf>
    <xf numFmtId="0" fontId="14" fillId="0" borderId="0" xfId="5" applyFont="1" applyAlignment="1">
      <alignment horizontal="centerContinuous" vertical="center"/>
    </xf>
    <xf numFmtId="0" fontId="4" fillId="0" borderId="0" xfId="5" applyAlignment="1">
      <alignment horizontal="centerContinuous" vertical="center"/>
    </xf>
    <xf numFmtId="0" fontId="4" fillId="0" borderId="0" xfId="4" applyAlignment="1">
      <alignment vertical="center"/>
    </xf>
    <xf numFmtId="0" fontId="6" fillId="0" borderId="0" xfId="0" applyFont="1"/>
    <xf numFmtId="37" fontId="4" fillId="0" borderId="0" xfId="4" applyNumberFormat="1" applyAlignment="1">
      <alignment vertical="center"/>
    </xf>
    <xf numFmtId="3" fontId="4" fillId="0" borderId="0" xfId="4" applyNumberFormat="1" applyAlignment="1">
      <alignment vertical="center"/>
    </xf>
    <xf numFmtId="0" fontId="14" fillId="0" borderId="0" xfId="4" applyFont="1" applyAlignment="1">
      <alignment vertical="center"/>
    </xf>
    <xf numFmtId="0" fontId="14" fillId="0" borderId="5" xfId="4" applyFont="1" applyBorder="1" applyAlignment="1">
      <alignment horizontal="center" vertical="center"/>
    </xf>
    <xf numFmtId="0" fontId="14" fillId="0" borderId="5" xfId="4" applyFont="1" applyBorder="1" applyAlignment="1">
      <alignment vertical="center"/>
    </xf>
    <xf numFmtId="3" fontId="4" fillId="0" borderId="5" xfId="4" applyNumberFormat="1" applyBorder="1" applyAlignment="1">
      <alignment vertical="center"/>
    </xf>
    <xf numFmtId="37" fontId="4" fillId="0" borderId="5" xfId="4" applyNumberFormat="1" applyBorder="1" applyAlignment="1">
      <alignment vertical="center"/>
    </xf>
    <xf numFmtId="10" fontId="4" fillId="0" borderId="5" xfId="4" applyNumberFormat="1" applyBorder="1" applyAlignment="1">
      <alignment vertical="center"/>
    </xf>
    <xf numFmtId="1" fontId="4" fillId="0" borderId="5" xfId="4" applyNumberFormat="1" applyBorder="1" applyAlignment="1">
      <alignment horizontal="center" vertical="center"/>
    </xf>
    <xf numFmtId="49" fontId="4" fillId="0" borderId="0" xfId="1" applyNumberFormat="1" applyFont="1" applyAlignment="1">
      <alignment vertical="center"/>
    </xf>
    <xf numFmtId="49" fontId="24" fillId="0" borderId="0" xfId="1" applyNumberFormat="1" applyFont="1" applyAlignment="1">
      <alignment horizontal="right" vertical="center"/>
    </xf>
    <xf numFmtId="49" fontId="24" fillId="0" borderId="6" xfId="1" applyNumberFormat="1" applyFont="1" applyBorder="1" applyAlignment="1">
      <alignment vertical="center"/>
    </xf>
    <xf numFmtId="0" fontId="6" fillId="0" borderId="0" xfId="4" applyFont="1"/>
    <xf numFmtId="164" fontId="25" fillId="0" borderId="4" xfId="3" applyNumberFormat="1" applyFont="1" applyBorder="1" applyAlignment="1">
      <alignment horizontal="right"/>
    </xf>
    <xf numFmtId="0" fontId="4" fillId="0" borderId="0" xfId="4"/>
    <xf numFmtId="0" fontId="26" fillId="0" borderId="0" xfId="4" applyFont="1" applyAlignment="1">
      <alignment vertical="center"/>
    </xf>
    <xf numFmtId="0" fontId="4" fillId="13" borderId="0" xfId="4" applyFill="1" applyAlignment="1">
      <alignment horizontal="left"/>
    </xf>
    <xf numFmtId="164" fontId="25" fillId="0" borderId="0" xfId="3" applyNumberFormat="1" applyFont="1" applyBorder="1" applyAlignment="1">
      <alignment horizontal="right"/>
    </xf>
    <xf numFmtId="10" fontId="4" fillId="0" borderId="0" xfId="4" applyNumberFormat="1" applyAlignment="1">
      <alignment vertical="center"/>
    </xf>
    <xf numFmtId="0" fontId="4" fillId="14" borderId="4" xfId="4" applyFill="1" applyBorder="1" applyAlignment="1">
      <alignment horizontal="center" vertical="center" wrapText="1"/>
    </xf>
    <xf numFmtId="0" fontId="27" fillId="15" borderId="4" xfId="4" applyFont="1" applyFill="1" applyBorder="1" applyAlignment="1">
      <alignment horizontal="center" vertical="center" wrapText="1"/>
    </xf>
    <xf numFmtId="0" fontId="27" fillId="16" borderId="4" xfId="4" applyFont="1" applyFill="1" applyBorder="1" applyAlignment="1">
      <alignment horizontal="center" vertical="center" wrapText="1"/>
    </xf>
    <xf numFmtId="0" fontId="27" fillId="0" borderId="9" xfId="4" applyFont="1" applyBorder="1" applyAlignment="1">
      <alignment horizontal="center" vertical="center" wrapText="1"/>
    </xf>
    <xf numFmtId="0" fontId="28" fillId="0" borderId="0" xfId="4" applyFont="1" applyAlignment="1">
      <alignment vertical="center"/>
    </xf>
    <xf numFmtId="0" fontId="27" fillId="2" borderId="4" xfId="4" applyFont="1" applyFill="1" applyBorder="1" applyAlignment="1">
      <alignment horizontal="center"/>
    </xf>
    <xf numFmtId="173" fontId="27" fillId="0" borderId="4" xfId="2" applyNumberFormat="1" applyFont="1" applyBorder="1" applyAlignment="1">
      <alignment horizontal="right"/>
    </xf>
    <xf numFmtId="173" fontId="27" fillId="0" borderId="9" xfId="2" applyNumberFormat="1" applyFont="1" applyFill="1" applyBorder="1" applyAlignment="1">
      <alignment horizontal="right"/>
    </xf>
    <xf numFmtId="0" fontId="31" fillId="0" borderId="0" xfId="4" applyFont="1" applyAlignment="1">
      <alignment horizontal="right"/>
    </xf>
    <xf numFmtId="0" fontId="32" fillId="14" borderId="4" xfId="4" applyFont="1" applyFill="1" applyBorder="1" applyAlignment="1">
      <alignment horizontal="left"/>
    </xf>
    <xf numFmtId="173" fontId="27" fillId="0" borderId="10" xfId="2" applyNumberFormat="1" applyFont="1" applyBorder="1" applyAlignment="1">
      <alignment horizontal="right"/>
    </xf>
    <xf numFmtId="164" fontId="33" fillId="0" borderId="0" xfId="3" applyNumberFormat="1" applyFont="1" applyFill="1" applyBorder="1" applyAlignment="1">
      <alignment horizontal="right"/>
    </xf>
    <xf numFmtId="0" fontId="34" fillId="0" borderId="0" xfId="4" quotePrefix="1" applyFont="1"/>
    <xf numFmtId="164" fontId="33" fillId="2" borderId="4" xfId="3" applyNumberFormat="1" applyFont="1" applyFill="1" applyBorder="1" applyAlignment="1">
      <alignment horizontal="right"/>
    </xf>
    <xf numFmtId="164" fontId="33" fillId="2" borderId="10" xfId="3" applyNumberFormat="1" applyFont="1" applyFill="1" applyBorder="1" applyAlignment="1">
      <alignment horizontal="right"/>
    </xf>
    <xf numFmtId="164" fontId="4" fillId="0" borderId="0" xfId="3" applyNumberFormat="1" applyFont="1"/>
    <xf numFmtId="174" fontId="27" fillId="2" borderId="4" xfId="2" applyNumberFormat="1" applyFont="1" applyFill="1" applyBorder="1" applyAlignment="1">
      <alignment horizontal="center"/>
    </xf>
    <xf numFmtId="174" fontId="27" fillId="2" borderId="9" xfId="2" applyNumberFormat="1" applyFont="1" applyFill="1" applyBorder="1" applyAlignment="1">
      <alignment horizontal="center"/>
    </xf>
    <xf numFmtId="175" fontId="4" fillId="0" borderId="0" xfId="4" applyNumberFormat="1"/>
    <xf numFmtId="176" fontId="4" fillId="0" borderId="0" xfId="4" applyNumberFormat="1"/>
    <xf numFmtId="164" fontId="4" fillId="0" borderId="0" xfId="4" applyNumberFormat="1"/>
    <xf numFmtId="176" fontId="6" fillId="0" borderId="0" xfId="4" applyNumberFormat="1" applyFont="1"/>
    <xf numFmtId="0" fontId="6" fillId="0" borderId="5" xfId="4" applyFont="1" applyBorder="1"/>
    <xf numFmtId="9" fontId="6" fillId="0" borderId="5" xfId="4" applyNumberFormat="1" applyFont="1" applyBorder="1"/>
    <xf numFmtId="0" fontId="6" fillId="0" borderId="6" xfId="4" applyFont="1" applyBorder="1"/>
    <xf numFmtId="164" fontId="4" fillId="0" borderId="5" xfId="4" applyNumberFormat="1" applyBorder="1"/>
    <xf numFmtId="176" fontId="4" fillId="0" borderId="5" xfId="4" applyNumberFormat="1" applyBorder="1"/>
    <xf numFmtId="176" fontId="6" fillId="0" borderId="6" xfId="4" applyNumberFormat="1" applyFont="1" applyBorder="1"/>
    <xf numFmtId="0" fontId="13" fillId="0" borderId="0" xfId="0" applyFont="1" applyAlignment="1">
      <alignment horizontal="left" vertical="center"/>
    </xf>
    <xf numFmtId="164" fontId="25" fillId="0" borderId="4" xfId="3" applyNumberFormat="1" applyFont="1" applyFill="1" applyBorder="1" applyAlignment="1">
      <alignment horizontal="right"/>
    </xf>
    <xf numFmtId="0" fontId="4" fillId="0" borderId="0" xfId="4" applyAlignment="1">
      <alignment horizontal="left"/>
    </xf>
    <xf numFmtId="164" fontId="25" fillId="0" borderId="0" xfId="3" applyNumberFormat="1" applyFont="1" applyFill="1" applyBorder="1" applyAlignment="1">
      <alignment horizontal="right"/>
    </xf>
    <xf numFmtId="0" fontId="4" fillId="0" borderId="4" xfId="4" applyBorder="1" applyAlignment="1">
      <alignment horizontal="center" vertical="center" wrapText="1"/>
    </xf>
    <xf numFmtId="0" fontId="27" fillId="0" borderId="4" xfId="4" applyFont="1" applyBorder="1" applyAlignment="1">
      <alignment horizontal="center" vertical="center" wrapText="1"/>
    </xf>
    <xf numFmtId="0" fontId="27" fillId="0" borderId="4" xfId="4" applyFont="1" applyBorder="1" applyAlignment="1">
      <alignment horizontal="center"/>
    </xf>
    <xf numFmtId="173" fontId="27" fillId="0" borderId="4" xfId="2" applyNumberFormat="1" applyFont="1" applyFill="1" applyBorder="1" applyAlignment="1">
      <alignment horizontal="right"/>
    </xf>
    <xf numFmtId="0" fontId="32" fillId="0" borderId="4" xfId="4" applyFont="1" applyBorder="1" applyAlignment="1">
      <alignment horizontal="left"/>
    </xf>
    <xf numFmtId="173" fontId="27" fillId="0" borderId="10" xfId="2" applyNumberFormat="1" applyFont="1" applyFill="1" applyBorder="1" applyAlignment="1">
      <alignment horizontal="right"/>
    </xf>
    <xf numFmtId="164" fontId="33" fillId="0" borderId="4" xfId="3" applyNumberFormat="1" applyFont="1" applyFill="1" applyBorder="1" applyAlignment="1">
      <alignment horizontal="right"/>
    </xf>
    <xf numFmtId="164" fontId="33" fillId="0" borderId="10" xfId="3" applyNumberFormat="1" applyFont="1" applyFill="1" applyBorder="1" applyAlignment="1">
      <alignment horizontal="right"/>
    </xf>
    <xf numFmtId="164" fontId="4" fillId="0" borderId="0" xfId="3" applyNumberFormat="1" applyFont="1" applyFill="1"/>
    <xf numFmtId="174" fontId="27" fillId="0" borderId="4" xfId="2" applyNumberFormat="1" applyFont="1" applyFill="1" applyBorder="1" applyAlignment="1">
      <alignment horizontal="center"/>
    </xf>
    <xf numFmtId="174" fontId="27" fillId="0" borderId="9" xfId="2" applyNumberFormat="1" applyFont="1" applyFill="1" applyBorder="1" applyAlignment="1">
      <alignment horizontal="center"/>
    </xf>
    <xf numFmtId="0" fontId="4" fillId="13" borderId="4" xfId="4" applyFill="1" applyBorder="1" applyAlignment="1">
      <alignment horizontal="left"/>
    </xf>
    <xf numFmtId="0" fontId="4" fillId="13" borderId="4" xfId="4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4" fillId="0" borderId="4" xfId="4" applyBorder="1" applyAlignment="1">
      <alignment horizontal="left"/>
    </xf>
    <xf numFmtId="0" fontId="4" fillId="0" borderId="4" xfId="4" applyBorder="1" applyAlignment="1">
      <alignment horizontal="center" vertical="center"/>
    </xf>
    <xf numFmtId="173" fontId="27" fillId="0" borderId="11" xfId="2" applyNumberFormat="1" applyFont="1" applyFill="1" applyBorder="1" applyAlignment="1">
      <alignment horizontal="right"/>
    </xf>
  </cellXfs>
  <cellStyles count="7">
    <cellStyle name="Millares 2" xfId="2" xr:uid="{6B905CB1-8E35-4DEB-B8BC-E65B39EF9106}"/>
    <cellStyle name="Normal" xfId="0" builtinId="0"/>
    <cellStyle name="Normal 2" xfId="1" xr:uid="{06AA57F8-243F-4E13-9E8F-19BC07713D4A}"/>
    <cellStyle name="Normal 2 2" xfId="4" xr:uid="{69D6223D-6C99-400F-92C8-F8F8CA75703E}"/>
    <cellStyle name="Normal 2 3" xfId="5" xr:uid="{706F8516-3717-4D2F-8FB8-1BCBA98C206C}"/>
    <cellStyle name="Porcentaje 2" xfId="3" xr:uid="{3713B8A6-086B-4EEC-B1DA-C9D46E0DF77A}"/>
    <cellStyle name="Porcentaje 3" xfId="6" xr:uid="{E1F557EC-DDCB-4CC3-BF25-603DF33DBF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45969</xdr:colOff>
      <xdr:row>8</xdr:row>
      <xdr:rowOff>62947</xdr:rowOff>
    </xdr:from>
    <xdr:to>
      <xdr:col>15</xdr:col>
      <xdr:colOff>207894</xdr:colOff>
      <xdr:row>30</xdr:row>
      <xdr:rowOff>72473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3EBCB73-A01E-4ED5-AAF2-C494F091A5E0}"/>
            </a:ext>
          </a:extLst>
        </xdr:cNvPr>
        <xdr:cNvSpPr/>
      </xdr:nvSpPr>
      <xdr:spPr>
        <a:xfrm>
          <a:off x="6141969" y="2199860"/>
          <a:ext cx="5495925" cy="448213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a). </a:t>
          </a:r>
        </a:p>
        <a:p>
          <a:pPr algn="l"/>
          <a:r>
            <a:rPr lang="es-PE" sz="1100" b="1"/>
            <a:t>TEA = </a:t>
          </a:r>
          <a:r>
            <a:rPr lang="es-PE" sz="1100" b="0"/>
            <a:t>(1+11%/360)^360 - 1 = 11.626%</a:t>
          </a:r>
        </a:p>
        <a:p>
          <a:pPr algn="l"/>
          <a:r>
            <a:rPr lang="es-PE" sz="1100" b="1"/>
            <a:t>VAN (Anderson) =</a:t>
          </a:r>
          <a:r>
            <a:rPr lang="es-PE" sz="1100"/>
            <a:t> 19,000</a:t>
          </a:r>
          <a:r>
            <a:rPr lang="es-PE" sz="1100" baseline="0"/>
            <a:t> / (1+11.626%)^1 + 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(1+11.626%)^2 + 23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(1+11.626%)^3 + 25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(1+11.626%)^4 - 63,000 = </a:t>
          </a: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3,512.67.</a:t>
          </a:r>
          <a:b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Sacar con anualidad si los flujos son iguales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VAN (Birmania) =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24,000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((1-(1+11.626%)^-4)/11.626%) - 70,000 = </a:t>
          </a: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3,474.43.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Opto por el mayor VAN "Anderson".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(1+TIR)^1 + 21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(1+TIR)^2 + 23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(1+TIR)^3 + 25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(1+TIR)^4 - 63,000 =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TIR (Anderson)= 14.11%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PRD (Anderson)</a:t>
          </a:r>
          <a:r>
            <a:rPr lang="es-P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3 - (-12,589.32)/16,101.99 = 3.782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B/C (Anderson) = (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(1+11.626%)^1 + 21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(1+11.626%)^2 + 23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(1+11.626%)^3 + 25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(1+11.626%)^4) </a:t>
          </a:r>
          <a:r>
            <a:rPr lang="es-P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63,000 = 1.056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c). </a:t>
          </a:r>
        </a:p>
        <a:p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 = </a:t>
          </a:r>
          <a:r>
            <a:rPr lang="es-P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(1+10%/360)^360 - 1 = 10.516%</a:t>
          </a:r>
          <a:endParaRPr lang="es-PE">
            <a:effectLst/>
          </a:endParaRPr>
        </a:p>
        <a:p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VAN (Anderson) =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19,000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(1+10.516%)^1 + 21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(1+10.516%)^2 + 23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(1+10.516%)^3 + 25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(1+10.516%)^4 - 63,000 = </a:t>
          </a: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5,184.43.</a:t>
          </a:r>
          <a:endParaRPr lang="es-PE">
            <a:effectLst/>
          </a:endParaRPr>
        </a:p>
        <a:p>
          <a:pPr eaLnBrk="1" fontAlgn="auto" latinLnBrk="0" hangingPunct="1"/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VAN (Birmania) =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24,000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((1-(1+10.516%)^-4)/10.516%) - 70,000 = </a:t>
          </a: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5,235.44.</a:t>
          </a:r>
          <a:endParaRPr lang="es-PE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b="1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Opto por el mayor VAN "Birmania".</a:t>
          </a:r>
          <a:endParaRPr lang="es-PE">
            <a:effectLst/>
          </a:endParaRPr>
        </a:p>
        <a:p>
          <a:pPr algn="l"/>
          <a:endParaRPr lang="es-P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P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PE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112568</xdr:rowOff>
    </xdr:from>
    <xdr:to>
      <xdr:col>9</xdr:col>
      <xdr:colOff>95250</xdr:colOff>
      <xdr:row>10</xdr:row>
      <xdr:rowOff>86591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9770B99-25DC-4DEE-AD96-4F1B6373F308}"/>
            </a:ext>
          </a:extLst>
        </xdr:cNvPr>
        <xdr:cNvSpPr txBox="1">
          <a:spLocks noChangeArrowheads="1"/>
        </xdr:cNvSpPr>
      </xdr:nvSpPr>
      <xdr:spPr bwMode="auto">
        <a:xfrm>
          <a:off x="381000" y="43222718"/>
          <a:ext cx="7715250" cy="1269423"/>
        </a:xfrm>
        <a:prstGeom prst="rect">
          <a:avLst/>
        </a:prstGeom>
        <a:solidFill>
          <a:srgbClr val="FFFFCD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s-PE" sz="1000" b="0" i="0" u="none" strike="noStrike" baseline="0">
              <a:solidFill>
                <a:srgbClr val="000000"/>
              </a:solidFill>
              <a:effectLst/>
              <a:latin typeface="Arial"/>
              <a:ea typeface="+mn-ea"/>
              <a:cs typeface="Arial"/>
            </a:rPr>
            <a:t>Para la compra de 2 equipos se tienen las siguientes alternativas:</a:t>
          </a: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000000"/>
              </a:solidFill>
              <a:effectLst/>
              <a:latin typeface="Arial"/>
              <a:ea typeface="+mn-ea"/>
              <a:cs typeface="Arial"/>
            </a:rPr>
            <a:t>- Equipo 1: </a:t>
          </a:r>
          <a:r>
            <a:rPr lang="es-PE" sz="1000" b="0" i="0" u="none" strike="noStrike" baseline="0">
              <a:solidFill>
                <a:srgbClr val="000000"/>
              </a:solidFill>
              <a:effectLst/>
              <a:latin typeface="Arial"/>
              <a:ea typeface="+mn-ea"/>
              <a:cs typeface="Arial"/>
            </a:rPr>
            <a:t>Costo de $900K, mantenimiento anual $30K, mano de obra anual $220K y valor de salvataje de $90K, teniendo una vida útil promedio de 4 años.</a:t>
          </a:r>
        </a:p>
        <a:p>
          <a:pPr rtl="0"/>
          <a:r>
            <a:rPr lang="es-PE" sz="1100" b="1" i="0" baseline="0">
              <a:effectLst/>
              <a:latin typeface="+mn-lt"/>
              <a:ea typeface="+mn-ea"/>
              <a:cs typeface="+mn-cs"/>
            </a:rPr>
            <a:t>- Equipo 2: </a:t>
          </a:r>
          <a:r>
            <a:rPr lang="es-PE" sz="1100" b="0" i="0" baseline="0">
              <a:effectLst/>
              <a:latin typeface="+mn-lt"/>
              <a:ea typeface="+mn-ea"/>
              <a:cs typeface="+mn-cs"/>
            </a:rPr>
            <a:t>Costo de $900K, mantenimiento anual $50K, mano de obra anual $130K, gastos indirectos de fabricación anual de $50K y valor de salvataje de $125K, teniendo una vida útil promedio de 7 años.</a:t>
          </a:r>
          <a:endParaRPr lang="es-PE" sz="1000">
            <a:effectLst/>
          </a:endParaRPr>
        </a:p>
        <a:p>
          <a:pPr rtl="0"/>
          <a:r>
            <a:rPr lang="es-PE" sz="1100" b="0" i="0" baseline="0">
              <a:effectLst/>
              <a:latin typeface="+mn-lt"/>
              <a:ea typeface="+mn-ea"/>
              <a:cs typeface="+mn-cs"/>
            </a:rPr>
            <a:t>Si la tasa de descuento de la empresa es de 29% efectiva anual (TEA), ¿Qué método utilizaría y qué equipo elegiría?</a:t>
          </a:r>
          <a:endParaRPr lang="es-PE" sz="1000">
            <a:effectLst/>
          </a:endParaRPr>
        </a:p>
      </xdr:txBody>
    </xdr:sp>
    <xdr:clientData/>
  </xdr:twoCellAnchor>
  <xdr:twoCellAnchor>
    <xdr:from>
      <xdr:col>3</xdr:col>
      <xdr:colOff>66675</xdr:colOff>
      <xdr:row>23</xdr:row>
      <xdr:rowOff>142875</xdr:rowOff>
    </xdr:from>
    <xdr:to>
      <xdr:col>5</xdr:col>
      <xdr:colOff>542925</xdr:colOff>
      <xdr:row>25</xdr:row>
      <xdr:rowOff>151483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EA9643F-CCF5-41E0-A6EE-8AA7F51B0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5" y="46710600"/>
          <a:ext cx="2057400" cy="332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76200</xdr:colOff>
      <xdr:row>40</xdr:row>
      <xdr:rowOff>0</xdr:rowOff>
    </xdr:from>
    <xdr:to>
      <xdr:col>5</xdr:col>
      <xdr:colOff>552450</xdr:colOff>
      <xdr:row>42</xdr:row>
      <xdr:rowOff>8608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43515F-3D99-465D-89FC-4BD49B5FA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49415700"/>
          <a:ext cx="2057400" cy="332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355022</xdr:colOff>
      <xdr:row>49</xdr:row>
      <xdr:rowOff>86591</xdr:rowOff>
    </xdr:from>
    <xdr:to>
      <xdr:col>9</xdr:col>
      <xdr:colOff>189633</xdr:colOff>
      <xdr:row>55</xdr:row>
      <xdr:rowOff>71005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4F7D8852-FE4B-4BF1-86F9-CBB40786B2BB}"/>
            </a:ext>
          </a:extLst>
        </xdr:cNvPr>
        <xdr:cNvSpPr txBox="1">
          <a:spLocks noChangeArrowheads="1"/>
        </xdr:cNvSpPr>
      </xdr:nvSpPr>
      <xdr:spPr bwMode="auto">
        <a:xfrm>
          <a:off x="355022" y="15078941"/>
          <a:ext cx="7978486" cy="955964"/>
        </a:xfrm>
        <a:prstGeom prst="rect">
          <a:avLst/>
        </a:prstGeom>
        <a:solidFill>
          <a:srgbClr val="FFFFCD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La construcción de un vívero municipal tiene las siguientes posibilidades:</a:t>
          </a:r>
        </a:p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Posibilidad 1: inversión de S/ 12,000 y tiempo de vida útil 3 años.</a:t>
          </a:r>
        </a:p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Posibilidad 2: inversión inicial de S/ 20,000, tiempo vida útil 7 años y </a:t>
          </a:r>
          <a:r>
            <a:rPr lang="es-P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renovación</a:t>
          </a: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de la inversión por S/ 10,000.</a:t>
          </a:r>
        </a:p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Si la tasa de rendimiento es de 32% TEA, ¿cuál es la posiblidad más económica?</a:t>
          </a:r>
        </a:p>
      </xdr:txBody>
    </xdr:sp>
    <xdr:clientData/>
  </xdr:twoCellAnchor>
  <xdr:twoCellAnchor>
    <xdr:from>
      <xdr:col>3</xdr:col>
      <xdr:colOff>60614</xdr:colOff>
      <xdr:row>72</xdr:row>
      <xdr:rowOff>8658</xdr:rowOff>
    </xdr:from>
    <xdr:to>
      <xdr:col>6</xdr:col>
      <xdr:colOff>467592</xdr:colOff>
      <xdr:row>74</xdr:row>
      <xdr:rowOff>8659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D68D538-DF27-492C-8D54-F836902ED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8664" y="18753858"/>
          <a:ext cx="2702503" cy="323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69273</xdr:colOff>
      <xdr:row>84</xdr:row>
      <xdr:rowOff>0</xdr:rowOff>
    </xdr:from>
    <xdr:to>
      <xdr:col>6</xdr:col>
      <xdr:colOff>476251</xdr:colOff>
      <xdr:row>86</xdr:row>
      <xdr:rowOff>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4A7BBCF-82D3-4530-BDB1-DC8EFACA4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323" y="20716875"/>
          <a:ext cx="2702503" cy="323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9</xdr:col>
      <xdr:colOff>95250</xdr:colOff>
      <xdr:row>103</xdr:row>
      <xdr:rowOff>133350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361389E5-3C72-43C5-B833-9E7ABD3A14A8}"/>
            </a:ext>
          </a:extLst>
        </xdr:cNvPr>
        <xdr:cNvSpPr txBox="1">
          <a:spLocks noChangeArrowheads="1"/>
        </xdr:cNvSpPr>
      </xdr:nvSpPr>
      <xdr:spPr bwMode="auto">
        <a:xfrm>
          <a:off x="762000" y="32108775"/>
          <a:ext cx="7991475" cy="1752600"/>
        </a:xfrm>
        <a:prstGeom prst="rect">
          <a:avLst/>
        </a:prstGeom>
        <a:solidFill>
          <a:srgbClr val="FFFFCD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Un proyecto necesita de una inversión inicial de S/. 250,000.00 y costos anuales de S/. 12,000.00 durante los primeros cinco años y a partir del sexto año S/. 18,000.00 de manera indefinida. Además, se necesitará una inversión adicional para capital de trabajo por S/. 100,000.00 al final del quinto año y mantenimiento cada 10 años por S/. 50,000.00, comenzando en el año 15. Si la tasa de descuento del proyecto es 7% efectiva anual (TEA). ¿Cuál es el costo capitalizado para el proyecto? </a:t>
          </a:r>
        </a:p>
        <a:p>
          <a:endParaRPr lang="es-PE" sz="1100" b="0" i="0" u="none" strike="noStrike" baseline="0">
            <a:latin typeface="+mn-lt"/>
            <a:ea typeface="+mn-ea"/>
            <a:cs typeface="+mn-cs"/>
          </a:endParaRPr>
        </a:p>
        <a:p>
          <a:r>
            <a:rPr lang="es-PE" sz="1100" b="1" i="0" u="none" strike="noStrike" baseline="0">
              <a:latin typeface="+mn-lt"/>
              <a:ea typeface="+mn-ea"/>
              <a:cs typeface="+mn-cs"/>
            </a:rPr>
            <a:t>Nota.- </a:t>
          </a:r>
          <a:r>
            <a:rPr lang="es-PE" sz="1100" b="0" i="0" u="none" strike="noStrike" baseline="0">
              <a:latin typeface="+mn-lt"/>
              <a:ea typeface="+mn-ea"/>
              <a:cs typeface="+mn-cs"/>
            </a:rPr>
            <a:t>Deberá sustentar y justificar todos y cada uno de sus resultados, con el uso de las fórmulas y datos apropiados, debiendo consignar inclusive los cálculos intermedios/parciales que lo lleven al resultado, de lo contrario, la nota asignada será </a:t>
          </a:r>
          <a:r>
            <a:rPr lang="es-PE" sz="1100" b="1" i="0" u="none" strike="noStrike" baseline="0">
              <a:latin typeface="+mn-lt"/>
              <a:ea typeface="+mn-ea"/>
              <a:cs typeface="+mn-cs"/>
            </a:rPr>
            <a:t>CERO</a:t>
          </a:r>
          <a:r>
            <a:rPr lang="es-PE" sz="1100" b="0" i="0" u="none" strike="noStrike" baseline="0">
              <a:latin typeface="+mn-lt"/>
              <a:ea typeface="+mn-ea"/>
              <a:cs typeface="+mn-cs"/>
            </a:rPr>
            <a:t>. </a:t>
          </a:r>
          <a:endParaRPr lang="es-P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108</xdr:row>
      <xdr:rowOff>161924</xdr:rowOff>
    </xdr:from>
    <xdr:to>
      <xdr:col>9</xdr:col>
      <xdr:colOff>95250</xdr:colOff>
      <xdr:row>141</xdr:row>
      <xdr:rowOff>142875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B40F18F1-DE93-4EFA-8D1A-700F4A7F03E7}"/>
            </a:ext>
          </a:extLst>
        </xdr:cNvPr>
        <xdr:cNvSpPr txBox="1">
          <a:spLocks noChangeArrowheads="1"/>
        </xdr:cNvSpPr>
      </xdr:nvSpPr>
      <xdr:spPr bwMode="auto">
        <a:xfrm>
          <a:off x="762000" y="34556699"/>
          <a:ext cx="7991475" cy="5324476"/>
        </a:xfrm>
        <a:prstGeom prst="rect">
          <a:avLst/>
        </a:prstGeom>
        <a:solidFill>
          <a:srgbClr val="FFFFCD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r>
            <a:rPr lang="es-PE" sz="1100" b="1" i="0" u="none" strike="noStrike" baseline="0">
              <a:latin typeface="+mn-lt"/>
              <a:ea typeface="+mn-ea"/>
              <a:cs typeface="+mn-cs"/>
            </a:rPr>
            <a:t>LA COLONIAL FABRICA DE HILOS S.A.</a:t>
          </a:r>
          <a:r>
            <a:rPr lang="es-PE" sz="1100" b="0" i="0" u="none" strike="noStrike" baseline="0">
              <a:latin typeface="+mn-lt"/>
              <a:ea typeface="+mn-ea"/>
              <a:cs typeface="+mn-cs"/>
            </a:rPr>
            <a:t>, desea adquirir una planta de procesamiento de agua. Luego de un estudio de las alternativas existentes en el mercado local, ha decidido examinar las siguientes alternativas: </a:t>
          </a:r>
        </a:p>
        <a:p>
          <a:endParaRPr lang="es-PE" sz="1100" b="0" i="0" u="none" strike="noStrike" baseline="0">
            <a:latin typeface="+mn-lt"/>
            <a:ea typeface="+mn-ea"/>
            <a:cs typeface="+mn-cs"/>
          </a:endParaRPr>
        </a:p>
        <a:p>
          <a:r>
            <a:rPr lang="es-PE" sz="1100" b="1" i="0" u="none" strike="noStrike" baseline="0">
              <a:latin typeface="+mn-lt"/>
              <a:ea typeface="+mn-ea"/>
              <a:cs typeface="+mn-cs"/>
            </a:rPr>
            <a:t>Alternativa 1: </a:t>
          </a:r>
          <a:r>
            <a:rPr lang="es-PE" sz="1100" b="0" i="0" u="none" strike="noStrike" baseline="0">
              <a:latin typeface="+mn-lt"/>
              <a:ea typeface="+mn-ea"/>
              <a:cs typeface="+mn-cs"/>
            </a:rPr>
            <a:t>Adquirir un equipo de manufactura a medida, el cual incluye a los siguientes costos proyectados: </a:t>
          </a: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✓ Compra del equipo por un monto de US$ 87,700.00. </a:t>
          </a: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✓ Costo de mantenimiento anual por US$ 3,200.00. </a:t>
          </a: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✓ Costo de mano de obra anual por US$ 14,500.00. </a:t>
          </a: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✓ Gastos indirectos anuales por US$ 5,200.00. </a:t>
          </a: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✓ A la finalización del plazo de 7 años, deberá darle de baja al equipo y se estima que podría recibir como valor de salvataje US$ 14,200.00. </a:t>
          </a:r>
        </a:p>
        <a:p>
          <a:endParaRPr lang="es-PE" sz="1100" b="0" i="0" u="none" strike="noStrike" baseline="0">
            <a:latin typeface="+mn-lt"/>
            <a:ea typeface="+mn-ea"/>
            <a:cs typeface="+mn-cs"/>
          </a:endParaRPr>
        </a:p>
        <a:p>
          <a:r>
            <a:rPr lang="es-PE" sz="1100" b="1" i="0" u="none" strike="noStrike" baseline="0">
              <a:latin typeface="+mn-lt"/>
              <a:ea typeface="+mn-ea"/>
              <a:cs typeface="+mn-cs"/>
            </a:rPr>
            <a:t>Alternativa 2: </a:t>
          </a:r>
          <a:r>
            <a:rPr lang="es-PE" sz="1100" b="0" i="0" u="none" strike="noStrike" baseline="0">
              <a:latin typeface="+mn-lt"/>
              <a:ea typeface="+mn-ea"/>
              <a:cs typeface="+mn-cs"/>
            </a:rPr>
            <a:t>Adquirir un equipo industrial de origen norteamericano, el cual incluye los siguientes costos proyectados: </a:t>
          </a: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✓ Compra del equipo por un monto de US$ 62,300.00. </a:t>
          </a: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✓ Costo de mantenimiento anual por US$ 2,800.00. </a:t>
          </a: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✓ Costo de mano de obra anual por US$ 20,000.00. </a:t>
          </a: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✓ El fabricante sugiere que después de 5 años, el equipo debe ser dado de baja, y estima que podría recibir como valor de salvataje US$ 10,000.00 </a:t>
          </a:r>
        </a:p>
        <a:p>
          <a:endParaRPr lang="es-PE" sz="1100" b="0" i="0" u="none" strike="noStrike" baseline="0">
            <a:latin typeface="+mn-lt"/>
            <a:ea typeface="+mn-ea"/>
            <a:cs typeface="+mn-cs"/>
          </a:endParaRP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Si la tasa de rendimiento más atractiva para los fondos de la empresa es de 10% TNA. Se pide: </a:t>
          </a:r>
        </a:p>
        <a:p>
          <a:endParaRPr lang="es-PE" sz="1100" b="0" i="0" u="none" strike="noStrike" baseline="0">
            <a:latin typeface="+mn-lt"/>
            <a:ea typeface="+mn-ea"/>
            <a:cs typeface="+mn-cs"/>
          </a:endParaRP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a) </a:t>
          </a:r>
          <a:r>
            <a:rPr lang="es-PE" sz="1100" b="1" i="0" u="none" strike="noStrike" baseline="0">
              <a:latin typeface="+mn-lt"/>
              <a:ea typeface="+mn-ea"/>
              <a:cs typeface="+mn-cs"/>
            </a:rPr>
            <a:t>(1.00 punto) </a:t>
          </a:r>
          <a:r>
            <a:rPr lang="es-PE" sz="1100" b="0" i="0" u="none" strike="noStrike" baseline="0">
              <a:latin typeface="+mn-lt"/>
              <a:ea typeface="+mn-ea"/>
              <a:cs typeface="+mn-cs"/>
            </a:rPr>
            <a:t>Aplicando sus amplios conocimientos financieros ¿Cuál es el/los método/s de cálculo que propone aplicar en cada caso para decidir por cuál de las dos opciones debe optar? Explique detalladamente el porqué de su decisión. </a:t>
          </a:r>
        </a:p>
        <a:p>
          <a:endParaRPr lang="es-PE" sz="1100" b="0" i="0" u="none" strike="noStrike" baseline="0">
            <a:latin typeface="+mn-lt"/>
            <a:ea typeface="+mn-ea"/>
            <a:cs typeface="+mn-cs"/>
          </a:endParaRP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b) </a:t>
          </a:r>
          <a:r>
            <a:rPr lang="es-PE" sz="1100" b="1" i="0" u="none" strike="noStrike" baseline="0">
              <a:latin typeface="+mn-lt"/>
              <a:ea typeface="+mn-ea"/>
              <a:cs typeface="+mn-cs"/>
            </a:rPr>
            <a:t>(3.00 puntos) </a:t>
          </a:r>
          <a:r>
            <a:rPr lang="es-PE" sz="1100" b="0" i="0" u="none" strike="noStrike" baseline="0">
              <a:latin typeface="+mn-lt"/>
              <a:ea typeface="+mn-ea"/>
              <a:cs typeface="+mn-cs"/>
            </a:rPr>
            <a:t>Aplicando el/los método/s que seleccionó, ¿Cuál es el valor obtenido para cada una de las opciones analizadas? ¿Con cuál de los dos se quedaría y por qué? </a:t>
          </a:r>
        </a:p>
        <a:p>
          <a:endParaRPr lang="es-PE" sz="1100" b="0" i="0" u="none" strike="noStrike" baseline="0">
            <a:latin typeface="+mn-lt"/>
            <a:ea typeface="+mn-ea"/>
            <a:cs typeface="+mn-cs"/>
          </a:endParaRPr>
        </a:p>
        <a:p>
          <a:r>
            <a:rPr lang="es-PE" sz="1100" b="1" i="0" u="none" strike="noStrike" baseline="0">
              <a:latin typeface="+mn-lt"/>
              <a:ea typeface="+mn-ea"/>
              <a:cs typeface="+mn-cs"/>
            </a:rPr>
            <a:t>Nota.- </a:t>
          </a:r>
          <a:r>
            <a:rPr lang="es-PE" sz="1100" b="0" i="0" u="none" strike="noStrike" baseline="0">
              <a:latin typeface="+mn-lt"/>
              <a:ea typeface="+mn-ea"/>
              <a:cs typeface="+mn-cs"/>
            </a:rPr>
            <a:t>Deberá sustentar y justificar todos y cada uno de sus resultados, con el uso de las fórmulas y datos apropiados, debiendo consignar inclusive los cálculos intermedios/parciales que lo lleven al resultado, de lo contrario, la nota asignada será </a:t>
          </a:r>
          <a:r>
            <a:rPr lang="es-PE" sz="1100" b="1" i="0" u="none" strike="noStrike" baseline="0">
              <a:latin typeface="+mn-lt"/>
              <a:ea typeface="+mn-ea"/>
              <a:cs typeface="+mn-cs"/>
            </a:rPr>
            <a:t>CERO</a:t>
          </a:r>
          <a:r>
            <a:rPr lang="es-PE" sz="1100" b="0" i="0" u="none" strike="noStrike" baseline="0">
              <a:latin typeface="+mn-lt"/>
              <a:ea typeface="+mn-ea"/>
              <a:cs typeface="+mn-cs"/>
            </a:rPr>
            <a:t>. </a:t>
          </a:r>
        </a:p>
        <a:p>
          <a:r>
            <a:rPr lang="es-PE" sz="1100" b="0" i="0" u="none" strike="noStrike" baseline="0">
              <a:latin typeface="+mn-lt"/>
              <a:ea typeface="+mn-ea"/>
              <a:cs typeface="+mn-cs"/>
            </a:rPr>
            <a:t>	</a:t>
          </a:r>
        </a:p>
        <a:p>
          <a:endParaRPr lang="es-PE" sz="1100" b="0" i="0" u="none" strike="noStrike" baseline="0"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0</xdr:colOff>
      <xdr:row>2</xdr:row>
      <xdr:rowOff>2772</xdr:rowOff>
    </xdr:from>
    <xdr:to>
      <xdr:col>18</xdr:col>
      <xdr:colOff>180974</xdr:colOff>
      <xdr:row>8</xdr:row>
      <xdr:rowOff>181133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7174379-2CA6-B1CD-56BC-301E8C70A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8075" y="402822"/>
          <a:ext cx="4086225" cy="132136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505546</xdr:colOff>
      <xdr:row>18</xdr:row>
      <xdr:rowOff>133555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2437B2A-AF2B-A7DE-50AA-F1CE0C493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0" y="2114550"/>
          <a:ext cx="5172797" cy="146705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19</xdr:col>
      <xdr:colOff>534125</xdr:colOff>
      <xdr:row>35</xdr:row>
      <xdr:rowOff>152821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7DDBE1D-A8D7-2D1D-55FA-084E8F84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0" y="3829050"/>
          <a:ext cx="5201376" cy="301984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37</xdr:row>
      <xdr:rowOff>0</xdr:rowOff>
    </xdr:from>
    <xdr:to>
      <xdr:col>19</xdr:col>
      <xdr:colOff>457914</xdr:colOff>
      <xdr:row>44</xdr:row>
      <xdr:rowOff>85924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3B8FA07-990D-1702-1D97-B4DD5179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8000" y="7077075"/>
          <a:ext cx="5125165" cy="1428949"/>
        </a:xfrm>
        <a:prstGeom prst="rect">
          <a:avLst/>
        </a:prstGeom>
      </xdr:spPr>
    </xdr:pic>
    <xdr:clientData/>
  </xdr:twoCellAnchor>
  <xdr:twoCellAnchor>
    <xdr:from>
      <xdr:col>11</xdr:col>
      <xdr:colOff>609600</xdr:colOff>
      <xdr:row>146</xdr:row>
      <xdr:rowOff>95251</xdr:rowOff>
    </xdr:from>
    <xdr:to>
      <xdr:col>19</xdr:col>
      <xdr:colOff>685800</xdr:colOff>
      <xdr:row>163</xdr:row>
      <xdr:rowOff>104776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6EFA381D-52AE-4207-9AD7-4FC4E9505A33}"/>
            </a:ext>
          </a:extLst>
        </xdr:cNvPr>
        <xdr:cNvSpPr/>
      </xdr:nvSpPr>
      <xdr:spPr>
        <a:xfrm>
          <a:off x="10096500" y="676276"/>
          <a:ext cx="5791200" cy="2990850"/>
        </a:xfrm>
        <a:prstGeom prst="rect">
          <a:avLst/>
        </a:prstGeom>
        <a:solidFill>
          <a:sysClr val="window" lastClr="FFFFFF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a).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SER MÁS PRECISO DEBEMOS CALCULAR EL CAUE, PORQUE SON ALTERNATIVAS DE DIFERENTE VIDA ÚTIL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 = </a:t>
          </a:r>
          <a:r>
            <a:rPr lang="es-P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(1+5%/360)^360 - 1 = 5.13%</a:t>
          </a:r>
          <a:endParaRPr lang="es-PE">
            <a:effectLst/>
          </a:endParaRPr>
        </a:p>
        <a:p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Construir:</a:t>
          </a:r>
          <a:b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118,000</a:t>
          </a: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la suma de todos los costos anuales</a:t>
          </a:r>
          <a:endParaRPr lang="es-PE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VAC (construir) =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118,000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((1-(1+5.13%)^-5)/5.13%) -71,000 / (1+5.13%)^5 + 352,000= </a:t>
          </a: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805,797</a:t>
          </a:r>
          <a:endParaRPr lang="es-PE">
            <a:effectLst/>
          </a:endParaRPr>
        </a:p>
        <a:p>
          <a:pPr eaLnBrk="1" fontAlgn="auto" latinLnBrk="0" hangingPunct="1"/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CAUE (construir) =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(805,797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5.13%) / (1-(1+5.13%)^-5) = </a:t>
          </a: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186,771</a:t>
          </a:r>
        </a:p>
        <a:p>
          <a:endParaRPr lang="es-PE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Concesionar:</a:t>
          </a:r>
          <a:b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11,000</a:t>
          </a: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la suma de todos los costos anuales</a:t>
          </a:r>
          <a:b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Refacción a los 20 años (se considera en ^20)</a:t>
          </a:r>
          <a:endParaRPr lang="es-PE">
            <a:effectLst/>
          </a:endParaRPr>
        </a:p>
        <a:p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VAC (concesionar) =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11,000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((1-(1+5.13%)^-40)/5.13%) -91,000 / (1+5.13%)^20 + 2,000,000= </a:t>
          </a: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2,218,999</a:t>
          </a:r>
          <a:endParaRPr lang="es-PE">
            <a:effectLst/>
          </a:endParaRPr>
        </a:p>
        <a:p>
          <a:pPr eaLnBrk="1" fontAlgn="auto" latinLnBrk="0" hangingPunct="1"/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CAUE (concesionar) =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(2,218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,999*5.13%) / (1-(1+5.13%)^-40) = </a:t>
          </a:r>
          <a:r>
            <a:rPr lang="es-P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131,571</a:t>
          </a:r>
        </a:p>
        <a:p>
          <a:pPr eaLnBrk="1" fontAlgn="auto" latinLnBrk="0" hangingPunct="1"/>
          <a:endParaRPr lang="es-P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s-P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debe elegir la alternativa "Concesionar" porque tiene el menor CAUE</a:t>
          </a:r>
        </a:p>
        <a:p>
          <a:pPr eaLnBrk="1" fontAlgn="auto" latinLnBrk="0" hangingPunct="1"/>
          <a:endParaRPr lang="es-P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s-PE">
            <a:effectLst/>
          </a:endParaRPr>
        </a:p>
        <a:p>
          <a:pPr eaLnBrk="1" fontAlgn="auto" latinLnBrk="0" hangingPunct="1"/>
          <a:endParaRPr lang="es-PE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1541435</xdr:colOff>
      <xdr:row>0</xdr:row>
      <xdr:rowOff>152400</xdr:rowOff>
    </xdr:from>
    <xdr:to>
      <xdr:col>23</xdr:col>
      <xdr:colOff>125379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932BF9-C5A1-F876-D9FF-D7C2FB39E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8635" y="152400"/>
          <a:ext cx="14833594" cy="9906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20</xdr:row>
      <xdr:rowOff>66675</xdr:rowOff>
    </xdr:from>
    <xdr:to>
      <xdr:col>19</xdr:col>
      <xdr:colOff>429716</xdr:colOff>
      <xdr:row>27</xdr:row>
      <xdr:rowOff>162124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C98709-1741-69B1-1589-44E3EFCD2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7450" y="3876675"/>
          <a:ext cx="7821116" cy="14289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119334</xdr:colOff>
      <xdr:row>0</xdr:row>
      <xdr:rowOff>0</xdr:rowOff>
    </xdr:from>
    <xdr:to>
      <xdr:col>31</xdr:col>
      <xdr:colOff>61705</xdr:colOff>
      <xdr:row>25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AC3E22-6BAA-4B69-B7B6-B147D08DB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3134" y="0"/>
          <a:ext cx="12134371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231913</xdr:colOff>
      <xdr:row>24</xdr:row>
      <xdr:rowOff>121755</xdr:rowOff>
    </xdr:from>
    <xdr:to>
      <xdr:col>18</xdr:col>
      <xdr:colOff>219669</xdr:colOff>
      <xdr:row>45</xdr:row>
      <xdr:rowOff>150899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C92B87-9171-0437-7B40-6FB919F21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5652" y="4735168"/>
          <a:ext cx="4278147" cy="4071057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314326</xdr:colOff>
      <xdr:row>46</xdr:row>
      <xdr:rowOff>180975</xdr:rowOff>
    </xdr:from>
    <xdr:to>
      <xdr:col>14</xdr:col>
      <xdr:colOff>447676</xdr:colOff>
      <xdr:row>71</xdr:row>
      <xdr:rowOff>8474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445E9A1-B2CC-F8A7-4538-DB65880F1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6" y="9039225"/>
          <a:ext cx="13315950" cy="4589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0</xdr:row>
      <xdr:rowOff>161926</xdr:rowOff>
    </xdr:from>
    <xdr:to>
      <xdr:col>16</xdr:col>
      <xdr:colOff>134573</xdr:colOff>
      <xdr:row>13</xdr:row>
      <xdr:rowOff>92624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1CF797-222B-DC99-983C-D154765DF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161926"/>
          <a:ext cx="5649548" cy="2407198"/>
        </a:xfrm>
        <a:prstGeom prst="rect">
          <a:avLst/>
        </a:prstGeom>
      </xdr:spPr>
    </xdr:pic>
    <xdr:clientData/>
  </xdr:twoCellAnchor>
  <xdr:twoCellAnchor editAs="oneCell">
    <xdr:from>
      <xdr:col>16</xdr:col>
      <xdr:colOff>514350</xdr:colOff>
      <xdr:row>28</xdr:row>
      <xdr:rowOff>114300</xdr:rowOff>
    </xdr:from>
    <xdr:to>
      <xdr:col>31</xdr:col>
      <xdr:colOff>96787</xdr:colOff>
      <xdr:row>40</xdr:row>
      <xdr:rowOff>76623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8D03FC-B1E0-EBF4-9536-73BC343E0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8300" y="5448300"/>
          <a:ext cx="11012437" cy="30293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22</xdr:row>
      <xdr:rowOff>48902</xdr:rowOff>
    </xdr:from>
    <xdr:to>
      <xdr:col>9</xdr:col>
      <xdr:colOff>452731</xdr:colOff>
      <xdr:row>38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214839-6B39-5B77-A981-7ACA4BDE6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287527"/>
          <a:ext cx="8720431" cy="31514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355022</xdr:colOff>
      <xdr:row>38</xdr:row>
      <xdr:rowOff>86591</xdr:rowOff>
    </xdr:from>
    <xdr:to>
      <xdr:col>9</xdr:col>
      <xdr:colOff>189633</xdr:colOff>
      <xdr:row>44</xdr:row>
      <xdr:rowOff>71005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AD32719-765D-4BA4-9748-9B61A8E1114A}"/>
            </a:ext>
          </a:extLst>
        </xdr:cNvPr>
        <xdr:cNvSpPr txBox="1">
          <a:spLocks noChangeArrowheads="1"/>
        </xdr:cNvSpPr>
      </xdr:nvSpPr>
      <xdr:spPr bwMode="auto">
        <a:xfrm>
          <a:off x="355022" y="9478241"/>
          <a:ext cx="6692611" cy="1127414"/>
        </a:xfrm>
        <a:prstGeom prst="rect">
          <a:avLst/>
        </a:prstGeom>
        <a:solidFill>
          <a:srgbClr val="FFFFCD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La construcción de un vívero municipal tiene las siguientes posibilidades:</a:t>
          </a:r>
        </a:p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Posibilidad 1: inversión de S/ 12,000 y tiempo de vida útil 3 años.</a:t>
          </a:r>
        </a:p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Posibilidad 2: inversión inicial de S/ 20,000, tiempo vida útil 7 años y </a:t>
          </a:r>
          <a:r>
            <a:rPr lang="es-P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renovación</a:t>
          </a: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de la inversión por S/ 10,000.</a:t>
          </a:r>
        </a:p>
        <a:p>
          <a:pPr algn="l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Si la tasa de rendimiento es de 32% TEA, ¿cuál es la posiblidad más económica?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2202-FFEA-415C-AC7A-CA197B99B655}">
  <dimension ref="B3:Q32"/>
  <sheetViews>
    <sheetView tabSelected="1" zoomScale="115" zoomScaleNormal="115" workbookViewId="0">
      <selection activeCell="Q25" sqref="Q25"/>
    </sheetView>
  </sheetViews>
  <sheetFormatPr baseColWidth="10" defaultRowHeight="15" x14ac:dyDescent="0.25"/>
  <cols>
    <col min="17" max="17" width="11.85546875" bestFit="1" customWidth="1"/>
  </cols>
  <sheetData>
    <row r="3" spans="2:16" ht="15.75" x14ac:dyDescent="0.3">
      <c r="B3" s="110"/>
      <c r="C3" s="160" t="s">
        <v>164</v>
      </c>
      <c r="D3" s="160"/>
      <c r="E3" s="111">
        <v>0.11</v>
      </c>
      <c r="F3" s="110"/>
      <c r="G3" s="112"/>
      <c r="H3" s="112"/>
      <c r="I3" s="110"/>
      <c r="J3" s="110"/>
      <c r="K3" s="113"/>
      <c r="L3" s="96"/>
      <c r="M3" s="96"/>
      <c r="N3" s="96"/>
      <c r="O3" s="96"/>
      <c r="P3" s="110"/>
    </row>
    <row r="4" spans="2:16" ht="15.75" x14ac:dyDescent="0.3">
      <c r="B4" s="110"/>
      <c r="C4" s="114" t="s">
        <v>165</v>
      </c>
      <c r="D4" s="114"/>
      <c r="E4" s="111">
        <f>(1+E3/360)^360-1</f>
        <v>0.11625931476384843</v>
      </c>
      <c r="F4" s="115"/>
      <c r="G4" s="112"/>
      <c r="H4" s="112"/>
      <c r="I4" s="110"/>
      <c r="J4" s="110"/>
      <c r="K4" s="96"/>
      <c r="L4" s="96"/>
      <c r="M4" s="116"/>
      <c r="N4" s="96"/>
      <c r="O4" s="96"/>
      <c r="P4" s="110"/>
    </row>
    <row r="5" spans="2:16" ht="15.75" x14ac:dyDescent="0.3">
      <c r="B5" s="110"/>
      <c r="C5" s="112"/>
      <c r="D5" s="112"/>
      <c r="E5" s="112"/>
      <c r="F5" s="112"/>
      <c r="G5" s="112"/>
      <c r="H5" s="112"/>
      <c r="I5" s="110"/>
      <c r="J5" s="110"/>
      <c r="K5" s="96"/>
      <c r="L5" s="96"/>
      <c r="M5" s="96"/>
      <c r="N5" s="96"/>
      <c r="O5" s="96"/>
      <c r="P5" s="110"/>
    </row>
    <row r="6" spans="2:16" ht="60" x14ac:dyDescent="0.3">
      <c r="B6" s="110"/>
      <c r="C6" s="112"/>
      <c r="D6" s="161" t="s">
        <v>166</v>
      </c>
      <c r="E6" s="161"/>
      <c r="F6" s="117" t="s">
        <v>167</v>
      </c>
      <c r="G6" s="118" t="s">
        <v>168</v>
      </c>
      <c r="H6" s="112"/>
      <c r="I6" s="110"/>
      <c r="J6" s="110"/>
      <c r="K6" s="96"/>
      <c r="L6" s="96"/>
      <c r="M6" s="96"/>
      <c r="N6" s="96"/>
      <c r="O6" s="96"/>
      <c r="P6" s="110"/>
    </row>
    <row r="7" spans="2:16" ht="15.75" x14ac:dyDescent="0.3">
      <c r="B7" s="110"/>
      <c r="C7" s="119" t="s">
        <v>169</v>
      </c>
      <c r="D7" s="119" t="s">
        <v>170</v>
      </c>
      <c r="E7" s="119" t="s">
        <v>171</v>
      </c>
      <c r="F7" s="118" t="s">
        <v>170</v>
      </c>
      <c r="G7" s="118" t="s">
        <v>170</v>
      </c>
      <c r="H7" s="120"/>
      <c r="I7" s="121" t="s">
        <v>172</v>
      </c>
      <c r="J7" s="110"/>
      <c r="K7" s="96"/>
      <c r="L7" s="96"/>
      <c r="M7" s="96"/>
      <c r="N7" s="96"/>
      <c r="O7" s="96"/>
      <c r="P7" s="110"/>
    </row>
    <row r="8" spans="2:16" ht="15.75" x14ac:dyDescent="0.3">
      <c r="B8" s="110"/>
      <c r="C8" s="122">
        <v>0</v>
      </c>
      <c r="D8" s="123">
        <v>-63000</v>
      </c>
      <c r="E8" s="123">
        <v>-70000</v>
      </c>
      <c r="F8" s="123">
        <f>D8/(1+$D$4)^$B8</f>
        <v>-63000</v>
      </c>
      <c r="G8" s="123">
        <f>D8</f>
        <v>-63000</v>
      </c>
      <c r="H8" s="124"/>
      <c r="I8" s="121" t="s">
        <v>173</v>
      </c>
      <c r="J8" s="110"/>
      <c r="K8" s="110"/>
      <c r="L8" s="96"/>
      <c r="M8" s="96"/>
      <c r="N8" s="96"/>
      <c r="O8" s="96"/>
      <c r="P8" s="110"/>
    </row>
    <row r="9" spans="2:16" ht="15.75" x14ac:dyDescent="0.3">
      <c r="B9" s="110"/>
      <c r="C9" s="122">
        <f>+C8+1</f>
        <v>1</v>
      </c>
      <c r="D9" s="123">
        <v>19000</v>
      </c>
      <c r="E9" s="123">
        <v>24000</v>
      </c>
      <c r="F9" s="123">
        <f>D9/(1+$E$4)^$C9</f>
        <v>17021.134559597889</v>
      </c>
      <c r="G9" s="123">
        <f>F9+G8</f>
        <v>-45978.865440402107</v>
      </c>
      <c r="H9" s="124"/>
      <c r="I9" s="110"/>
      <c r="J9" s="110"/>
      <c r="K9" s="110"/>
      <c r="L9" s="96"/>
      <c r="M9" s="96"/>
      <c r="N9" s="96"/>
      <c r="O9" s="96"/>
      <c r="P9" s="110"/>
    </row>
    <row r="10" spans="2:16" ht="15.75" x14ac:dyDescent="0.3">
      <c r="B10" s="110"/>
      <c r="C10" s="122">
        <f>+C9+1</f>
        <v>2</v>
      </c>
      <c r="D10" s="123">
        <v>21000</v>
      </c>
      <c r="E10" s="123">
        <v>24000</v>
      </c>
      <c r="F10" s="123">
        <f t="shared" ref="F10:F11" si="0">D10/(1+$E$4)^$C10</f>
        <v>16853.46109588557</v>
      </c>
      <c r="G10" s="123">
        <f>F10+G9</f>
        <v>-29125.404344516537</v>
      </c>
      <c r="H10" s="124"/>
      <c r="I10" s="110"/>
      <c r="J10" s="110"/>
      <c r="K10" s="110"/>
      <c r="L10" s="96"/>
      <c r="M10" s="96"/>
      <c r="N10" s="96"/>
      <c r="O10" s="96"/>
      <c r="P10" s="110"/>
    </row>
    <row r="11" spans="2:16" ht="15.75" x14ac:dyDescent="0.3">
      <c r="B11" s="110"/>
      <c r="C11" s="122">
        <f>+C10+1</f>
        <v>3</v>
      </c>
      <c r="D11" s="123">
        <v>23000</v>
      </c>
      <c r="E11" s="123">
        <v>24000</v>
      </c>
      <c r="F11" s="123">
        <f t="shared" si="0"/>
        <v>16536.079372141296</v>
      </c>
      <c r="G11" s="123">
        <f>F11+G10</f>
        <v>-12589.324972375241</v>
      </c>
      <c r="H11" s="124"/>
      <c r="I11" s="110"/>
      <c r="J11" s="110"/>
      <c r="K11" s="110"/>
      <c r="L11" s="96"/>
      <c r="M11" s="96"/>
      <c r="N11" s="96"/>
      <c r="O11" s="96"/>
      <c r="P11" s="110"/>
    </row>
    <row r="12" spans="2:16" ht="15.75" x14ac:dyDescent="0.3">
      <c r="B12" s="110"/>
      <c r="C12" s="122">
        <f>+C11+1</f>
        <v>4</v>
      </c>
      <c r="D12" s="123">
        <v>25000</v>
      </c>
      <c r="E12" s="123">
        <v>24000</v>
      </c>
      <c r="F12" s="123">
        <f>D12/(1+$E$4)^$C12</f>
        <v>16101.992682002749</v>
      </c>
      <c r="G12" s="123">
        <f>F12+G11</f>
        <v>3512.6677096275071</v>
      </c>
      <c r="H12" s="124"/>
      <c r="I12" s="110"/>
      <c r="J12" s="110"/>
      <c r="K12" s="96"/>
      <c r="L12" s="96"/>
      <c r="M12" s="96"/>
      <c r="N12" s="96"/>
      <c r="O12" s="96"/>
      <c r="P12" s="110"/>
    </row>
    <row r="13" spans="2:16" ht="19.5" x14ac:dyDescent="0.4">
      <c r="B13" s="125" t="s">
        <v>174</v>
      </c>
      <c r="C13" s="126" t="s">
        <v>175</v>
      </c>
      <c r="D13" s="123">
        <f>D8+NPV($D$4,D9:D12)</f>
        <v>25000</v>
      </c>
      <c r="E13" s="123">
        <f>E8+NPV($D$4,E9:E12)</f>
        <v>26000</v>
      </c>
      <c r="F13" s="127"/>
      <c r="G13" s="112"/>
      <c r="H13" s="128"/>
      <c r="I13" s="129"/>
      <c r="J13" s="110"/>
      <c r="K13" s="110"/>
      <c r="L13" s="110"/>
      <c r="M13" s="110"/>
      <c r="N13" s="110"/>
      <c r="O13" s="110"/>
      <c r="P13" s="110"/>
    </row>
    <row r="14" spans="2:16" ht="16.5" x14ac:dyDescent="0.35">
      <c r="B14" s="125" t="s">
        <v>176</v>
      </c>
      <c r="C14" s="126" t="s">
        <v>177</v>
      </c>
      <c r="D14" s="130">
        <f>IRR(D8:D12)</f>
        <v>0.14112060295976581</v>
      </c>
      <c r="E14" s="131"/>
      <c r="F14" s="132"/>
      <c r="G14" s="112"/>
      <c r="H14" s="112"/>
      <c r="I14" s="110"/>
      <c r="J14" s="110"/>
      <c r="K14" s="110"/>
      <c r="L14" s="110"/>
      <c r="M14" s="110"/>
      <c r="N14" s="110"/>
      <c r="O14" s="110"/>
      <c r="P14" s="110"/>
    </row>
    <row r="15" spans="2:16" ht="16.5" x14ac:dyDescent="0.35">
      <c r="B15" s="125" t="s">
        <v>176</v>
      </c>
      <c r="C15" s="126" t="s">
        <v>178</v>
      </c>
      <c r="D15" s="133">
        <f>+C11-G11/F12</f>
        <v>3.7818488817502924</v>
      </c>
      <c r="E15" s="134"/>
      <c r="F15" s="135"/>
      <c r="G15" s="136"/>
      <c r="H15" s="110"/>
      <c r="I15" s="110"/>
      <c r="J15" s="110"/>
      <c r="K15" s="110"/>
      <c r="L15" s="110"/>
      <c r="M15" s="110"/>
      <c r="N15" s="110"/>
      <c r="O15" s="110"/>
      <c r="P15" s="110"/>
    </row>
    <row r="16" spans="2:16" ht="16.5" x14ac:dyDescent="0.35">
      <c r="B16" s="125" t="s">
        <v>176</v>
      </c>
      <c r="C16" s="126" t="s">
        <v>179</v>
      </c>
      <c r="D16" s="133">
        <f>+NPV($E$4,D9:D12)/-D8</f>
        <v>1.0557566303115478</v>
      </c>
      <c r="E16" s="134"/>
      <c r="F16" s="112"/>
      <c r="G16" s="112"/>
      <c r="H16" s="137"/>
      <c r="I16" s="136"/>
      <c r="J16" s="136"/>
      <c r="K16" s="138"/>
      <c r="L16" s="110"/>
      <c r="M16" s="110"/>
      <c r="N16" s="110"/>
      <c r="O16" s="110"/>
      <c r="P16" s="110"/>
    </row>
    <row r="17" spans="2:17" ht="16.5" x14ac:dyDescent="0.35">
      <c r="B17" s="110"/>
      <c r="C17" s="110" t="s">
        <v>180</v>
      </c>
      <c r="D17" s="112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</row>
    <row r="18" spans="2:17" ht="15.75" x14ac:dyDescent="0.3">
      <c r="B18" s="110"/>
      <c r="C18" s="112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</row>
    <row r="19" spans="2:17" ht="16.5" x14ac:dyDescent="0.35">
      <c r="B19" s="125" t="s">
        <v>181</v>
      </c>
      <c r="C19" s="139" t="s">
        <v>159</v>
      </c>
      <c r="D19" s="140">
        <v>0.1</v>
      </c>
      <c r="E19" s="110"/>
      <c r="F19" s="110" t="s">
        <v>185</v>
      </c>
      <c r="G19" s="110"/>
      <c r="H19" s="110"/>
      <c r="I19" s="110"/>
      <c r="J19" s="110"/>
      <c r="K19" s="110"/>
      <c r="L19" s="110"/>
      <c r="M19" s="110"/>
      <c r="N19" s="110"/>
      <c r="O19" s="110"/>
    </row>
    <row r="20" spans="2:17" ht="15.75" x14ac:dyDescent="0.3"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45"/>
    </row>
    <row r="21" spans="2:17" ht="15.75" x14ac:dyDescent="0.3">
      <c r="B21" s="110"/>
      <c r="C21" s="139" t="s">
        <v>177</v>
      </c>
      <c r="D21" s="139" t="s">
        <v>182</v>
      </c>
      <c r="E21" s="139" t="s">
        <v>183</v>
      </c>
      <c r="F21" s="141"/>
      <c r="G21" s="110"/>
      <c r="H21" s="110"/>
      <c r="I21" s="110"/>
      <c r="J21" s="110"/>
      <c r="K21" s="110"/>
      <c r="L21" s="110"/>
      <c r="M21" s="110"/>
      <c r="N21" s="110"/>
      <c r="O21" s="110"/>
      <c r="P21" s="110"/>
    </row>
    <row r="22" spans="2:17" ht="15.75" x14ac:dyDescent="0.3">
      <c r="B22" s="110"/>
      <c r="C22" s="142">
        <f>(1+D19/360)^360-1</f>
        <v>0.10515557142805809</v>
      </c>
      <c r="D22" s="143">
        <f>+NPV(C22,D9:D12)+D8</f>
        <v>5184.4339167039434</v>
      </c>
      <c r="E22" s="143">
        <f>+NPV(C22,E9:E12)+E8</f>
        <v>5235.4361095876229</v>
      </c>
      <c r="F22" s="144"/>
      <c r="G22" s="110"/>
      <c r="H22" s="110"/>
      <c r="I22" s="110"/>
      <c r="J22" s="110"/>
      <c r="K22" s="110"/>
      <c r="L22" s="110"/>
      <c r="M22" s="110"/>
      <c r="N22" s="110"/>
      <c r="O22" s="110"/>
      <c r="P22" s="110"/>
    </row>
    <row r="23" spans="2:17" ht="16.5" x14ac:dyDescent="0.35">
      <c r="B23" s="110"/>
      <c r="C23" s="110" t="s">
        <v>184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</row>
    <row r="24" spans="2:17" ht="15.75" x14ac:dyDescent="0.3"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</row>
    <row r="25" spans="2:17" ht="15.75" x14ac:dyDescent="0.3"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</row>
    <row r="26" spans="2:17" ht="15.75" x14ac:dyDescent="0.3"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</row>
    <row r="27" spans="2:17" ht="15.75" x14ac:dyDescent="0.3"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</row>
    <row r="28" spans="2:17" ht="15.75" x14ac:dyDescent="0.3"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</row>
    <row r="29" spans="2:17" ht="15.75" x14ac:dyDescent="0.3"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</row>
    <row r="30" spans="2:17" ht="15.75" x14ac:dyDescent="0.3"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</row>
    <row r="31" spans="2:17" ht="15.75" x14ac:dyDescent="0.3"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</row>
    <row r="32" spans="2:17" ht="15.75" x14ac:dyDescent="0.3"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</row>
  </sheetData>
  <mergeCells count="2">
    <mergeCell ref="C3:D3"/>
    <mergeCell ref="D6:E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44AF-02C9-4D9C-ADD3-A1536760475C}">
  <dimension ref="A7:I20"/>
  <sheetViews>
    <sheetView workbookViewId="0">
      <selection activeCell="N13" sqref="N13"/>
    </sheetView>
  </sheetViews>
  <sheetFormatPr baseColWidth="10" defaultRowHeight="15" x14ac:dyDescent="0.25"/>
  <cols>
    <col min="1" max="1" width="48.28515625" customWidth="1"/>
    <col min="4" max="4" width="26.5703125" customWidth="1"/>
  </cols>
  <sheetData>
    <row r="7" spans="1:9" x14ac:dyDescent="0.25">
      <c r="A7" s="4" t="s">
        <v>91</v>
      </c>
      <c r="B7" s="46"/>
      <c r="C7" s="4"/>
      <c r="D7" s="4"/>
      <c r="E7" s="4"/>
      <c r="F7" s="4"/>
      <c r="G7" s="4"/>
      <c r="H7" s="4"/>
      <c r="I7" s="4"/>
    </row>
    <row r="8" spans="1:9" x14ac:dyDescent="0.25">
      <c r="A8" s="4" t="s">
        <v>92</v>
      </c>
      <c r="B8" s="47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7"/>
      <c r="G11" s="47"/>
      <c r="H11" s="47"/>
      <c r="I11" s="47"/>
    </row>
    <row r="12" spans="1:9" x14ac:dyDescent="0.25">
      <c r="A12" s="48" t="s">
        <v>93</v>
      </c>
      <c r="B12" s="48"/>
      <c r="C12" s="48"/>
      <c r="D12" s="48"/>
      <c r="E12" s="48"/>
      <c r="F12" s="48"/>
      <c r="G12" s="48"/>
      <c r="H12" s="48"/>
      <c r="I12" s="48"/>
    </row>
    <row r="13" spans="1:9" x14ac:dyDescent="0.25">
      <c r="A13" s="48" t="s">
        <v>95</v>
      </c>
      <c r="B13" s="48">
        <v>1</v>
      </c>
      <c r="C13" s="48">
        <v>2</v>
      </c>
      <c r="D13" s="48">
        <v>3</v>
      </c>
      <c r="E13" s="48">
        <v>4</v>
      </c>
      <c r="F13" s="48">
        <v>5</v>
      </c>
      <c r="G13" s="48">
        <v>6</v>
      </c>
      <c r="H13" s="48">
        <v>7</v>
      </c>
      <c r="I13" s="48">
        <v>8</v>
      </c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 t="s">
        <v>102</v>
      </c>
      <c r="B16" s="4" t="e">
        <f>B12*(1-(1+B7)^-E13)/B7</f>
        <v>#DIV/0!</v>
      </c>
      <c r="C16" s="4"/>
      <c r="D16" s="4" t="s">
        <v>101</v>
      </c>
      <c r="E16" s="4">
        <f>F12/(1+B7)^F13</f>
        <v>0</v>
      </c>
      <c r="F16" s="4"/>
      <c r="G16" s="4"/>
      <c r="H16" s="4"/>
      <c r="I16" s="4"/>
    </row>
    <row r="17" spans="1:9" x14ac:dyDescent="0.25">
      <c r="A17" s="4" t="s">
        <v>104</v>
      </c>
      <c r="B17" s="4" t="e">
        <f>(G12*(1+B8))/(B7-B8)</f>
        <v>#DIV/0!</v>
      </c>
      <c r="C17" s="4"/>
      <c r="D17" s="4"/>
      <c r="E17" s="4"/>
      <c r="F17" s="4"/>
      <c r="G17" s="4"/>
      <c r="H17" s="4"/>
      <c r="I17" s="4"/>
    </row>
    <row r="18" spans="1:9" x14ac:dyDescent="0.25">
      <c r="A18" s="4"/>
      <c r="B18" s="4" t="e">
        <f>B17/(1+B7)^F13</f>
        <v>#DIV/0!</v>
      </c>
      <c r="C18" s="4" t="s">
        <v>100</v>
      </c>
      <c r="D18" s="4"/>
      <c r="E18" s="4"/>
      <c r="F18" s="4"/>
      <c r="G18" s="4"/>
      <c r="H18" s="4"/>
      <c r="I18" s="4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4" t="s">
        <v>99</v>
      </c>
      <c r="B20" s="49" t="e">
        <f>B18+B16+E16</f>
        <v>#DIV/0!</v>
      </c>
      <c r="C20" s="4"/>
      <c r="D20" s="4"/>
      <c r="E20" s="4"/>
      <c r="F20" s="4"/>
      <c r="G20" s="4"/>
      <c r="H20" s="4"/>
      <c r="I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3333-8D82-4D33-B1C7-C615FF0D6118}">
  <dimension ref="B1:Z164"/>
  <sheetViews>
    <sheetView zoomScaleNormal="100" workbookViewId="0">
      <selection activeCell="H62" sqref="H62"/>
    </sheetView>
  </sheetViews>
  <sheetFormatPr baseColWidth="10" defaultRowHeight="15" x14ac:dyDescent="0.25"/>
  <cols>
    <col min="6" max="6" width="20.42578125" customWidth="1"/>
    <col min="12" max="12" width="16.28515625" customWidth="1"/>
    <col min="15" max="15" width="11.42578125" customWidth="1"/>
    <col min="18" max="18" width="24.28515625" customWidth="1"/>
    <col min="21" max="21" width="16" customWidth="1"/>
  </cols>
  <sheetData>
    <row r="1" spans="2:10" ht="15.75" thickBot="1" x14ac:dyDescent="0.3"/>
    <row r="2" spans="2:10" ht="15.75" thickBot="1" x14ac:dyDescent="0.3">
      <c r="B2" s="50" t="s">
        <v>105</v>
      </c>
      <c r="C2" s="51"/>
      <c r="D2" s="52"/>
      <c r="E2" s="52"/>
      <c r="F2" s="52"/>
      <c r="G2" s="52"/>
      <c r="H2" s="52"/>
      <c r="I2" s="52"/>
      <c r="J2" s="52"/>
    </row>
    <row r="3" spans="2:10" x14ac:dyDescent="0.25">
      <c r="B3" s="52"/>
      <c r="C3" s="52"/>
      <c r="D3" s="52"/>
      <c r="E3" s="52"/>
      <c r="F3" s="52"/>
      <c r="G3" s="52"/>
      <c r="H3" s="52"/>
      <c r="I3" s="52"/>
      <c r="J3" s="52"/>
    </row>
    <row r="4" spans="2:10" x14ac:dyDescent="0.25">
      <c r="B4" s="52"/>
      <c r="C4" s="52"/>
      <c r="D4" s="52"/>
      <c r="E4" s="52"/>
      <c r="F4" s="52"/>
      <c r="G4" s="52"/>
      <c r="H4" s="52"/>
      <c r="I4" s="52"/>
      <c r="J4" s="52"/>
    </row>
    <row r="5" spans="2:10" x14ac:dyDescent="0.25">
      <c r="B5" s="52"/>
      <c r="C5" s="52"/>
      <c r="D5" s="52"/>
      <c r="E5" s="52"/>
      <c r="F5" s="52"/>
      <c r="G5" s="52"/>
      <c r="H5" s="52"/>
      <c r="I5" s="52"/>
      <c r="J5" s="52"/>
    </row>
    <row r="6" spans="2:10" x14ac:dyDescent="0.25">
      <c r="B6" s="52"/>
      <c r="C6" s="52"/>
      <c r="D6" s="52"/>
      <c r="E6" s="52"/>
      <c r="F6" s="52"/>
      <c r="G6" s="52"/>
      <c r="H6" s="52"/>
      <c r="I6" s="52"/>
      <c r="J6" s="52"/>
    </row>
    <row r="7" spans="2:10" x14ac:dyDescent="0.25">
      <c r="B7" s="52"/>
      <c r="C7" s="52"/>
      <c r="D7" s="52"/>
      <c r="E7" s="52"/>
      <c r="F7" s="52"/>
      <c r="G7" s="52"/>
      <c r="H7" s="52"/>
      <c r="I7" s="52"/>
      <c r="J7" s="52"/>
    </row>
    <row r="8" spans="2:10" x14ac:dyDescent="0.25">
      <c r="B8" s="52"/>
      <c r="C8" s="52"/>
      <c r="D8" s="52"/>
      <c r="E8" s="52"/>
      <c r="F8" s="52"/>
      <c r="G8" s="52"/>
      <c r="H8" s="52"/>
      <c r="I8" s="52"/>
      <c r="J8" s="52"/>
    </row>
    <row r="9" spans="2:10" x14ac:dyDescent="0.25">
      <c r="B9" s="52"/>
      <c r="C9" s="52"/>
      <c r="D9" s="52"/>
      <c r="E9" s="52"/>
      <c r="F9" s="52"/>
      <c r="G9" s="52"/>
      <c r="H9" s="52"/>
      <c r="I9" s="52"/>
      <c r="J9" s="52"/>
    </row>
    <row r="10" spans="2:10" x14ac:dyDescent="0.25">
      <c r="B10" s="52"/>
      <c r="C10" s="52"/>
      <c r="D10" s="52"/>
      <c r="E10" s="52"/>
      <c r="F10" s="52"/>
      <c r="G10" s="52"/>
      <c r="H10" s="52"/>
      <c r="I10" s="52"/>
      <c r="J10" s="52"/>
    </row>
    <row r="11" spans="2:10" x14ac:dyDescent="0.25">
      <c r="B11" s="52"/>
      <c r="C11" s="52"/>
      <c r="D11" s="52"/>
      <c r="E11" s="52"/>
      <c r="F11" s="52"/>
      <c r="G11" s="52"/>
      <c r="H11" s="52"/>
      <c r="I11" s="52"/>
      <c r="J11" s="52"/>
    </row>
    <row r="12" spans="2:10" x14ac:dyDescent="0.25">
      <c r="B12" s="53" t="s">
        <v>106</v>
      </c>
      <c r="C12" s="52"/>
      <c r="D12" s="52"/>
      <c r="E12" s="52"/>
      <c r="F12" s="52"/>
      <c r="G12" s="52"/>
      <c r="H12" s="52"/>
      <c r="I12" s="52"/>
      <c r="J12" s="52"/>
    </row>
    <row r="13" spans="2:10" x14ac:dyDescent="0.25">
      <c r="B13" s="52"/>
      <c r="C13" s="52"/>
      <c r="D13" s="52"/>
      <c r="E13" s="52"/>
      <c r="F13" s="52"/>
      <c r="G13" s="52"/>
      <c r="H13" s="52"/>
      <c r="I13" s="52"/>
      <c r="J13" s="52"/>
    </row>
    <row r="14" spans="2:10" x14ac:dyDescent="0.25">
      <c r="B14" s="53" t="s">
        <v>107</v>
      </c>
      <c r="C14" s="52">
        <v>0</v>
      </c>
      <c r="D14" s="52">
        <v>1</v>
      </c>
      <c r="E14" s="52">
        <v>2</v>
      </c>
      <c r="F14" s="52">
        <v>3</v>
      </c>
      <c r="G14" s="52">
        <v>4</v>
      </c>
      <c r="H14" s="52" t="s">
        <v>95</v>
      </c>
      <c r="I14" s="52"/>
      <c r="J14" s="52"/>
    </row>
    <row r="15" spans="2:10" x14ac:dyDescent="0.25">
      <c r="B15" s="54" t="s">
        <v>108</v>
      </c>
      <c r="C15" s="55">
        <v>900000</v>
      </c>
      <c r="D15" s="54"/>
      <c r="E15" s="54"/>
      <c r="F15" s="56"/>
      <c r="G15" s="56"/>
      <c r="H15" s="57"/>
      <c r="I15" s="52"/>
      <c r="J15" s="52"/>
    </row>
    <row r="16" spans="2:10" x14ac:dyDescent="0.25">
      <c r="B16" s="54" t="s">
        <v>109</v>
      </c>
      <c r="C16" s="55"/>
      <c r="D16" s="55">
        <v>30000</v>
      </c>
      <c r="E16" s="55">
        <v>30000</v>
      </c>
      <c r="F16" s="55">
        <v>30000</v>
      </c>
      <c r="G16" s="55">
        <v>30000</v>
      </c>
      <c r="H16" s="58"/>
      <c r="I16" s="52"/>
      <c r="J16" s="52"/>
    </row>
    <row r="17" spans="2:10" x14ac:dyDescent="0.25">
      <c r="B17" s="54" t="s">
        <v>110</v>
      </c>
      <c r="C17" s="55"/>
      <c r="D17" s="55">
        <v>220000</v>
      </c>
      <c r="E17" s="55">
        <v>220000</v>
      </c>
      <c r="F17" s="55">
        <v>220000</v>
      </c>
      <c r="G17" s="55">
        <v>220000</v>
      </c>
      <c r="H17" s="58"/>
      <c r="I17" s="52"/>
      <c r="J17" s="52"/>
    </row>
    <row r="18" spans="2:10" x14ac:dyDescent="0.25">
      <c r="B18" s="54" t="s">
        <v>111</v>
      </c>
      <c r="C18" s="55"/>
      <c r="D18" s="55"/>
      <c r="E18" s="55"/>
      <c r="F18" s="55"/>
      <c r="G18" s="55">
        <v>-90000</v>
      </c>
      <c r="H18" s="58"/>
      <c r="I18" s="52"/>
      <c r="J18" s="52"/>
    </row>
    <row r="19" spans="2:10" x14ac:dyDescent="0.25">
      <c r="B19" s="59" t="s">
        <v>112</v>
      </c>
      <c r="C19" s="60">
        <f>+SUM(C15:C18)</f>
        <v>900000</v>
      </c>
      <c r="D19" s="60">
        <f>+SUM(D15:D18)</f>
        <v>250000</v>
      </c>
      <c r="E19" s="60">
        <f>+SUM(E15:E18)</f>
        <v>250000</v>
      </c>
      <c r="F19" s="60">
        <f>+SUM(F15:F18)</f>
        <v>250000</v>
      </c>
      <c r="G19" s="60">
        <f>+SUM(G15:G18)</f>
        <v>160000</v>
      </c>
      <c r="H19" s="61"/>
      <c r="I19" s="52"/>
      <c r="J19" s="52"/>
    </row>
    <row r="20" spans="2:10" x14ac:dyDescent="0.25">
      <c r="B20" s="52"/>
      <c r="C20" s="58"/>
      <c r="D20" s="52"/>
      <c r="E20" s="52"/>
      <c r="F20" s="57"/>
      <c r="G20" s="57"/>
      <c r="H20" s="57"/>
      <c r="I20" s="52"/>
      <c r="J20" s="52"/>
    </row>
    <row r="21" spans="2:10" x14ac:dyDescent="0.25">
      <c r="B21" s="62" t="s">
        <v>113</v>
      </c>
      <c r="C21" s="58"/>
      <c r="D21" s="52"/>
      <c r="E21" s="52"/>
      <c r="F21" s="57"/>
      <c r="G21" s="57"/>
      <c r="H21" s="57"/>
      <c r="I21" s="52"/>
      <c r="J21" s="52"/>
    </row>
    <row r="22" spans="2:10" x14ac:dyDescent="0.25">
      <c r="B22" s="63" t="s">
        <v>114</v>
      </c>
      <c r="C22" s="64">
        <f>+NPV(29%,D19:G19)+C19</f>
        <v>1418266.0402843344</v>
      </c>
      <c r="D22" s="65" t="s">
        <v>115</v>
      </c>
      <c r="E22" s="52"/>
      <c r="F22" s="57"/>
      <c r="G22" s="57"/>
      <c r="H22" s="57"/>
      <c r="I22" s="52"/>
      <c r="J22" s="52"/>
    </row>
    <row r="23" spans="2:10" x14ac:dyDescent="0.25">
      <c r="B23" s="63" t="s">
        <v>116</v>
      </c>
      <c r="C23" s="64">
        <f>-PMT(29%,G14,C22,0,0)</f>
        <v>643769.71224541601</v>
      </c>
      <c r="D23" s="65" t="s">
        <v>117</v>
      </c>
      <c r="E23" s="52"/>
      <c r="F23" s="52"/>
      <c r="G23" s="52"/>
      <c r="H23" s="52"/>
      <c r="I23" s="52"/>
      <c r="J23" s="52"/>
    </row>
    <row r="24" spans="2:10" x14ac:dyDescent="0.25">
      <c r="B24" s="52"/>
      <c r="C24" s="52"/>
      <c r="D24" s="52"/>
      <c r="E24" s="52"/>
      <c r="F24" s="52"/>
      <c r="G24" s="52"/>
      <c r="H24" s="52"/>
      <c r="I24" s="52"/>
      <c r="J24" s="52"/>
    </row>
    <row r="25" spans="2:10" x14ac:dyDescent="0.25">
      <c r="B25" s="62" t="s">
        <v>118</v>
      </c>
      <c r="C25" s="58"/>
      <c r="D25" s="52"/>
      <c r="E25" s="52"/>
      <c r="F25" s="52"/>
      <c r="G25" s="52"/>
      <c r="H25" s="52"/>
      <c r="I25" s="52"/>
      <c r="J25" s="52"/>
    </row>
    <row r="26" spans="2:10" x14ac:dyDescent="0.25">
      <c r="B26" s="63" t="s">
        <v>114</v>
      </c>
      <c r="C26" s="64">
        <f>900000+250000*((1-(1+29%)^-4)/29%)-90000/(1+29%)^4</f>
        <v>1418266.0402843347</v>
      </c>
      <c r="D26" s="52"/>
      <c r="E26" s="52"/>
      <c r="F26" s="52"/>
      <c r="G26" s="52"/>
      <c r="H26" s="52"/>
      <c r="I26" s="52"/>
      <c r="J26" s="52"/>
    </row>
    <row r="27" spans="2:10" ht="15.75" x14ac:dyDescent="0.25">
      <c r="B27" s="63" t="s">
        <v>116</v>
      </c>
      <c r="C27" s="64">
        <f>+C26*29%/(1-(1+29%)^-4)</f>
        <v>643769.71224541601</v>
      </c>
      <c r="D27" s="66" t="s">
        <v>119</v>
      </c>
      <c r="E27" s="52"/>
      <c r="F27" s="52"/>
      <c r="G27" s="52"/>
      <c r="H27" s="52"/>
      <c r="I27" s="52"/>
      <c r="J27" s="52"/>
    </row>
    <row r="28" spans="2:10" x14ac:dyDescent="0.25">
      <c r="B28" s="52"/>
      <c r="C28" s="52"/>
      <c r="D28" s="52"/>
      <c r="E28" s="52"/>
      <c r="F28" s="52"/>
      <c r="G28" s="52"/>
      <c r="H28" s="52"/>
      <c r="I28" s="52"/>
      <c r="J28" s="52"/>
    </row>
    <row r="29" spans="2:10" x14ac:dyDescent="0.25">
      <c r="B29" s="53" t="s">
        <v>120</v>
      </c>
      <c r="C29" s="52">
        <v>0</v>
      </c>
      <c r="D29" s="52">
        <v>1</v>
      </c>
      <c r="E29" s="52">
        <v>2</v>
      </c>
      <c r="F29" s="52">
        <v>3</v>
      </c>
      <c r="G29" s="52">
        <v>4</v>
      </c>
      <c r="H29" s="52">
        <v>5</v>
      </c>
      <c r="I29" s="52">
        <v>6</v>
      </c>
      <c r="J29" s="52">
        <v>7</v>
      </c>
    </row>
    <row r="30" spans="2:10" x14ac:dyDescent="0.25">
      <c r="B30" s="54" t="s">
        <v>108</v>
      </c>
      <c r="C30" s="55">
        <v>900000</v>
      </c>
      <c r="D30" s="54"/>
      <c r="E30" s="54"/>
      <c r="F30" s="56"/>
      <c r="G30" s="56"/>
      <c r="H30" s="56"/>
      <c r="I30" s="56"/>
      <c r="J30" s="56"/>
    </row>
    <row r="31" spans="2:10" x14ac:dyDescent="0.25">
      <c r="B31" s="54" t="s">
        <v>109</v>
      </c>
      <c r="C31" s="55"/>
      <c r="D31" s="55">
        <v>50000</v>
      </c>
      <c r="E31" s="55">
        <v>50000</v>
      </c>
      <c r="F31" s="55">
        <v>50000</v>
      </c>
      <c r="G31" s="55">
        <v>50000</v>
      </c>
      <c r="H31" s="55">
        <v>50000</v>
      </c>
      <c r="I31" s="55">
        <v>50000</v>
      </c>
      <c r="J31" s="55">
        <v>50000</v>
      </c>
    </row>
    <row r="32" spans="2:10" x14ac:dyDescent="0.25">
      <c r="B32" s="54" t="s">
        <v>110</v>
      </c>
      <c r="C32" s="55"/>
      <c r="D32" s="55">
        <v>130000</v>
      </c>
      <c r="E32" s="55">
        <v>130000</v>
      </c>
      <c r="F32" s="55">
        <v>130000</v>
      </c>
      <c r="G32" s="55">
        <v>130000</v>
      </c>
      <c r="H32" s="55">
        <v>130000</v>
      </c>
      <c r="I32" s="55">
        <v>130000</v>
      </c>
      <c r="J32" s="55">
        <v>130000</v>
      </c>
    </row>
    <row r="33" spans="2:10" x14ac:dyDescent="0.25">
      <c r="B33" s="54" t="s">
        <v>121</v>
      </c>
      <c r="C33" s="55"/>
      <c r="D33" s="55">
        <v>50000</v>
      </c>
      <c r="E33" s="55">
        <v>50000</v>
      </c>
      <c r="F33" s="55">
        <v>50000</v>
      </c>
      <c r="G33" s="55">
        <v>50000</v>
      </c>
      <c r="H33" s="55">
        <v>50000</v>
      </c>
      <c r="I33" s="55">
        <v>50000</v>
      </c>
      <c r="J33" s="55">
        <v>50000</v>
      </c>
    </row>
    <row r="34" spans="2:10" x14ac:dyDescent="0.25">
      <c r="B34" s="54" t="s">
        <v>111</v>
      </c>
      <c r="C34" s="55"/>
      <c r="D34" s="55"/>
      <c r="E34" s="55"/>
      <c r="F34" s="55"/>
      <c r="G34" s="55"/>
      <c r="H34" s="55"/>
      <c r="I34" s="55"/>
      <c r="J34" s="55">
        <v>-125000</v>
      </c>
    </row>
    <row r="35" spans="2:10" x14ac:dyDescent="0.25">
      <c r="B35" s="59" t="s">
        <v>112</v>
      </c>
      <c r="C35" s="60">
        <f t="shared" ref="C35:I35" si="0">+SUM(C30:C34)</f>
        <v>900000</v>
      </c>
      <c r="D35" s="60">
        <f t="shared" si="0"/>
        <v>230000</v>
      </c>
      <c r="E35" s="60">
        <f t="shared" si="0"/>
        <v>230000</v>
      </c>
      <c r="F35" s="60">
        <f t="shared" si="0"/>
        <v>230000</v>
      </c>
      <c r="G35" s="60">
        <f t="shared" si="0"/>
        <v>230000</v>
      </c>
      <c r="H35" s="60">
        <f t="shared" si="0"/>
        <v>230000</v>
      </c>
      <c r="I35" s="60">
        <f t="shared" si="0"/>
        <v>230000</v>
      </c>
      <c r="J35" s="60">
        <f t="shared" ref="J35" si="1">+SUM(J30:J34)</f>
        <v>105000</v>
      </c>
    </row>
    <row r="36" spans="2:10" x14ac:dyDescent="0.25">
      <c r="B36" s="52"/>
      <c r="C36" s="58"/>
      <c r="D36" s="52"/>
      <c r="E36" s="52"/>
      <c r="F36" s="57"/>
      <c r="G36" s="57"/>
      <c r="H36" s="57"/>
      <c r="I36" s="52"/>
      <c r="J36" s="52"/>
    </row>
    <row r="37" spans="2:10" x14ac:dyDescent="0.25">
      <c r="B37" s="62" t="s">
        <v>113</v>
      </c>
      <c r="C37" s="58"/>
      <c r="D37" s="52"/>
      <c r="E37" s="52"/>
      <c r="F37" s="57"/>
      <c r="G37" s="57"/>
      <c r="H37" s="57"/>
      <c r="I37" s="52"/>
      <c r="J37" s="52"/>
    </row>
    <row r="38" spans="2:10" x14ac:dyDescent="0.25">
      <c r="B38" s="63" t="s">
        <v>114</v>
      </c>
      <c r="C38" s="64">
        <f>+NPV(29%,D35:J35)+C35</f>
        <v>1538662.0779214767</v>
      </c>
      <c r="D38" s="65" t="s">
        <v>115</v>
      </c>
      <c r="E38" s="52"/>
      <c r="F38" s="57"/>
      <c r="G38" s="57"/>
      <c r="H38" s="57"/>
      <c r="I38" s="52"/>
      <c r="J38" s="52"/>
    </row>
    <row r="39" spans="2:10" x14ac:dyDescent="0.25">
      <c r="B39" s="63" t="s">
        <v>116</v>
      </c>
      <c r="C39" s="64">
        <f>-PMT(29%,J29,C38,0,0)</f>
        <v>536452.95490071073</v>
      </c>
      <c r="D39" s="65" t="s">
        <v>117</v>
      </c>
      <c r="E39" s="52"/>
      <c r="F39" s="52"/>
      <c r="G39" s="52"/>
      <c r="H39" s="52"/>
      <c r="I39" s="52"/>
      <c r="J39" s="52"/>
    </row>
    <row r="40" spans="2:10" x14ac:dyDescent="0.25">
      <c r="B40" s="52"/>
      <c r="C40" s="52"/>
      <c r="D40" s="52"/>
      <c r="E40" s="52"/>
      <c r="F40" s="52"/>
      <c r="G40" s="52"/>
      <c r="H40" s="52"/>
      <c r="I40" s="52"/>
      <c r="J40" s="52"/>
    </row>
    <row r="41" spans="2:10" x14ac:dyDescent="0.25">
      <c r="B41" s="62" t="s">
        <v>118</v>
      </c>
      <c r="C41" s="58"/>
      <c r="D41" s="52"/>
      <c r="E41" s="52"/>
      <c r="F41" s="52"/>
      <c r="G41" s="52"/>
      <c r="H41" s="52"/>
      <c r="I41" s="52"/>
      <c r="J41" s="52"/>
    </row>
    <row r="42" spans="2:10" x14ac:dyDescent="0.25">
      <c r="B42" s="63" t="s">
        <v>114</v>
      </c>
      <c r="C42" s="64">
        <f>900000+230000*((1-(1+29%)^-7)/29%)-125000/(1+29%)^7</f>
        <v>1538662.0779214771</v>
      </c>
      <c r="D42" s="52"/>
      <c r="E42" s="52"/>
      <c r="F42" s="52"/>
      <c r="G42" s="52"/>
      <c r="H42" s="67"/>
      <c r="I42" s="52"/>
      <c r="J42" s="52"/>
    </row>
    <row r="43" spans="2:10" ht="15.75" x14ac:dyDescent="0.25">
      <c r="B43" s="63" t="s">
        <v>116</v>
      </c>
      <c r="C43" s="64">
        <f>+C42*29%/(1-(1+29%)^-7)</f>
        <v>536452.95490071084</v>
      </c>
      <c r="D43" s="66" t="s">
        <v>119</v>
      </c>
      <c r="E43" s="52"/>
      <c r="F43" s="52"/>
      <c r="G43" s="52"/>
      <c r="H43" s="52"/>
      <c r="I43" s="52"/>
      <c r="J43" s="52"/>
    </row>
    <row r="44" spans="2:10" x14ac:dyDescent="0.25">
      <c r="B44" s="52"/>
      <c r="C44" s="52"/>
      <c r="D44" s="52"/>
      <c r="E44" s="52"/>
      <c r="F44" s="52"/>
      <c r="G44" s="52"/>
      <c r="H44" s="52"/>
      <c r="I44" s="52"/>
      <c r="J44" s="52"/>
    </row>
    <row r="45" spans="2:10" x14ac:dyDescent="0.25">
      <c r="B45" s="53" t="s">
        <v>122</v>
      </c>
      <c r="C45" s="52"/>
      <c r="D45" s="52"/>
      <c r="E45" s="52"/>
      <c r="F45" s="52"/>
      <c r="G45" s="52"/>
      <c r="H45" s="52"/>
      <c r="I45" s="52"/>
      <c r="J45" s="52"/>
    </row>
    <row r="46" spans="2:10" x14ac:dyDescent="0.25">
      <c r="B46" s="52"/>
      <c r="C46" s="52"/>
      <c r="D46" s="52"/>
      <c r="E46" s="52"/>
      <c r="F46" s="52"/>
      <c r="G46" s="52"/>
      <c r="H46" s="52"/>
      <c r="I46" s="52"/>
      <c r="J46" s="52"/>
    </row>
    <row r="47" spans="2:10" x14ac:dyDescent="0.25">
      <c r="B47" s="68" t="s">
        <v>123</v>
      </c>
      <c r="C47" s="52"/>
      <c r="D47" s="52"/>
      <c r="E47" s="52"/>
      <c r="F47" s="52"/>
      <c r="G47" s="52"/>
      <c r="H47" s="52"/>
      <c r="I47" s="52"/>
      <c r="J47" s="52"/>
    </row>
    <row r="48" spans="2:10" ht="15.75" thickBot="1" x14ac:dyDescent="0.3"/>
    <row r="49" spans="2:24" ht="15.75" thickBot="1" x14ac:dyDescent="0.3">
      <c r="B49" s="50" t="s">
        <v>124</v>
      </c>
      <c r="C49" s="5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</row>
    <row r="50" spans="2:24" x14ac:dyDescent="0.25"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</row>
    <row r="51" spans="2:24" x14ac:dyDescent="0.25"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</row>
    <row r="52" spans="2:24" x14ac:dyDescent="0.25"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</row>
    <row r="53" spans="2:24" x14ac:dyDescent="0.25"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</row>
    <row r="54" spans="2:24" x14ac:dyDescent="0.25"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</row>
    <row r="55" spans="2:24" x14ac:dyDescent="0.25"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</row>
    <row r="56" spans="2:24" x14ac:dyDescent="0.25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</row>
    <row r="57" spans="2:24" x14ac:dyDescent="0.25">
      <c r="B57" s="53" t="s">
        <v>106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</row>
    <row r="58" spans="2:24" x14ac:dyDescent="0.25"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</row>
    <row r="59" spans="2:24" x14ac:dyDescent="0.25">
      <c r="B59" s="69" t="s">
        <v>125</v>
      </c>
      <c r="C59" s="70" t="s">
        <v>126</v>
      </c>
      <c r="D59" s="71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</row>
    <row r="60" spans="2:24" x14ac:dyDescent="0.25">
      <c r="B60" s="69" t="s">
        <v>127</v>
      </c>
      <c r="C60" s="70" t="s">
        <v>128</v>
      </c>
      <c r="D60" s="71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</row>
    <row r="61" spans="2:24" x14ac:dyDescent="0.25">
      <c r="B61" s="69" t="s">
        <v>129</v>
      </c>
      <c r="C61" s="70"/>
      <c r="D61" s="71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</row>
    <row r="62" spans="2:24" x14ac:dyDescent="0.25">
      <c r="B62" s="69"/>
      <c r="C62" s="70"/>
      <c r="D62" s="53" t="s">
        <v>130</v>
      </c>
      <c r="E62" s="72">
        <f>3*7</f>
        <v>21</v>
      </c>
      <c r="F62" s="71" t="s">
        <v>131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</row>
    <row r="63" spans="2:24" x14ac:dyDescent="0.25">
      <c r="B63" s="69"/>
      <c r="C63" s="71"/>
      <c r="D63" s="52"/>
      <c r="E63" s="52"/>
      <c r="F63" s="52"/>
      <c r="G63" s="52"/>
      <c r="H63" s="52"/>
      <c r="I63" s="71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</row>
    <row r="64" spans="2:24" x14ac:dyDescent="0.25">
      <c r="B64" s="53" t="s">
        <v>132</v>
      </c>
      <c r="C64" s="52">
        <v>0</v>
      </c>
      <c r="D64" s="52">
        <v>1</v>
      </c>
      <c r="E64" s="52">
        <v>2</v>
      </c>
      <c r="F64" s="52">
        <v>3</v>
      </c>
      <c r="G64" s="52">
        <v>4</v>
      </c>
      <c r="H64" s="52">
        <v>5</v>
      </c>
      <c r="I64" s="52">
        <v>6</v>
      </c>
      <c r="J64" s="52">
        <v>7</v>
      </c>
      <c r="K64" s="52">
        <v>8</v>
      </c>
      <c r="L64" s="52">
        <v>9</v>
      </c>
      <c r="M64" s="52">
        <v>10</v>
      </c>
      <c r="N64" s="52">
        <v>11</v>
      </c>
      <c r="O64" s="52">
        <v>12</v>
      </c>
      <c r="P64" s="52">
        <v>13</v>
      </c>
      <c r="Q64" s="52">
        <v>14</v>
      </c>
      <c r="R64" s="52">
        <v>15</v>
      </c>
      <c r="S64" s="52">
        <v>16</v>
      </c>
      <c r="T64" s="52">
        <v>17</v>
      </c>
      <c r="U64" s="52">
        <v>18</v>
      </c>
      <c r="V64" s="52">
        <v>19</v>
      </c>
      <c r="W64" s="52">
        <v>20</v>
      </c>
      <c r="X64" s="52">
        <v>21</v>
      </c>
    </row>
    <row r="65" spans="2:24" x14ac:dyDescent="0.25">
      <c r="B65" s="54" t="s">
        <v>108</v>
      </c>
      <c r="C65" s="55">
        <v>12000</v>
      </c>
      <c r="D65" s="54"/>
      <c r="E65" s="54"/>
      <c r="F65" s="56">
        <v>12000</v>
      </c>
      <c r="G65" s="56"/>
      <c r="H65" s="56"/>
      <c r="I65" s="56">
        <v>12000</v>
      </c>
      <c r="J65" s="56"/>
      <c r="K65" s="56"/>
      <c r="L65" s="56">
        <v>12000</v>
      </c>
      <c r="M65" s="55"/>
      <c r="N65" s="56"/>
      <c r="O65" s="56">
        <v>12000</v>
      </c>
      <c r="P65" s="56"/>
      <c r="Q65" s="56"/>
      <c r="R65" s="56">
        <v>12000</v>
      </c>
      <c r="S65" s="56"/>
      <c r="T65" s="56"/>
      <c r="U65" s="56">
        <v>12000</v>
      </c>
      <c r="V65" s="56"/>
      <c r="W65" s="55">
        <v>0</v>
      </c>
      <c r="X65" s="56"/>
    </row>
    <row r="66" spans="2:24" x14ac:dyDescent="0.25">
      <c r="B66" s="59" t="s">
        <v>112</v>
      </c>
      <c r="C66" s="60">
        <f t="shared" ref="C66:X66" si="2">+SUM(C65:C65)</f>
        <v>12000</v>
      </c>
      <c r="D66" s="60">
        <f t="shared" si="2"/>
        <v>0</v>
      </c>
      <c r="E66" s="60">
        <f t="shared" si="2"/>
        <v>0</v>
      </c>
      <c r="F66" s="60">
        <f t="shared" si="2"/>
        <v>12000</v>
      </c>
      <c r="G66" s="60">
        <f t="shared" si="2"/>
        <v>0</v>
      </c>
      <c r="H66" s="60">
        <f t="shared" si="2"/>
        <v>0</v>
      </c>
      <c r="I66" s="60">
        <f t="shared" si="2"/>
        <v>12000</v>
      </c>
      <c r="J66" s="60">
        <f t="shared" si="2"/>
        <v>0</v>
      </c>
      <c r="K66" s="60">
        <f t="shared" si="2"/>
        <v>0</v>
      </c>
      <c r="L66" s="60">
        <f t="shared" si="2"/>
        <v>12000</v>
      </c>
      <c r="M66" s="60">
        <f t="shared" si="2"/>
        <v>0</v>
      </c>
      <c r="N66" s="60">
        <f t="shared" si="2"/>
        <v>0</v>
      </c>
      <c r="O66" s="60">
        <f t="shared" si="2"/>
        <v>12000</v>
      </c>
      <c r="P66" s="60">
        <f t="shared" si="2"/>
        <v>0</v>
      </c>
      <c r="Q66" s="60">
        <f t="shared" si="2"/>
        <v>0</v>
      </c>
      <c r="R66" s="60">
        <f t="shared" si="2"/>
        <v>12000</v>
      </c>
      <c r="S66" s="60">
        <f t="shared" si="2"/>
        <v>0</v>
      </c>
      <c r="T66" s="60">
        <f t="shared" si="2"/>
        <v>0</v>
      </c>
      <c r="U66" s="60">
        <f t="shared" si="2"/>
        <v>12000</v>
      </c>
      <c r="V66" s="60">
        <f t="shared" si="2"/>
        <v>0</v>
      </c>
      <c r="W66" s="60">
        <f t="shared" si="2"/>
        <v>0</v>
      </c>
      <c r="X66" s="60">
        <f t="shared" si="2"/>
        <v>0</v>
      </c>
    </row>
    <row r="67" spans="2:24" x14ac:dyDescent="0.25"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</row>
    <row r="68" spans="2:24" x14ac:dyDescent="0.25">
      <c r="B68" s="62" t="s">
        <v>113</v>
      </c>
      <c r="C68" s="52"/>
      <c r="D68" s="52"/>
      <c r="E68" s="52"/>
      <c r="F68" s="52"/>
      <c r="G68" s="52"/>
      <c r="H68" s="73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</row>
    <row r="69" spans="2:24" x14ac:dyDescent="0.25">
      <c r="B69" s="74" t="s">
        <v>114</v>
      </c>
      <c r="C69" s="75">
        <f>+NPV(32%,D66:X66)+C66</f>
        <v>21168.634772986974</v>
      </c>
      <c r="D69" s="65" t="s">
        <v>115</v>
      </c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</row>
    <row r="70" spans="2:24" x14ac:dyDescent="0.25"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</row>
    <row r="71" spans="2:24" x14ac:dyDescent="0.25">
      <c r="B71" s="62" t="s">
        <v>118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</row>
    <row r="72" spans="2:24" x14ac:dyDescent="0.25">
      <c r="B72" s="59" t="s">
        <v>133</v>
      </c>
      <c r="C72" s="76">
        <f>+(1+32%)^3-1</f>
        <v>1.2999680000000002</v>
      </c>
      <c r="D72" s="52" t="s">
        <v>134</v>
      </c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</row>
    <row r="73" spans="2:24" x14ac:dyDescent="0.25">
      <c r="B73" s="74" t="s">
        <v>114</v>
      </c>
      <c r="C73" s="75">
        <f>12000+12000*((1-(1+C72)^-6)/(C72))</f>
        <v>21168.634772986974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</row>
    <row r="74" spans="2:24" x14ac:dyDescent="0.25"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</row>
    <row r="75" spans="2:24" x14ac:dyDescent="0.25"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</row>
    <row r="76" spans="2:24" x14ac:dyDescent="0.25">
      <c r="B76" s="53" t="s">
        <v>135</v>
      </c>
      <c r="C76" s="52">
        <v>0</v>
      </c>
      <c r="D76" s="52">
        <v>1</v>
      </c>
      <c r="E76" s="52">
        <v>2</v>
      </c>
      <c r="F76" s="52">
        <v>3</v>
      </c>
      <c r="G76" s="52">
        <v>4</v>
      </c>
      <c r="H76" s="52">
        <v>5</v>
      </c>
      <c r="I76" s="52">
        <v>6</v>
      </c>
      <c r="J76" s="52">
        <v>7</v>
      </c>
      <c r="K76" s="52">
        <v>8</v>
      </c>
      <c r="L76" s="52">
        <v>9</v>
      </c>
      <c r="M76" s="52">
        <v>10</v>
      </c>
      <c r="N76" s="52">
        <v>11</v>
      </c>
      <c r="O76" s="52">
        <v>12</v>
      </c>
      <c r="P76" s="52">
        <v>13</v>
      </c>
      <c r="Q76" s="52">
        <v>14</v>
      </c>
      <c r="R76" s="52">
        <v>15</v>
      </c>
      <c r="S76" s="52">
        <v>16</v>
      </c>
      <c r="T76" s="52">
        <v>17</v>
      </c>
      <c r="U76" s="52">
        <v>18</v>
      </c>
      <c r="V76" s="52">
        <v>19</v>
      </c>
      <c r="W76" s="52">
        <v>20</v>
      </c>
      <c r="X76" s="52">
        <v>21</v>
      </c>
    </row>
    <row r="77" spans="2:24" x14ac:dyDescent="0.25">
      <c r="B77" s="54" t="s">
        <v>108</v>
      </c>
      <c r="C77" s="55">
        <v>20000</v>
      </c>
      <c r="D77" s="54"/>
      <c r="E77" s="54"/>
      <c r="F77" s="56"/>
      <c r="G77" s="56"/>
      <c r="H77" s="56"/>
      <c r="I77" s="56"/>
      <c r="J77" s="56">
        <v>10000</v>
      </c>
      <c r="K77" s="56"/>
      <c r="L77" s="56"/>
      <c r="M77" s="56"/>
      <c r="N77" s="56"/>
      <c r="O77" s="56"/>
      <c r="P77" s="56"/>
      <c r="Q77" s="56">
        <v>10000</v>
      </c>
      <c r="R77" s="56"/>
      <c r="S77" s="56"/>
      <c r="T77" s="56"/>
      <c r="U77" s="56"/>
      <c r="V77" s="56"/>
      <c r="W77" s="56"/>
      <c r="X77" s="56"/>
    </row>
    <row r="78" spans="2:24" x14ac:dyDescent="0.25">
      <c r="B78" s="59" t="s">
        <v>112</v>
      </c>
      <c r="C78" s="60">
        <f t="shared" ref="C78:X78" si="3">+SUM(C77:C77)</f>
        <v>20000</v>
      </c>
      <c r="D78" s="60">
        <f t="shared" si="3"/>
        <v>0</v>
      </c>
      <c r="E78" s="60">
        <f t="shared" si="3"/>
        <v>0</v>
      </c>
      <c r="F78" s="60">
        <f t="shared" si="3"/>
        <v>0</v>
      </c>
      <c r="G78" s="60">
        <f t="shared" si="3"/>
        <v>0</v>
      </c>
      <c r="H78" s="60">
        <f t="shared" si="3"/>
        <v>0</v>
      </c>
      <c r="I78" s="60">
        <f t="shared" si="3"/>
        <v>0</v>
      </c>
      <c r="J78" s="60">
        <f t="shared" si="3"/>
        <v>10000</v>
      </c>
      <c r="K78" s="60">
        <f t="shared" si="3"/>
        <v>0</v>
      </c>
      <c r="L78" s="60">
        <f t="shared" si="3"/>
        <v>0</v>
      </c>
      <c r="M78" s="60">
        <f t="shared" si="3"/>
        <v>0</v>
      </c>
      <c r="N78" s="60">
        <f t="shared" si="3"/>
        <v>0</v>
      </c>
      <c r="O78" s="60">
        <f t="shared" si="3"/>
        <v>0</v>
      </c>
      <c r="P78" s="60">
        <f t="shared" si="3"/>
        <v>0</v>
      </c>
      <c r="Q78" s="60">
        <f t="shared" si="3"/>
        <v>10000</v>
      </c>
      <c r="R78" s="60">
        <f t="shared" si="3"/>
        <v>0</v>
      </c>
      <c r="S78" s="60">
        <f t="shared" si="3"/>
        <v>0</v>
      </c>
      <c r="T78" s="60">
        <f t="shared" si="3"/>
        <v>0</v>
      </c>
      <c r="U78" s="60">
        <f t="shared" si="3"/>
        <v>0</v>
      </c>
      <c r="V78" s="60">
        <f t="shared" si="3"/>
        <v>0</v>
      </c>
      <c r="W78" s="60">
        <f t="shared" si="3"/>
        <v>0</v>
      </c>
      <c r="X78" s="60">
        <f t="shared" si="3"/>
        <v>0</v>
      </c>
    </row>
    <row r="79" spans="2:24" x14ac:dyDescent="0.25"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</row>
    <row r="80" spans="2:24" x14ac:dyDescent="0.25">
      <c r="B80" s="62" t="s">
        <v>113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</row>
    <row r="81" spans="2:26" x14ac:dyDescent="0.25">
      <c r="B81" s="74" t="s">
        <v>114</v>
      </c>
      <c r="C81" s="75">
        <f>+NPV(32%,D78:X78)+C78</f>
        <v>21637.229799988188</v>
      </c>
      <c r="D81" s="65" t="s">
        <v>115</v>
      </c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</row>
    <row r="82" spans="2:26" x14ac:dyDescent="0.25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</row>
    <row r="83" spans="2:26" x14ac:dyDescent="0.25">
      <c r="B83" s="62" t="s">
        <v>118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</row>
    <row r="84" spans="2:26" x14ac:dyDescent="0.25">
      <c r="B84" s="59" t="s">
        <v>136</v>
      </c>
      <c r="C84" s="76">
        <f>+(1+32%)^7-1</f>
        <v>5.9826056973516817</v>
      </c>
      <c r="D84" s="52" t="s">
        <v>137</v>
      </c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</row>
    <row r="85" spans="2:26" x14ac:dyDescent="0.25">
      <c r="B85" s="74" t="s">
        <v>114</v>
      </c>
      <c r="C85" s="75">
        <f>20000+10000*((1-(1+C84)^-2)/(C84))</f>
        <v>21637.229799988188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</row>
    <row r="86" spans="2:26" x14ac:dyDescent="0.25"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</row>
    <row r="87" spans="2:26" x14ac:dyDescent="0.25">
      <c r="B87" s="52" t="s">
        <v>138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</row>
    <row r="88" spans="2:26" x14ac:dyDescent="0.25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</row>
    <row r="89" spans="2:26" x14ac:dyDescent="0.25">
      <c r="B89" s="68" t="s">
        <v>139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</row>
    <row r="90" spans="2:26" x14ac:dyDescent="0.25">
      <c r="B90" s="52"/>
      <c r="C90" s="52"/>
      <c r="D90" s="52"/>
      <c r="E90" s="52"/>
      <c r="F90" s="52"/>
      <c r="G90" s="52"/>
      <c r="H90" s="52"/>
      <c r="I90" s="52"/>
      <c r="J90" s="52"/>
      <c r="K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</row>
    <row r="91" spans="2:26" ht="15.75" thickBot="1" x14ac:dyDescent="0.3"/>
    <row r="92" spans="2:26" ht="15.75" thickBot="1" x14ac:dyDescent="0.3">
      <c r="B92" s="81" t="s">
        <v>140</v>
      </c>
      <c r="C92" s="80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2:26" x14ac:dyDescent="0.25">
      <c r="B93" s="78"/>
      <c r="C93" s="78"/>
      <c r="D93" s="78"/>
      <c r="E93" s="78"/>
      <c r="F93" s="78"/>
      <c r="G93" s="78"/>
      <c r="H93" s="78"/>
      <c r="I93" s="78"/>
      <c r="J93" s="78"/>
      <c r="K93" s="79">
        <v>0</v>
      </c>
      <c r="L93" s="79">
        <v>1</v>
      </c>
      <c r="M93" s="79">
        <v>2</v>
      </c>
      <c r="N93" s="79">
        <v>3</v>
      </c>
      <c r="O93" s="79">
        <v>4</v>
      </c>
      <c r="P93" s="79">
        <v>5</v>
      </c>
      <c r="Q93" s="79">
        <v>6</v>
      </c>
      <c r="R93" s="79">
        <v>7</v>
      </c>
      <c r="S93" s="79">
        <v>8</v>
      </c>
      <c r="T93" s="79">
        <v>9</v>
      </c>
      <c r="U93" s="79">
        <v>10</v>
      </c>
      <c r="V93" s="79" t="s">
        <v>141</v>
      </c>
      <c r="W93" s="79">
        <v>15</v>
      </c>
      <c r="X93" s="79" t="s">
        <v>141</v>
      </c>
      <c r="Y93" s="79">
        <v>25</v>
      </c>
      <c r="Z93" s="78"/>
    </row>
    <row r="94" spans="2:26" x14ac:dyDescent="0.25">
      <c r="B94" s="78"/>
      <c r="C94" s="78"/>
      <c r="D94" s="78"/>
      <c r="E94" s="78"/>
      <c r="F94" s="78"/>
      <c r="G94" s="78"/>
      <c r="H94" s="78"/>
      <c r="I94" s="78"/>
      <c r="J94" s="78"/>
      <c r="K94" s="79">
        <v>250000</v>
      </c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8"/>
    </row>
    <row r="95" spans="2:26" x14ac:dyDescent="0.25">
      <c r="B95" s="78"/>
      <c r="C95" s="78"/>
      <c r="D95" s="78"/>
      <c r="E95" s="78"/>
      <c r="F95" s="78"/>
      <c r="G95" s="78"/>
      <c r="H95" s="78"/>
      <c r="I95" s="78"/>
      <c r="J95" s="78"/>
      <c r="K95" s="79"/>
      <c r="L95" s="79">
        <v>12000</v>
      </c>
      <c r="M95" s="79">
        <v>12000</v>
      </c>
      <c r="N95" s="79">
        <v>12000</v>
      </c>
      <c r="O95" s="79">
        <v>12000</v>
      </c>
      <c r="P95" s="79">
        <v>12000</v>
      </c>
      <c r="Q95" s="79">
        <v>18000</v>
      </c>
      <c r="R95" s="79">
        <v>18000</v>
      </c>
      <c r="S95" s="79">
        <v>18000</v>
      </c>
      <c r="T95" s="79">
        <v>18000</v>
      </c>
      <c r="U95" s="79">
        <v>18000</v>
      </c>
      <c r="V95" s="79"/>
      <c r="W95" s="79">
        <v>18000</v>
      </c>
      <c r="X95" s="79"/>
      <c r="Y95" s="79">
        <v>18000</v>
      </c>
      <c r="Z95" s="78"/>
    </row>
    <row r="96" spans="2:26" x14ac:dyDescent="0.25">
      <c r="B96" s="78"/>
      <c r="C96" s="78"/>
      <c r="D96" s="78"/>
      <c r="E96" s="78"/>
      <c r="F96" s="78"/>
      <c r="G96" s="78"/>
      <c r="H96" s="78"/>
      <c r="I96" s="78"/>
      <c r="J96" s="78"/>
      <c r="K96" s="79"/>
      <c r="L96" s="79"/>
      <c r="M96" s="79"/>
      <c r="N96" s="79"/>
      <c r="O96" s="79"/>
      <c r="P96" s="79"/>
      <c r="Q96" s="79">
        <v>100000</v>
      </c>
      <c r="R96" s="79"/>
      <c r="S96" s="79"/>
      <c r="T96" s="79"/>
      <c r="U96" s="79"/>
      <c r="V96" s="79"/>
      <c r="W96" s="79">
        <v>50000</v>
      </c>
      <c r="X96" s="79"/>
      <c r="Y96" s="79">
        <v>50000</v>
      </c>
      <c r="Z96" s="78"/>
    </row>
    <row r="97" spans="2:26" x14ac:dyDescent="0.2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2:26" x14ac:dyDescent="0.25">
      <c r="B98" s="78"/>
      <c r="C98" s="78"/>
      <c r="D98" s="78"/>
      <c r="E98" s="78"/>
      <c r="F98" s="78"/>
      <c r="G98" s="78"/>
      <c r="H98" s="78"/>
      <c r="I98" s="78"/>
      <c r="J98" s="78"/>
      <c r="K98" s="78" t="s">
        <v>142</v>
      </c>
      <c r="L98" s="84">
        <f>(1+7%)^10-1</f>
        <v>0.96715135728956558</v>
      </c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2:26" x14ac:dyDescent="0.2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>
        <f>250000+12000*(1-(1+7%)^-5)/7%+(18000/7%)/((1+7%)^5)+(100000)/((1+7%)^5)+(50000/L98)/(1*(1+7%)^5)</f>
        <v>590700.40415421873</v>
      </c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2:26" x14ac:dyDescent="0.25">
      <c r="B100" s="78"/>
      <c r="C100" s="78"/>
      <c r="D100" s="78"/>
      <c r="E100" s="78"/>
      <c r="F100" s="78"/>
      <c r="G100" s="78"/>
      <c r="H100" s="78"/>
      <c r="I100" s="78"/>
      <c r="J100" s="78"/>
      <c r="K100" s="78" t="s">
        <v>143</v>
      </c>
      <c r="L100" s="78" t="s">
        <v>150</v>
      </c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2:26" x14ac:dyDescent="0.2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6"/>
      <c r="M101" s="77"/>
      <c r="N101" s="77"/>
      <c r="O101" s="77"/>
      <c r="P101" s="87"/>
      <c r="Q101" s="87"/>
      <c r="R101" s="87"/>
      <c r="S101" s="88"/>
      <c r="T101" s="88"/>
      <c r="U101" s="88"/>
      <c r="V101" s="89"/>
      <c r="W101" s="89"/>
      <c r="X101" s="89"/>
      <c r="Y101" s="78"/>
      <c r="Z101" s="78"/>
    </row>
    <row r="102" spans="2:26" x14ac:dyDescent="0.25">
      <c r="B102" s="78"/>
      <c r="C102" s="78"/>
      <c r="D102" s="78"/>
      <c r="E102" s="78"/>
      <c r="F102" s="78"/>
      <c r="G102" s="78"/>
      <c r="H102" s="78"/>
      <c r="I102" s="78"/>
      <c r="J102" s="78"/>
      <c r="L102" s="78" t="s">
        <v>108</v>
      </c>
      <c r="M102" s="78" t="s">
        <v>146</v>
      </c>
      <c r="N102" s="78"/>
      <c r="O102" s="78"/>
      <c r="P102" s="78" t="s">
        <v>149</v>
      </c>
      <c r="Q102" s="78"/>
      <c r="R102" s="78"/>
      <c r="S102" s="78" t="s">
        <v>148</v>
      </c>
      <c r="T102" s="78"/>
      <c r="U102" s="78"/>
      <c r="V102" s="78" t="s">
        <v>151</v>
      </c>
      <c r="W102" s="78"/>
      <c r="X102" s="78"/>
      <c r="Y102" s="78"/>
      <c r="Z102" s="78"/>
    </row>
    <row r="103" spans="2:26" x14ac:dyDescent="0.2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 t="s">
        <v>147</v>
      </c>
      <c r="Q103" s="78"/>
      <c r="R103" s="78"/>
      <c r="S103" s="78" t="s">
        <v>147</v>
      </c>
      <c r="T103" s="78"/>
      <c r="U103" s="78"/>
      <c r="V103" s="78" t="s">
        <v>152</v>
      </c>
      <c r="W103" s="78"/>
      <c r="X103" s="78"/>
      <c r="Y103" s="78"/>
      <c r="Z103" s="78"/>
    </row>
    <row r="104" spans="2:26" x14ac:dyDescent="0.2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2:26" x14ac:dyDescent="0.25">
      <c r="B105" s="78"/>
      <c r="C105" s="78"/>
      <c r="D105" s="78"/>
      <c r="E105" s="78"/>
      <c r="F105" s="78"/>
      <c r="G105" s="78"/>
      <c r="H105" s="78"/>
      <c r="I105" s="78"/>
      <c r="J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2:26" x14ac:dyDescent="0.25">
      <c r="K106" s="78"/>
    </row>
    <row r="107" spans="2:26" ht="15.75" thickBot="1" x14ac:dyDescent="0.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</row>
    <row r="108" spans="2:26" ht="15.75" thickBot="1" x14ac:dyDescent="0.3">
      <c r="B108" s="81" t="s">
        <v>144</v>
      </c>
      <c r="C108" s="80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</row>
    <row r="109" spans="2:26" x14ac:dyDescent="0.2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</row>
    <row r="110" spans="2:26" x14ac:dyDescent="0.2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</row>
    <row r="111" spans="2:26" x14ac:dyDescent="0.25">
      <c r="B111" s="78"/>
      <c r="C111" s="78"/>
      <c r="D111" s="78"/>
      <c r="E111" s="78"/>
      <c r="F111" s="78"/>
      <c r="G111" s="78"/>
      <c r="H111" s="78"/>
      <c r="I111" s="78"/>
      <c r="J111" s="78"/>
      <c r="K111" s="78" t="s">
        <v>145</v>
      </c>
      <c r="L111" s="78"/>
      <c r="M111" s="78"/>
      <c r="N111" s="78"/>
      <c r="O111" s="78"/>
      <c r="P111" s="78"/>
      <c r="Q111" s="78"/>
      <c r="R111" s="78"/>
    </row>
    <row r="112" spans="2:26" x14ac:dyDescent="0.25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</row>
    <row r="113" spans="2:18" x14ac:dyDescent="0.25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</row>
    <row r="114" spans="2:18" x14ac:dyDescent="0.25">
      <c r="B114" s="78"/>
      <c r="C114" s="78"/>
      <c r="D114" s="78"/>
      <c r="E114" s="78"/>
      <c r="F114" s="78"/>
      <c r="G114" s="78"/>
      <c r="H114" s="78"/>
      <c r="I114" s="78"/>
      <c r="J114" s="78"/>
      <c r="K114" s="78">
        <v>0</v>
      </c>
      <c r="L114" s="78">
        <v>1</v>
      </c>
      <c r="M114" s="78">
        <v>2</v>
      </c>
      <c r="N114" s="78">
        <v>3</v>
      </c>
      <c r="O114" s="78">
        <v>4</v>
      </c>
      <c r="P114" s="78">
        <v>5</v>
      </c>
      <c r="Q114" s="78">
        <v>6</v>
      </c>
      <c r="R114" s="78">
        <v>7</v>
      </c>
    </row>
    <row r="115" spans="2:18" x14ac:dyDescent="0.25">
      <c r="B115" s="78"/>
      <c r="C115" s="78"/>
      <c r="D115" s="78"/>
      <c r="E115" s="78"/>
      <c r="F115" s="78"/>
      <c r="G115" s="78"/>
      <c r="H115" s="78"/>
      <c r="I115" s="78"/>
      <c r="J115" s="78"/>
      <c r="K115" s="78">
        <v>87700</v>
      </c>
      <c r="L115" s="78"/>
      <c r="M115" s="78"/>
      <c r="N115" s="78"/>
      <c r="O115" s="78"/>
      <c r="P115" s="78"/>
      <c r="Q115" s="78"/>
      <c r="R115" s="78"/>
    </row>
    <row r="116" spans="2:18" x14ac:dyDescent="0.25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>
        <v>3200</v>
      </c>
      <c r="M116" s="78">
        <v>3200</v>
      </c>
      <c r="N116" s="78">
        <v>3200</v>
      </c>
      <c r="O116" s="78">
        <v>3200</v>
      </c>
      <c r="P116" s="78">
        <v>3200</v>
      </c>
      <c r="Q116" s="78">
        <v>3200</v>
      </c>
      <c r="R116" s="78">
        <v>3200</v>
      </c>
    </row>
    <row r="117" spans="2:18" x14ac:dyDescent="0.25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>
        <v>14500</v>
      </c>
      <c r="M117" s="78">
        <v>14500</v>
      </c>
      <c r="N117" s="78">
        <v>14500</v>
      </c>
      <c r="O117" s="78">
        <v>14500</v>
      </c>
      <c r="P117" s="78">
        <v>14500</v>
      </c>
      <c r="Q117" s="78">
        <v>14500</v>
      </c>
      <c r="R117" s="78">
        <v>14500</v>
      </c>
    </row>
    <row r="118" spans="2:18" x14ac:dyDescent="0.25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>
        <v>5200</v>
      </c>
      <c r="M118" s="78">
        <v>5200</v>
      </c>
      <c r="N118" s="78">
        <v>5200</v>
      </c>
      <c r="O118" s="78">
        <v>5200</v>
      </c>
      <c r="P118" s="78">
        <v>5200</v>
      </c>
      <c r="Q118" s="78">
        <v>5200</v>
      </c>
      <c r="R118" s="78">
        <v>5200</v>
      </c>
    </row>
    <row r="119" spans="2:18" x14ac:dyDescent="0.25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>
        <v>-14200</v>
      </c>
    </row>
    <row r="120" spans="2:18" x14ac:dyDescent="0.25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>
        <f>SUM(L116:L118)</f>
        <v>22900</v>
      </c>
      <c r="M120" s="78">
        <f t="shared" ref="M120:Q120" si="4">SUM(M116:M118)</f>
        <v>22900</v>
      </c>
      <c r="N120" s="78">
        <f t="shared" si="4"/>
        <v>22900</v>
      </c>
      <c r="O120" s="78">
        <f t="shared" si="4"/>
        <v>22900</v>
      </c>
      <c r="P120" s="78">
        <f t="shared" si="4"/>
        <v>22900</v>
      </c>
      <c r="Q120" s="78">
        <f t="shared" si="4"/>
        <v>22900</v>
      </c>
      <c r="R120" s="78">
        <f>SUM(R116:R119)</f>
        <v>8700</v>
      </c>
    </row>
    <row r="121" spans="2:18" x14ac:dyDescent="0.25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</row>
    <row r="122" spans="2:18" x14ac:dyDescent="0.25">
      <c r="B122" s="78"/>
      <c r="C122" s="78"/>
      <c r="D122" s="78"/>
      <c r="E122" s="78"/>
      <c r="F122" s="78"/>
      <c r="G122" s="78"/>
      <c r="H122" s="78"/>
      <c r="I122" s="78"/>
      <c r="J122" s="78"/>
      <c r="K122" s="78" t="s">
        <v>47</v>
      </c>
      <c r="L122" s="82">
        <v>0.105155571</v>
      </c>
      <c r="M122" s="78"/>
      <c r="N122" s="78"/>
      <c r="O122" s="78"/>
      <c r="P122" s="78"/>
      <c r="Q122" s="78"/>
      <c r="R122" s="78"/>
    </row>
    <row r="123" spans="2:18" x14ac:dyDescent="0.25">
      <c r="B123" s="78"/>
      <c r="C123" s="78"/>
      <c r="D123" s="78"/>
      <c r="E123" s="78"/>
      <c r="F123" s="78"/>
      <c r="G123" s="78"/>
      <c r="H123" s="78"/>
      <c r="I123" s="78"/>
      <c r="J123" s="78"/>
      <c r="K123" s="78" t="s">
        <v>114</v>
      </c>
      <c r="L123" s="83">
        <f>NPV(L122,L120:R120)+K115</f>
        <v>190267.20768215467</v>
      </c>
      <c r="M123" s="78">
        <f>K115+L120*(1-(1+L122)^-7)/L122+R119/(1+L122)^7</f>
        <v>190267.20768215475</v>
      </c>
      <c r="N123" s="78"/>
      <c r="O123" s="78">
        <f>22900*((1-(1+L122)^-7)/L122)-14200/(1+L122)^7+87700</f>
        <v>190267.20768215472</v>
      </c>
      <c r="P123" s="78"/>
      <c r="Q123" s="78"/>
      <c r="R123" s="78"/>
    </row>
    <row r="124" spans="2:18" x14ac:dyDescent="0.25">
      <c r="B124" s="78"/>
      <c r="C124" s="78"/>
      <c r="D124" s="78"/>
      <c r="E124" s="78"/>
      <c r="F124" s="78"/>
      <c r="G124" s="78"/>
      <c r="H124" s="78"/>
      <c r="I124" s="78"/>
      <c r="J124" s="78"/>
      <c r="K124" s="78" t="s">
        <v>116</v>
      </c>
      <c r="L124" s="85">
        <f>-PMT(L122,7,L123,0,0)</f>
        <v>39747.698652328276</v>
      </c>
      <c r="M124" s="78">
        <f>(M123*L122)/(1-(1+L122)^-7)</f>
        <v>39747.698652328283</v>
      </c>
      <c r="N124" s="78"/>
      <c r="O124" s="78">
        <f>(O123*L122)/(1-(1+L122)^-7)</f>
        <v>39747.698652328276</v>
      </c>
      <c r="P124" s="78"/>
      <c r="Q124" s="78"/>
      <c r="R124" s="78"/>
    </row>
    <row r="125" spans="2:18" x14ac:dyDescent="0.25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</row>
    <row r="126" spans="2:18" x14ac:dyDescent="0.25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</row>
    <row r="127" spans="2:18" x14ac:dyDescent="0.25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</row>
    <row r="128" spans="2:18" x14ac:dyDescent="0.25">
      <c r="B128" s="78"/>
      <c r="C128" s="78"/>
      <c r="D128" s="78"/>
      <c r="E128" s="78"/>
      <c r="F128" s="78"/>
      <c r="G128" s="78"/>
      <c r="H128" s="78"/>
      <c r="I128" s="78"/>
      <c r="J128" s="78"/>
      <c r="K128" s="78">
        <v>0</v>
      </c>
      <c r="L128" s="78">
        <v>1</v>
      </c>
      <c r="M128" s="78">
        <v>2</v>
      </c>
      <c r="N128" s="78">
        <v>3</v>
      </c>
      <c r="O128" s="78">
        <v>4</v>
      </c>
      <c r="P128" s="78">
        <v>5</v>
      </c>
      <c r="Q128" s="78"/>
      <c r="R128" s="78"/>
    </row>
    <row r="129" spans="2:18" x14ac:dyDescent="0.25">
      <c r="B129" s="78"/>
      <c r="C129" s="78"/>
      <c r="D129" s="78"/>
      <c r="E129" s="78"/>
      <c r="F129" s="78"/>
      <c r="G129" s="78"/>
      <c r="H129" s="78"/>
      <c r="I129" s="78"/>
      <c r="J129" s="78"/>
      <c r="K129" s="78">
        <v>62300</v>
      </c>
      <c r="L129" s="78"/>
      <c r="M129" s="78"/>
      <c r="N129" s="78"/>
      <c r="O129" s="78"/>
      <c r="P129" s="78"/>
      <c r="Q129" s="78"/>
      <c r="R129" s="78"/>
    </row>
    <row r="130" spans="2:18" x14ac:dyDescent="0.25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>
        <v>2800</v>
      </c>
      <c r="M130" s="78">
        <v>2800</v>
      </c>
      <c r="N130" s="78">
        <v>2800</v>
      </c>
      <c r="O130" s="78">
        <v>2800</v>
      </c>
      <c r="P130" s="78">
        <v>2800</v>
      </c>
      <c r="Q130" s="78"/>
      <c r="R130" s="78"/>
    </row>
    <row r="131" spans="2:18" x14ac:dyDescent="0.25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>
        <v>20000</v>
      </c>
      <c r="M131" s="78">
        <v>20000</v>
      </c>
      <c r="N131" s="78">
        <v>20000</v>
      </c>
      <c r="O131" s="78">
        <v>20000</v>
      </c>
      <c r="P131" s="78">
        <v>20000</v>
      </c>
      <c r="Q131" s="78"/>
      <c r="R131" s="78"/>
    </row>
    <row r="132" spans="2:18" x14ac:dyDescent="0.25"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>
        <v>-10000</v>
      </c>
      <c r="Q132" s="78"/>
      <c r="R132" s="78"/>
    </row>
    <row r="133" spans="2:18" x14ac:dyDescent="0.25"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</row>
    <row r="134" spans="2:18" x14ac:dyDescent="0.25"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>
        <f>SUM(L130:L133)</f>
        <v>22800</v>
      </c>
      <c r="M134" s="78">
        <f t="shared" ref="M134:P134" si="5">SUM(M130:M133)</f>
        <v>22800</v>
      </c>
      <c r="N134" s="78">
        <f t="shared" si="5"/>
        <v>22800</v>
      </c>
      <c r="O134" s="78">
        <f t="shared" si="5"/>
        <v>22800</v>
      </c>
      <c r="P134" s="78">
        <f t="shared" si="5"/>
        <v>12800</v>
      </c>
      <c r="Q134" s="78"/>
      <c r="R134" s="78"/>
    </row>
    <row r="135" spans="2:18" x14ac:dyDescent="0.25"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</row>
    <row r="136" spans="2:18" x14ac:dyDescent="0.25">
      <c r="B136" s="78"/>
      <c r="C136" s="78"/>
      <c r="D136" s="78"/>
      <c r="E136" s="78"/>
      <c r="F136" s="78"/>
      <c r="G136" s="78"/>
      <c r="H136" s="78"/>
      <c r="I136" s="78"/>
      <c r="J136" s="78"/>
      <c r="K136" s="78" t="s">
        <v>114</v>
      </c>
      <c r="L136" s="83">
        <f>NPV(L122,L134:P134)+K129</f>
        <v>141537.7958864831</v>
      </c>
      <c r="M136" s="78">
        <f>K129+L134*(1-(1+L122)^-5)/L122+P132/(1+L122)^5</f>
        <v>141537.79588648316</v>
      </c>
      <c r="N136" s="78"/>
      <c r="O136" s="78">
        <f>L134*((1-(1+L122)^-5)/L122)-10000/(1+L122)^5+K129</f>
        <v>141537.79588648319</v>
      </c>
      <c r="P136" s="78"/>
      <c r="Q136" s="78"/>
      <c r="R136" s="78"/>
    </row>
    <row r="137" spans="2:18" x14ac:dyDescent="0.25">
      <c r="B137" s="78"/>
      <c r="C137" s="78"/>
      <c r="D137" s="78"/>
      <c r="E137" s="78"/>
      <c r="F137" s="78"/>
      <c r="G137" s="78"/>
      <c r="H137" s="78"/>
      <c r="I137" s="78"/>
      <c r="J137" s="78"/>
      <c r="K137" s="78" t="s">
        <v>116</v>
      </c>
      <c r="L137" s="85">
        <f>-PMT(L122,5,L136,0,0)</f>
        <v>37830.345204306068</v>
      </c>
      <c r="M137" s="78">
        <f>(M136*L122)/(1-(1+L122)^-5)</f>
        <v>37830.345204306053</v>
      </c>
      <c r="N137" s="78"/>
      <c r="O137" s="78"/>
      <c r="P137" s="78"/>
      <c r="Q137" s="78"/>
      <c r="R137" s="78"/>
    </row>
    <row r="138" spans="2:18" x14ac:dyDescent="0.25"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</row>
    <row r="139" spans="2:18" x14ac:dyDescent="0.25"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</row>
    <row r="140" spans="2:18" x14ac:dyDescent="0.25"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</row>
    <row r="141" spans="2:18" x14ac:dyDescent="0.25"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</row>
    <row r="142" spans="2:18" x14ac:dyDescent="0.25"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</row>
    <row r="143" spans="2:18" x14ac:dyDescent="0.25"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</row>
    <row r="144" spans="2:18" x14ac:dyDescent="0.25"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</row>
    <row r="147" spans="6:20" x14ac:dyDescent="0.25">
      <c r="L147" s="96"/>
      <c r="M147" s="96"/>
      <c r="N147" s="96"/>
      <c r="O147" s="96"/>
      <c r="P147" s="96"/>
      <c r="Q147" s="96"/>
      <c r="R147" s="96"/>
      <c r="S147" s="96"/>
      <c r="T147" s="96"/>
    </row>
    <row r="148" spans="6:20" x14ac:dyDescent="0.25">
      <c r="F148" s="100" t="s">
        <v>154</v>
      </c>
      <c r="G148" s="96"/>
      <c r="H148" s="96"/>
      <c r="L148" s="96"/>
      <c r="M148" s="96"/>
      <c r="N148" s="96"/>
      <c r="O148" s="96"/>
      <c r="P148" s="96"/>
      <c r="Q148" s="96"/>
      <c r="R148" s="96"/>
      <c r="S148" s="96"/>
      <c r="T148" s="96"/>
    </row>
    <row r="149" spans="6:20" ht="15.75" x14ac:dyDescent="0.3">
      <c r="F149" s="96"/>
      <c r="G149" s="101" t="s">
        <v>155</v>
      </c>
      <c r="H149" s="101" t="s">
        <v>156</v>
      </c>
      <c r="L149" s="97"/>
      <c r="M149" s="97"/>
      <c r="N149" s="96"/>
      <c r="O149" s="96"/>
      <c r="P149" s="96"/>
      <c r="Q149" s="96"/>
      <c r="R149" s="96"/>
      <c r="S149" s="96"/>
      <c r="T149" s="96"/>
    </row>
    <row r="150" spans="6:20" ht="15.75" x14ac:dyDescent="0.3">
      <c r="F150" s="102" t="s">
        <v>108</v>
      </c>
      <c r="G150" s="103">
        <v>352000</v>
      </c>
      <c r="H150" s="103">
        <v>2000000</v>
      </c>
      <c r="L150" s="97"/>
      <c r="M150" s="97"/>
      <c r="N150" s="96"/>
      <c r="O150" s="96"/>
      <c r="P150" s="96"/>
      <c r="Q150" s="96"/>
      <c r="R150" s="96"/>
      <c r="S150" s="96"/>
      <c r="T150" s="96"/>
    </row>
    <row r="151" spans="6:20" ht="15.75" x14ac:dyDescent="0.3">
      <c r="F151" s="102" t="s">
        <v>157</v>
      </c>
      <c r="G151" s="99">
        <v>118000</v>
      </c>
      <c r="H151" s="103">
        <v>11000</v>
      </c>
      <c r="L151" s="97"/>
      <c r="M151" s="97"/>
      <c r="N151" s="96"/>
      <c r="O151" s="96"/>
      <c r="P151" s="96"/>
      <c r="Q151" s="96"/>
      <c r="R151" s="96"/>
      <c r="S151" s="96"/>
      <c r="T151" s="96"/>
    </row>
    <row r="152" spans="6:20" ht="15.75" x14ac:dyDescent="0.3">
      <c r="F152" s="102" t="s">
        <v>158</v>
      </c>
      <c r="G152" s="103"/>
      <c r="H152" s="103">
        <v>91000</v>
      </c>
      <c r="L152" s="97"/>
      <c r="M152" s="97"/>
      <c r="N152" s="96"/>
      <c r="O152" s="96"/>
      <c r="P152" s="96"/>
      <c r="Q152" s="96"/>
      <c r="R152" s="96"/>
      <c r="S152" s="96"/>
      <c r="T152" s="96"/>
    </row>
    <row r="153" spans="6:20" ht="15.75" x14ac:dyDescent="0.3">
      <c r="F153" s="102" t="s">
        <v>111</v>
      </c>
      <c r="G153" s="104">
        <v>71000</v>
      </c>
      <c r="H153" s="104"/>
      <c r="L153" s="97"/>
      <c r="M153" s="97"/>
      <c r="N153" s="96"/>
      <c r="O153" s="96"/>
      <c r="P153" s="96"/>
      <c r="Q153" s="96"/>
      <c r="R153" s="96"/>
      <c r="S153" s="96"/>
      <c r="T153" s="96"/>
    </row>
    <row r="154" spans="6:20" ht="15.75" x14ac:dyDescent="0.3">
      <c r="F154" s="102" t="s">
        <v>159</v>
      </c>
      <c r="G154" s="105">
        <v>0.05</v>
      </c>
      <c r="H154" s="105">
        <v>0.05</v>
      </c>
      <c r="L154" s="97"/>
      <c r="M154" s="97"/>
      <c r="N154" s="96"/>
      <c r="O154" s="96"/>
      <c r="P154" s="96"/>
      <c r="Q154" s="96"/>
      <c r="R154" s="96"/>
      <c r="S154" s="96"/>
      <c r="T154" s="96"/>
    </row>
    <row r="155" spans="6:20" ht="15.75" x14ac:dyDescent="0.3">
      <c r="F155" s="102" t="s">
        <v>160</v>
      </c>
      <c r="G155" s="99">
        <v>5</v>
      </c>
      <c r="H155" s="103">
        <v>40</v>
      </c>
      <c r="L155" s="97"/>
      <c r="M155" s="97"/>
      <c r="N155" s="96"/>
      <c r="O155" s="96"/>
      <c r="P155" s="96"/>
      <c r="Q155" s="96"/>
      <c r="R155" s="96"/>
      <c r="S155" s="96"/>
      <c r="T155" s="96"/>
    </row>
    <row r="156" spans="6:20" ht="15.75" x14ac:dyDescent="0.3">
      <c r="F156" s="102" t="s">
        <v>161</v>
      </c>
      <c r="G156" s="106" t="s">
        <v>162</v>
      </c>
      <c r="H156" s="106" t="s">
        <v>162</v>
      </c>
      <c r="L156" s="97"/>
      <c r="M156" s="97"/>
      <c r="N156" s="96"/>
      <c r="O156" s="96"/>
      <c r="P156" s="96"/>
      <c r="Q156" s="96"/>
      <c r="R156" s="96"/>
      <c r="S156" s="96"/>
      <c r="T156" s="96"/>
    </row>
    <row r="157" spans="6:20" x14ac:dyDescent="0.25">
      <c r="L157" s="96"/>
      <c r="M157" s="96"/>
      <c r="N157" s="96"/>
      <c r="O157" s="96"/>
      <c r="P157" s="96"/>
      <c r="Q157" s="96"/>
      <c r="R157" s="96"/>
      <c r="S157" s="96"/>
      <c r="T157" s="96"/>
    </row>
    <row r="158" spans="6:20" x14ac:dyDescent="0.25">
      <c r="L158" s="96"/>
      <c r="M158" s="96"/>
      <c r="N158" s="96"/>
      <c r="O158" s="96"/>
      <c r="P158" s="96"/>
      <c r="Q158" s="96"/>
      <c r="R158" s="96"/>
      <c r="S158" s="96"/>
      <c r="T158" s="96"/>
    </row>
    <row r="159" spans="6:20" x14ac:dyDescent="0.25">
      <c r="F159" s="102" t="s">
        <v>47</v>
      </c>
      <c r="G159" s="105">
        <f>+(1+G154/360)^360-1</f>
        <v>5.1267446473470146E-2</v>
      </c>
      <c r="H159" s="105">
        <f>+(1+H154/360)^360-1</f>
        <v>5.1267446473470146E-2</v>
      </c>
      <c r="L159" s="96"/>
      <c r="M159" s="96"/>
      <c r="N159" s="96"/>
      <c r="O159" s="96"/>
      <c r="P159" s="96"/>
      <c r="Q159" s="96"/>
      <c r="R159" s="96"/>
      <c r="S159" s="96"/>
      <c r="T159" s="96"/>
    </row>
    <row r="160" spans="6:20" x14ac:dyDescent="0.25">
      <c r="L160" s="96"/>
      <c r="M160" s="96"/>
      <c r="N160" s="96"/>
      <c r="O160" s="96"/>
      <c r="P160" s="96"/>
      <c r="Q160" s="96"/>
      <c r="R160" s="96"/>
      <c r="S160" s="96"/>
      <c r="T160" s="96"/>
    </row>
    <row r="161" spans="12:20" x14ac:dyDescent="0.25">
      <c r="L161" s="96"/>
      <c r="M161" s="96"/>
      <c r="N161" s="96"/>
      <c r="O161" s="96"/>
      <c r="P161" s="96"/>
      <c r="Q161" s="96"/>
      <c r="R161" s="96"/>
      <c r="S161" s="96"/>
      <c r="T161" s="96"/>
    </row>
    <row r="162" spans="12:20" x14ac:dyDescent="0.25">
      <c r="L162" s="98"/>
      <c r="M162" s="98"/>
      <c r="N162" s="96"/>
      <c r="O162" s="96"/>
      <c r="P162" s="96"/>
      <c r="Q162" s="96"/>
      <c r="R162" s="96"/>
      <c r="S162" s="96"/>
      <c r="T162" s="96"/>
    </row>
    <row r="163" spans="12:20" x14ac:dyDescent="0.25">
      <c r="L163" s="99"/>
      <c r="M163" s="99"/>
      <c r="N163" s="96"/>
      <c r="O163" s="96"/>
      <c r="P163" s="96"/>
      <c r="Q163" s="96"/>
      <c r="R163" s="96"/>
      <c r="S163" s="96"/>
      <c r="T163" s="96"/>
    </row>
    <row r="164" spans="12:20" x14ac:dyDescent="0.25">
      <c r="L164" s="99"/>
      <c r="M164" s="99"/>
      <c r="N164" s="96"/>
      <c r="O164" s="96"/>
      <c r="P164" s="96"/>
      <c r="Q164" s="96"/>
      <c r="R164" s="96"/>
      <c r="S164" s="96"/>
      <c r="T164" s="9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49EC-7C7F-4631-8E92-C861614E9B5D}">
  <dimension ref="A4:J34"/>
  <sheetViews>
    <sheetView topLeftCell="A4" workbookViewId="0">
      <selection activeCell="L35" sqref="L35"/>
    </sheetView>
  </sheetViews>
  <sheetFormatPr baseColWidth="10" defaultRowHeight="15" x14ac:dyDescent="0.25"/>
  <cols>
    <col min="1" max="1" width="41.140625" customWidth="1"/>
    <col min="2" max="2" width="11.85546875" customWidth="1"/>
    <col min="4" max="4" width="26.5703125" customWidth="1"/>
  </cols>
  <sheetData>
    <row r="4" spans="1:10" x14ac:dyDescent="0.25">
      <c r="A4" s="4" t="s">
        <v>91</v>
      </c>
      <c r="B4" s="46">
        <v>6.1677811999999999E-2</v>
      </c>
      <c r="C4" s="4"/>
      <c r="D4" s="4"/>
      <c r="E4" s="4"/>
      <c r="F4" s="4"/>
      <c r="G4" s="4"/>
      <c r="H4" s="4"/>
      <c r="I4" s="4"/>
    </row>
    <row r="5" spans="1:10" x14ac:dyDescent="0.25">
      <c r="A5" s="4" t="s">
        <v>92</v>
      </c>
      <c r="B5" s="47">
        <v>0.04</v>
      </c>
      <c r="C5" s="4"/>
      <c r="D5" s="4"/>
      <c r="E5" s="4"/>
      <c r="F5" s="4"/>
      <c r="G5" s="4"/>
      <c r="H5" s="4"/>
      <c r="I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</row>
    <row r="8" spans="1:10" x14ac:dyDescent="0.25">
      <c r="A8" s="4"/>
      <c r="B8" s="4"/>
      <c r="C8" s="4"/>
      <c r="D8" s="4"/>
      <c r="E8" s="47"/>
      <c r="F8" s="47">
        <v>0.04</v>
      </c>
      <c r="G8" s="47">
        <v>0.04</v>
      </c>
      <c r="H8" s="47">
        <v>0.04</v>
      </c>
      <c r="I8" s="47">
        <v>0.04</v>
      </c>
      <c r="J8" t="s">
        <v>193</v>
      </c>
    </row>
    <row r="9" spans="1:10" x14ac:dyDescent="0.25">
      <c r="A9" s="48" t="s">
        <v>93</v>
      </c>
      <c r="B9" s="48">
        <v>1</v>
      </c>
      <c r="C9" s="48">
        <v>1</v>
      </c>
      <c r="D9" s="48">
        <v>1</v>
      </c>
      <c r="E9" s="48" t="s">
        <v>94</v>
      </c>
      <c r="F9" s="48" t="s">
        <v>94</v>
      </c>
      <c r="G9" s="48" t="s">
        <v>94</v>
      </c>
      <c r="H9" s="48" t="s">
        <v>94</v>
      </c>
      <c r="I9" s="48" t="s">
        <v>94</v>
      </c>
    </row>
    <row r="10" spans="1:10" x14ac:dyDescent="0.25">
      <c r="A10" s="48" t="s">
        <v>95</v>
      </c>
      <c r="B10" s="48">
        <v>1</v>
      </c>
      <c r="C10" s="48">
        <v>2</v>
      </c>
      <c r="D10" s="48">
        <v>3</v>
      </c>
      <c r="E10" s="48">
        <v>4</v>
      </c>
      <c r="F10" s="48">
        <v>5</v>
      </c>
      <c r="G10" s="48">
        <v>6</v>
      </c>
      <c r="H10" s="48">
        <v>7</v>
      </c>
      <c r="I10" s="48">
        <v>8</v>
      </c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10" x14ac:dyDescent="0.25">
      <c r="A13" s="4" t="s">
        <v>96</v>
      </c>
      <c r="B13" s="4">
        <f>1*(1-(1+B4)^-3)/B4</f>
        <v>2.6647359266941315</v>
      </c>
      <c r="C13" s="4"/>
      <c r="D13" s="4" t="s">
        <v>97</v>
      </c>
      <c r="E13" s="4">
        <f>8.17/(1+B4)^4</f>
        <v>6.4305940152886407</v>
      </c>
      <c r="F13" s="4"/>
      <c r="G13" s="4"/>
      <c r="H13" s="4"/>
      <c r="I13" s="4"/>
    </row>
    <row r="14" spans="1:10" x14ac:dyDescent="0.25">
      <c r="A14" s="4" t="s">
        <v>98</v>
      </c>
      <c r="B14" s="4">
        <f>(8.17*(1+B5))/(B4-B5)</f>
        <v>391.95837661107134</v>
      </c>
      <c r="C14" s="4"/>
      <c r="D14" s="4"/>
      <c r="E14" s="4"/>
      <c r="F14" s="4"/>
      <c r="G14" s="4"/>
      <c r="H14" s="4"/>
      <c r="I14" s="4"/>
    </row>
    <row r="15" spans="1:10" x14ac:dyDescent="0.25">
      <c r="A15" s="4"/>
      <c r="B15" s="4">
        <f>B14/(1+B4)^4</f>
        <v>308.50981528487227</v>
      </c>
      <c r="C15" s="4"/>
      <c r="D15" s="4"/>
      <c r="E15" s="4"/>
      <c r="F15" s="4"/>
      <c r="G15" s="4"/>
      <c r="H15" s="4"/>
      <c r="I15" s="4"/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4" t="s">
        <v>99</v>
      </c>
      <c r="B17" s="49">
        <f>B15+B13+E13</f>
        <v>317.60514522685503</v>
      </c>
      <c r="C17" s="4"/>
      <c r="D17" s="4"/>
      <c r="E17" s="4"/>
      <c r="F17" s="4"/>
      <c r="G17" s="4"/>
      <c r="H17" s="4"/>
      <c r="I17" s="4"/>
    </row>
    <row r="21" spans="1:9" x14ac:dyDescent="0.25">
      <c r="A21" s="4" t="s">
        <v>91</v>
      </c>
      <c r="B21" s="46">
        <v>0.12</v>
      </c>
      <c r="C21" s="4"/>
      <c r="D21" s="4"/>
      <c r="E21" s="4"/>
      <c r="F21" s="4"/>
      <c r="G21" s="4"/>
      <c r="H21" s="4"/>
      <c r="I21" s="4"/>
    </row>
    <row r="22" spans="1:9" x14ac:dyDescent="0.25">
      <c r="A22" s="4" t="s">
        <v>92</v>
      </c>
      <c r="B22" s="47">
        <v>0.06</v>
      </c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7"/>
      <c r="G25" s="47">
        <v>0.06</v>
      </c>
      <c r="H25" s="47">
        <v>0.06</v>
      </c>
      <c r="I25" s="47">
        <v>0.06</v>
      </c>
    </row>
    <row r="26" spans="1:9" x14ac:dyDescent="0.25">
      <c r="A26" s="48" t="s">
        <v>93</v>
      </c>
      <c r="B26" s="48">
        <v>4</v>
      </c>
      <c r="C26" s="48">
        <v>4</v>
      </c>
      <c r="D26" s="48">
        <v>4</v>
      </c>
      <c r="E26" s="48">
        <v>4</v>
      </c>
      <c r="F26" s="48">
        <v>5</v>
      </c>
      <c r="G26" s="48">
        <v>5</v>
      </c>
      <c r="H26" s="48">
        <v>5</v>
      </c>
      <c r="I26" s="48">
        <v>5</v>
      </c>
    </row>
    <row r="27" spans="1:9" x14ac:dyDescent="0.25">
      <c r="A27" s="48" t="s">
        <v>95</v>
      </c>
      <c r="B27" s="48">
        <v>1</v>
      </c>
      <c r="C27" s="48">
        <v>2</v>
      </c>
      <c r="D27" s="48">
        <v>3</v>
      </c>
      <c r="E27" s="48">
        <v>4</v>
      </c>
      <c r="F27" s="48">
        <v>5</v>
      </c>
      <c r="G27" s="48">
        <v>6</v>
      </c>
      <c r="H27" s="48">
        <v>7</v>
      </c>
      <c r="I27" s="48">
        <v>8</v>
      </c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 t="s">
        <v>102</v>
      </c>
      <c r="B30" s="4">
        <f>B26*(1-(1+B21)^-E27)/B21</f>
        <v>12.149397386505626</v>
      </c>
      <c r="C30" s="4"/>
      <c r="D30" s="4" t="s">
        <v>101</v>
      </c>
      <c r="E30" s="4">
        <f>F26/(1+B21)^5</f>
        <v>2.8371342785929961</v>
      </c>
      <c r="F30" s="4"/>
      <c r="G30" s="4"/>
      <c r="H30" s="4"/>
      <c r="I30" s="4"/>
    </row>
    <row r="31" spans="1:9" x14ac:dyDescent="0.25">
      <c r="A31" s="4" t="s">
        <v>103</v>
      </c>
      <c r="B31" s="4">
        <f>(G26*(1+B22))/(B21-B22)</f>
        <v>88.333333333333343</v>
      </c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>
        <f>B31/(1+B21)^F27</f>
        <v>50.122705588476272</v>
      </c>
      <c r="C32" s="4" t="s">
        <v>100</v>
      </c>
      <c r="D32" s="4"/>
      <c r="E32" s="4"/>
      <c r="F32" s="4"/>
      <c r="G32" s="4"/>
      <c r="H32" s="4"/>
      <c r="I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4" t="s">
        <v>99</v>
      </c>
      <c r="B34" s="49">
        <f>B32+B30+E30</f>
        <v>65.109237253574889</v>
      </c>
      <c r="C34" s="4"/>
      <c r="D34" s="4"/>
      <c r="E34" s="4"/>
      <c r="F34" s="4"/>
      <c r="G34" s="4"/>
      <c r="H34" s="4"/>
      <c r="I3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opLeftCell="A42" zoomScale="115" zoomScaleNormal="115" workbookViewId="0">
      <selection activeCell="Q56" sqref="Q56"/>
    </sheetView>
  </sheetViews>
  <sheetFormatPr baseColWidth="10" defaultColWidth="9.140625" defaultRowHeight="15" x14ac:dyDescent="0.25"/>
  <cols>
    <col min="1" max="1" width="19" customWidth="1"/>
    <col min="2" max="2" width="13.5703125" customWidth="1"/>
    <col min="3" max="3" width="26" customWidth="1"/>
    <col min="4" max="4" width="22.5703125" customWidth="1"/>
    <col min="5" max="5" width="23.28515625" customWidth="1"/>
    <col min="7" max="7" width="14.85546875" customWidth="1"/>
    <col min="8" max="8" width="12.5703125" customWidth="1"/>
    <col min="9" max="9" width="9.140625" customWidth="1"/>
    <col min="11" max="11" width="11" customWidth="1"/>
    <col min="12" max="12" width="9.140625" customWidth="1"/>
  </cols>
  <sheetData>
    <row r="1" spans="1:11" ht="15.75" x14ac:dyDescent="0.25">
      <c r="A1" s="162" t="s">
        <v>0</v>
      </c>
      <c r="B1" s="163"/>
      <c r="C1" s="163"/>
      <c r="D1" s="163"/>
      <c r="E1" s="164"/>
      <c r="F1" s="15"/>
      <c r="G1" s="162" t="s">
        <v>1</v>
      </c>
      <c r="H1" s="163"/>
      <c r="I1" s="164"/>
      <c r="J1" s="16"/>
      <c r="K1" s="16"/>
    </row>
    <row r="2" spans="1:11" x14ac:dyDescent="0.25">
      <c r="A2" s="5"/>
      <c r="B2" s="5"/>
      <c r="C2" s="5"/>
      <c r="D2" s="5"/>
      <c r="E2" s="5"/>
      <c r="F2" s="15"/>
      <c r="G2" s="5"/>
      <c r="H2" s="22"/>
      <c r="I2" s="22"/>
      <c r="J2" s="16"/>
      <c r="K2" s="16"/>
    </row>
    <row r="3" spans="1:11" x14ac:dyDescent="0.25">
      <c r="A3" s="17" t="s">
        <v>2</v>
      </c>
      <c r="B3" s="6">
        <v>0.3</v>
      </c>
      <c r="C3" s="15"/>
      <c r="D3" s="15"/>
      <c r="E3" s="15"/>
      <c r="F3" s="15"/>
      <c r="G3" s="1" t="s">
        <v>3</v>
      </c>
      <c r="H3" s="7">
        <v>12.5</v>
      </c>
      <c r="I3" s="8" t="s">
        <v>4</v>
      </c>
      <c r="J3" s="16"/>
      <c r="K3" s="16"/>
    </row>
    <row r="4" spans="1:11" x14ac:dyDescent="0.25">
      <c r="A4" s="15"/>
      <c r="B4" s="15"/>
      <c r="C4" s="15"/>
      <c r="D4" s="15"/>
      <c r="E4" s="15"/>
      <c r="F4" s="15"/>
      <c r="G4" s="1" t="s">
        <v>5</v>
      </c>
      <c r="H4" s="9">
        <v>89</v>
      </c>
      <c r="I4" s="8" t="s">
        <v>6</v>
      </c>
      <c r="J4" s="16"/>
      <c r="K4" s="16"/>
    </row>
    <row r="5" spans="1:11" x14ac:dyDescent="0.25">
      <c r="A5" s="17" t="s">
        <v>7</v>
      </c>
      <c r="B5" s="18" t="s">
        <v>8</v>
      </c>
      <c r="C5" s="18" t="s">
        <v>36</v>
      </c>
      <c r="D5" s="18" t="s">
        <v>9</v>
      </c>
      <c r="E5" s="18" t="s">
        <v>10</v>
      </c>
      <c r="F5" s="15"/>
      <c r="G5" s="1" t="s">
        <v>11</v>
      </c>
      <c r="H5" s="10">
        <v>5.0000000000000001E-3</v>
      </c>
      <c r="I5" s="8" t="s">
        <v>12</v>
      </c>
      <c r="J5" s="16"/>
      <c r="K5" s="16"/>
    </row>
    <row r="6" spans="1:11" x14ac:dyDescent="0.25">
      <c r="A6" s="1" t="s">
        <v>13</v>
      </c>
      <c r="B6" s="9">
        <v>300000</v>
      </c>
      <c r="C6" s="2">
        <f>B6/$B$10</f>
        <v>0.15</v>
      </c>
      <c r="D6" s="6">
        <v>0.14599999999999999</v>
      </c>
      <c r="E6" s="2">
        <f>D6*C6</f>
        <v>2.1899999999999999E-2</v>
      </c>
      <c r="F6" s="15"/>
      <c r="G6" s="1" t="s">
        <v>14</v>
      </c>
      <c r="H6" s="10">
        <v>3.5000000000000003E-2</v>
      </c>
      <c r="I6" s="8" t="s">
        <v>15</v>
      </c>
      <c r="J6" s="16"/>
      <c r="K6" s="16"/>
    </row>
    <row r="7" spans="1:11" x14ac:dyDescent="0.25">
      <c r="A7" s="1" t="s">
        <v>16</v>
      </c>
      <c r="B7" s="9">
        <v>750000</v>
      </c>
      <c r="C7" s="2">
        <f>B7/$B$10</f>
        <v>0.375</v>
      </c>
      <c r="D7" s="6">
        <v>0.13250000000000001</v>
      </c>
      <c r="E7" s="2">
        <f t="shared" ref="E7:E9" si="0">D7*C7</f>
        <v>4.9687500000000002E-2</v>
      </c>
      <c r="F7" s="15"/>
      <c r="G7" s="19" t="s">
        <v>17</v>
      </c>
      <c r="H7" s="11">
        <f>H3*(1+H6)/(H4*(1-H5))+H6</f>
        <v>0.18109564677319179</v>
      </c>
      <c r="I7" s="17" t="s">
        <v>40</v>
      </c>
      <c r="J7" s="16"/>
      <c r="K7" s="16"/>
    </row>
    <row r="8" spans="1:11" ht="15.75" x14ac:dyDescent="0.3">
      <c r="A8" s="1" t="s">
        <v>18</v>
      </c>
      <c r="B8" s="9">
        <v>150000</v>
      </c>
      <c r="C8" s="2">
        <f>B8/$B$10</f>
        <v>7.4999999999999997E-2</v>
      </c>
      <c r="D8" s="6">
        <v>0.1298</v>
      </c>
      <c r="E8" s="2">
        <f t="shared" si="0"/>
        <v>9.7349999999999989E-3</v>
      </c>
      <c r="F8" s="15"/>
      <c r="G8" s="12"/>
      <c r="H8" s="12"/>
      <c r="I8" s="12"/>
      <c r="J8" s="16"/>
      <c r="K8" s="16"/>
    </row>
    <row r="9" spans="1:11" ht="15.75" x14ac:dyDescent="0.25">
      <c r="A9" s="1" t="s">
        <v>19</v>
      </c>
      <c r="B9" s="9">
        <v>800000</v>
      </c>
      <c r="C9" s="2">
        <f>B9/$B$10</f>
        <v>0.4</v>
      </c>
      <c r="D9" s="6">
        <v>7.1999999999999995E-2</v>
      </c>
      <c r="E9" s="2">
        <f t="shared" si="0"/>
        <v>2.8799999999999999E-2</v>
      </c>
      <c r="F9" s="15"/>
      <c r="G9" s="162" t="s">
        <v>20</v>
      </c>
      <c r="H9" s="163"/>
      <c r="I9" s="164"/>
      <c r="J9" s="16"/>
      <c r="K9" s="16"/>
    </row>
    <row r="10" spans="1:11" x14ac:dyDescent="0.25">
      <c r="A10" s="5"/>
      <c r="B10" s="9">
        <f>SUM(B6:B9)</f>
        <v>2000000</v>
      </c>
      <c r="C10" s="3">
        <f>B10/B18</f>
        <v>0.47619047619047616</v>
      </c>
      <c r="D10" s="19" t="s">
        <v>38</v>
      </c>
      <c r="E10" s="11">
        <f>SUM(E6:E9)</f>
        <v>0.11012249999999998</v>
      </c>
      <c r="F10" s="15"/>
      <c r="G10" s="22"/>
      <c r="H10" s="22"/>
      <c r="I10" s="5"/>
      <c r="J10" s="16"/>
      <c r="K10" s="16"/>
    </row>
    <row r="11" spans="1:11" x14ac:dyDescent="0.25">
      <c r="A11" s="5"/>
      <c r="B11" s="13"/>
      <c r="C11" s="5"/>
      <c r="D11" s="5"/>
      <c r="E11" s="5"/>
      <c r="F11" s="15"/>
      <c r="G11" s="1" t="s">
        <v>21</v>
      </c>
      <c r="H11" s="7">
        <v>18</v>
      </c>
      <c r="I11" s="8" t="s">
        <v>22</v>
      </c>
      <c r="J11" s="16"/>
      <c r="K11" s="16"/>
    </row>
    <row r="12" spans="1:11" x14ac:dyDescent="0.25">
      <c r="A12" s="17" t="s">
        <v>23</v>
      </c>
      <c r="B12" s="20" t="s">
        <v>8</v>
      </c>
      <c r="C12" s="18" t="s">
        <v>37</v>
      </c>
      <c r="D12" s="19" t="s">
        <v>24</v>
      </c>
      <c r="E12" s="19" t="s">
        <v>25</v>
      </c>
      <c r="F12" s="15"/>
      <c r="G12" s="1" t="s">
        <v>5</v>
      </c>
      <c r="H12" s="9">
        <v>89</v>
      </c>
      <c r="I12" s="8" t="s">
        <v>6</v>
      </c>
      <c r="J12" s="16"/>
      <c r="K12" s="16"/>
    </row>
    <row r="13" spans="1:11" x14ac:dyDescent="0.25">
      <c r="A13" s="1" t="s">
        <v>26</v>
      </c>
      <c r="B13" s="9">
        <v>1400000</v>
      </c>
      <c r="C13" s="3">
        <f>B13/$B$16</f>
        <v>0.63636363636363635</v>
      </c>
      <c r="D13" s="3">
        <f>H7</f>
        <v>0.18109564677319179</v>
      </c>
      <c r="E13" s="3">
        <f>D13*C13</f>
        <v>0.11524268431021295</v>
      </c>
      <c r="F13" s="15"/>
      <c r="G13" s="1" t="s">
        <v>11</v>
      </c>
      <c r="H13" s="10">
        <v>5.0000000000000001E-3</v>
      </c>
      <c r="I13" s="8" t="s">
        <v>12</v>
      </c>
      <c r="J13" s="16"/>
      <c r="K13" s="16"/>
    </row>
    <row r="14" spans="1:11" x14ac:dyDescent="0.25">
      <c r="A14" s="1" t="s">
        <v>27</v>
      </c>
      <c r="B14" s="9">
        <v>450000</v>
      </c>
      <c r="C14" s="3">
        <f>B14/$B$16</f>
        <v>0.20454545454545456</v>
      </c>
      <c r="D14" s="3">
        <f>H14</f>
        <v>0.20326350855400599</v>
      </c>
      <c r="E14" s="3">
        <f>D14*C14</f>
        <v>4.1576626749683043E-2</v>
      </c>
      <c r="F14" s="15"/>
      <c r="G14" s="19" t="s">
        <v>28</v>
      </c>
      <c r="H14" s="11">
        <f>H11/(H12*(1-H13))</f>
        <v>0.20326350855400599</v>
      </c>
      <c r="I14" s="17" t="s">
        <v>41</v>
      </c>
      <c r="J14" s="16"/>
      <c r="K14" s="16"/>
    </row>
    <row r="15" spans="1:11" ht="15.75" x14ac:dyDescent="0.3">
      <c r="A15" s="1" t="s">
        <v>29</v>
      </c>
      <c r="B15" s="9">
        <v>350000</v>
      </c>
      <c r="C15" s="3">
        <f>B15/$B$16</f>
        <v>0.15909090909090909</v>
      </c>
      <c r="D15" s="3">
        <f>H21</f>
        <v>0.18036516853932583</v>
      </c>
      <c r="E15" s="3">
        <f>D15*C15</f>
        <v>2.869445863125638E-2</v>
      </c>
      <c r="F15" s="15"/>
      <c r="G15" s="12"/>
      <c r="H15" s="12"/>
      <c r="I15" s="12"/>
      <c r="J15" s="16"/>
      <c r="K15" s="16"/>
    </row>
    <row r="16" spans="1:11" ht="15.75" x14ac:dyDescent="0.25">
      <c r="A16" s="5"/>
      <c r="B16" s="9">
        <f>SUM(B13:B15)</f>
        <v>2200000</v>
      </c>
      <c r="C16" s="3">
        <f>B16/B18</f>
        <v>0.52380952380952384</v>
      </c>
      <c r="D16" s="19" t="s">
        <v>39</v>
      </c>
      <c r="E16" s="11">
        <f>SUM(E13:E15)</f>
        <v>0.18551376969115238</v>
      </c>
      <c r="F16" s="15"/>
      <c r="G16" s="162" t="s">
        <v>30</v>
      </c>
      <c r="H16" s="163"/>
      <c r="I16" s="164"/>
      <c r="J16" s="16"/>
      <c r="K16" s="16"/>
    </row>
    <row r="17" spans="1:11" x14ac:dyDescent="0.25">
      <c r="A17" s="5"/>
      <c r="B17" s="13"/>
      <c r="C17" s="5"/>
      <c r="D17" s="5"/>
      <c r="E17" s="5"/>
      <c r="F17" s="15"/>
      <c r="G17" s="22"/>
      <c r="H17" s="22"/>
      <c r="I17" s="5"/>
      <c r="J17" s="16"/>
      <c r="K17" s="16"/>
    </row>
    <row r="18" spans="1:11" x14ac:dyDescent="0.25">
      <c r="A18" s="1" t="s">
        <v>31</v>
      </c>
      <c r="B18" s="14">
        <f>B16+B10</f>
        <v>4200000</v>
      </c>
      <c r="C18" s="3">
        <f>C16+C10</f>
        <v>1</v>
      </c>
      <c r="D18" s="18" t="s">
        <v>32</v>
      </c>
      <c r="E18" s="21">
        <f>+E10*C10*(1-B3)+E16*C16</f>
        <v>0.1338813793620322</v>
      </c>
      <c r="F18" s="15"/>
      <c r="G18" s="1" t="s">
        <v>3</v>
      </c>
      <c r="H18" s="7">
        <v>12.5</v>
      </c>
      <c r="I18" s="8" t="s">
        <v>4</v>
      </c>
      <c r="J18" s="16"/>
      <c r="K18" s="16"/>
    </row>
    <row r="19" spans="1:11" x14ac:dyDescent="0.25">
      <c r="A19" s="15"/>
      <c r="B19" s="15"/>
      <c r="C19" s="15"/>
      <c r="D19" s="15"/>
      <c r="E19" s="15"/>
      <c r="F19" s="15"/>
      <c r="G19" s="1" t="s">
        <v>5</v>
      </c>
      <c r="H19" s="9">
        <v>89</v>
      </c>
      <c r="I19" s="8" t="s">
        <v>6</v>
      </c>
      <c r="J19" s="16"/>
      <c r="K19" s="16"/>
    </row>
    <row r="20" spans="1:11" x14ac:dyDescent="0.25">
      <c r="A20" s="15"/>
      <c r="B20" s="15"/>
      <c r="C20" s="15"/>
      <c r="D20" s="15"/>
      <c r="E20" s="15"/>
      <c r="F20" s="15"/>
      <c r="G20" s="1" t="s">
        <v>14</v>
      </c>
      <c r="H20" s="10">
        <v>3.5000000000000003E-2</v>
      </c>
      <c r="I20" s="8" t="s">
        <v>15</v>
      </c>
      <c r="J20" s="16"/>
      <c r="K20" s="16"/>
    </row>
    <row r="21" spans="1:11" x14ac:dyDescent="0.25">
      <c r="A21" s="15" t="s">
        <v>34</v>
      </c>
      <c r="B21" s="15" t="s">
        <v>35</v>
      </c>
      <c r="C21" s="15"/>
      <c r="D21" s="15"/>
      <c r="E21" s="15"/>
      <c r="F21" s="15"/>
      <c r="G21" s="19" t="s">
        <v>33</v>
      </c>
      <c r="H21" s="11">
        <f>H18*(1+H20)/H19+H20</f>
        <v>0.18036516853932583</v>
      </c>
      <c r="I21" s="17" t="s">
        <v>42</v>
      </c>
      <c r="J21" s="16"/>
      <c r="K21" s="16"/>
    </row>
    <row r="25" spans="1:11" ht="15.75" x14ac:dyDescent="0.25">
      <c r="A25" s="162" t="s">
        <v>0</v>
      </c>
      <c r="B25" s="163"/>
      <c r="C25" s="163"/>
      <c r="D25" s="163"/>
      <c r="E25" s="164"/>
      <c r="F25" s="15"/>
      <c r="G25" s="162" t="s">
        <v>1</v>
      </c>
      <c r="H25" s="163"/>
      <c r="I25" s="164"/>
      <c r="J25" s="16"/>
      <c r="K25" s="16"/>
    </row>
    <row r="26" spans="1:11" x14ac:dyDescent="0.25">
      <c r="A26" s="5"/>
      <c r="B26" s="5"/>
      <c r="C26" s="5"/>
      <c r="D26" s="5"/>
      <c r="E26" s="5"/>
      <c r="F26" s="15"/>
      <c r="G26" s="5"/>
      <c r="H26" s="22"/>
      <c r="I26" s="22"/>
      <c r="J26" s="16"/>
      <c r="K26" s="16"/>
    </row>
    <row r="27" spans="1:11" x14ac:dyDescent="0.25">
      <c r="A27" s="17" t="s">
        <v>2</v>
      </c>
      <c r="B27" s="6">
        <v>0.3</v>
      </c>
      <c r="C27" s="15"/>
      <c r="D27" s="15"/>
      <c r="E27" s="15"/>
      <c r="F27" s="15"/>
      <c r="G27" s="1" t="s">
        <v>3</v>
      </c>
      <c r="H27" s="7">
        <v>15</v>
      </c>
      <c r="I27" s="8"/>
      <c r="J27" s="16"/>
      <c r="K27" s="16"/>
    </row>
    <row r="28" spans="1:11" x14ac:dyDescent="0.25">
      <c r="A28" s="15"/>
      <c r="B28" s="15"/>
      <c r="C28" s="15"/>
      <c r="D28" s="15"/>
      <c r="E28" s="15"/>
      <c r="F28" s="15"/>
      <c r="G28" s="1" t="s">
        <v>5</v>
      </c>
      <c r="H28" s="9">
        <v>100</v>
      </c>
      <c r="I28" s="8"/>
      <c r="J28" s="16"/>
      <c r="K28" s="16"/>
    </row>
    <row r="29" spans="1:11" x14ac:dyDescent="0.25">
      <c r="A29" s="17" t="s">
        <v>7</v>
      </c>
      <c r="B29" s="18" t="s">
        <v>8</v>
      </c>
      <c r="C29" s="18" t="s">
        <v>36</v>
      </c>
      <c r="D29" s="18" t="s">
        <v>9</v>
      </c>
      <c r="E29" s="18" t="s">
        <v>10</v>
      </c>
      <c r="F29" s="15"/>
      <c r="G29" s="1" t="s">
        <v>11</v>
      </c>
      <c r="H29" s="10">
        <v>0.01</v>
      </c>
      <c r="I29" s="8"/>
      <c r="J29" s="16"/>
      <c r="K29" s="16"/>
    </row>
    <row r="30" spans="1:11" x14ac:dyDescent="0.25">
      <c r="A30" s="1" t="s">
        <v>44</v>
      </c>
      <c r="B30" s="9">
        <v>200000</v>
      </c>
      <c r="C30" s="2">
        <f>B30/$B$34</f>
        <v>6.6666666666666666E-2</v>
      </c>
      <c r="D30" s="6">
        <v>0.12</v>
      </c>
      <c r="E30" s="2">
        <f>D30*C30</f>
        <v>8.0000000000000002E-3</v>
      </c>
      <c r="F30" s="15"/>
      <c r="G30" s="1" t="s">
        <v>14</v>
      </c>
      <c r="H30" s="10">
        <v>0.04</v>
      </c>
      <c r="I30" s="8"/>
      <c r="J30" s="16"/>
      <c r="K30" s="16"/>
    </row>
    <row r="31" spans="1:11" x14ac:dyDescent="0.25">
      <c r="A31" s="1" t="s">
        <v>45</v>
      </c>
      <c r="B31" s="9">
        <v>500000</v>
      </c>
      <c r="C31" s="2">
        <f>B31/$B$34</f>
        <v>0.16666666666666666</v>
      </c>
      <c r="D31" s="6">
        <v>0.15</v>
      </c>
      <c r="E31" s="2">
        <f>D31*C31</f>
        <v>2.4999999999999998E-2</v>
      </c>
      <c r="F31" s="15"/>
      <c r="G31" s="19" t="s">
        <v>17</v>
      </c>
      <c r="H31" s="11">
        <f>H27*(1+H30)/(H28*(1-H29))+H30</f>
        <v>0.1975757575757576</v>
      </c>
      <c r="I31" s="17" t="s">
        <v>40</v>
      </c>
      <c r="J31" s="16"/>
      <c r="K31" s="16"/>
    </row>
    <row r="32" spans="1:11" ht="15.75" x14ac:dyDescent="0.3">
      <c r="A32" s="1" t="s">
        <v>46</v>
      </c>
      <c r="B32" s="9">
        <v>300000</v>
      </c>
      <c r="C32" s="2">
        <f>B32/$B$34</f>
        <v>0.1</v>
      </c>
      <c r="D32" s="6">
        <v>0.11</v>
      </c>
      <c r="E32" s="2">
        <f t="shared" ref="E32" si="1">D32*C32</f>
        <v>1.1000000000000001E-2</v>
      </c>
      <c r="F32" s="15"/>
      <c r="G32" s="12"/>
      <c r="H32" s="12"/>
      <c r="I32" s="12"/>
      <c r="J32" s="16"/>
      <c r="K32" s="16"/>
    </row>
    <row r="33" spans="1:11" ht="15.75" x14ac:dyDescent="0.25">
      <c r="A33" s="1" t="s">
        <v>19</v>
      </c>
      <c r="B33" s="9">
        <f>2000*1000</f>
        <v>2000000</v>
      </c>
      <c r="C33" s="2">
        <f>B33/$B$34</f>
        <v>0.66666666666666663</v>
      </c>
      <c r="D33" s="6">
        <v>0.06</v>
      </c>
      <c r="E33" s="2">
        <f>D33*C33</f>
        <v>3.9999999999999994E-2</v>
      </c>
      <c r="F33" s="15"/>
      <c r="G33" s="162" t="s">
        <v>20</v>
      </c>
      <c r="H33" s="163"/>
      <c r="I33" s="164"/>
      <c r="J33" s="16"/>
      <c r="K33" s="16"/>
    </row>
    <row r="34" spans="1:11" x14ac:dyDescent="0.25">
      <c r="A34" s="5"/>
      <c r="B34" s="9">
        <f>SUM(B30:B33)</f>
        <v>3000000</v>
      </c>
      <c r="C34" s="3">
        <f>B34/B42</f>
        <v>0.5</v>
      </c>
      <c r="D34" s="19" t="s">
        <v>38</v>
      </c>
      <c r="E34" s="11">
        <f>SUM(E30:E33)</f>
        <v>8.3999999999999991E-2</v>
      </c>
      <c r="F34" s="15"/>
      <c r="G34" s="22"/>
      <c r="H34" s="22"/>
      <c r="I34" s="5"/>
      <c r="J34" s="16"/>
      <c r="K34" s="16"/>
    </row>
    <row r="35" spans="1:11" x14ac:dyDescent="0.25">
      <c r="A35" s="5"/>
      <c r="B35" s="13"/>
      <c r="C35" s="5"/>
      <c r="D35" s="5"/>
      <c r="E35" s="5"/>
      <c r="F35" s="15"/>
      <c r="G35" s="1" t="s">
        <v>21</v>
      </c>
      <c r="H35" s="7">
        <v>22</v>
      </c>
      <c r="I35" s="8"/>
      <c r="J35" s="16"/>
      <c r="K35" s="16"/>
    </row>
    <row r="36" spans="1:11" x14ac:dyDescent="0.25">
      <c r="A36" s="17" t="s">
        <v>23</v>
      </c>
      <c r="B36" s="20" t="s">
        <v>8</v>
      </c>
      <c r="C36" s="18" t="s">
        <v>37</v>
      </c>
      <c r="D36" s="19" t="s">
        <v>24</v>
      </c>
      <c r="E36" s="19" t="s">
        <v>25</v>
      </c>
      <c r="F36" s="15"/>
      <c r="G36" s="1" t="s">
        <v>5</v>
      </c>
      <c r="H36" s="9">
        <v>100</v>
      </c>
      <c r="I36" s="8"/>
      <c r="J36" s="16"/>
      <c r="K36" s="16"/>
    </row>
    <row r="37" spans="1:11" x14ac:dyDescent="0.25">
      <c r="A37" s="1" t="s">
        <v>26</v>
      </c>
      <c r="B37" s="9">
        <v>950000</v>
      </c>
      <c r="C37" s="3">
        <f>B37/$B$40</f>
        <v>0.31666666666666665</v>
      </c>
      <c r="D37" s="3">
        <f>H31</f>
        <v>0.1975757575757576</v>
      </c>
      <c r="E37" s="3">
        <f>D37*C37</f>
        <v>6.2565656565656574E-2</v>
      </c>
      <c r="F37" s="15"/>
      <c r="G37" s="1" t="s">
        <v>11</v>
      </c>
      <c r="H37" s="10">
        <v>0.01</v>
      </c>
      <c r="I37" s="8"/>
      <c r="J37" s="16"/>
      <c r="K37" s="16"/>
    </row>
    <row r="38" spans="1:11" x14ac:dyDescent="0.25">
      <c r="A38" s="1" t="s">
        <v>27</v>
      </c>
      <c r="B38" s="9">
        <v>1400000</v>
      </c>
      <c r="C38" s="3">
        <f>B38/$B$40</f>
        <v>0.46666666666666667</v>
      </c>
      <c r="D38" s="3">
        <f>H38</f>
        <v>0.22222222222222221</v>
      </c>
      <c r="E38" s="3">
        <f>D38*C38</f>
        <v>0.1037037037037037</v>
      </c>
      <c r="F38" s="15"/>
      <c r="G38" s="19" t="s">
        <v>28</v>
      </c>
      <c r="H38" s="11">
        <f>H35/(H36*(1-H37))</f>
        <v>0.22222222222222221</v>
      </c>
      <c r="I38" s="17" t="s">
        <v>41</v>
      </c>
      <c r="J38" s="16"/>
      <c r="K38" s="16"/>
    </row>
    <row r="39" spans="1:11" ht="15.75" x14ac:dyDescent="0.3">
      <c r="A39" s="1" t="s">
        <v>29</v>
      </c>
      <c r="B39" s="9">
        <v>650000</v>
      </c>
      <c r="C39" s="3">
        <f>B39/$B$40</f>
        <v>0.21666666666666667</v>
      </c>
      <c r="D39" s="3">
        <f>H45</f>
        <v>0.19600000000000004</v>
      </c>
      <c r="E39" s="3">
        <f>D39*C39</f>
        <v>4.2466666666666673E-2</v>
      </c>
      <c r="F39" s="15"/>
      <c r="G39" s="12"/>
      <c r="H39" s="12"/>
      <c r="I39" s="12"/>
      <c r="J39" s="16"/>
      <c r="K39" s="16"/>
    </row>
    <row r="40" spans="1:11" ht="15.75" x14ac:dyDescent="0.25">
      <c r="A40" s="5"/>
      <c r="B40" s="9">
        <f>SUM(B37:B39)</f>
        <v>3000000</v>
      </c>
      <c r="C40" s="3">
        <f>B40/B42</f>
        <v>0.5</v>
      </c>
      <c r="D40" s="19" t="s">
        <v>39</v>
      </c>
      <c r="E40" s="11">
        <f>SUM(E37:E39)</f>
        <v>0.20873602693602697</v>
      </c>
      <c r="F40" s="15"/>
      <c r="G40" s="162" t="s">
        <v>30</v>
      </c>
      <c r="H40" s="163"/>
      <c r="I40" s="164"/>
      <c r="J40" s="16"/>
      <c r="K40" s="16"/>
    </row>
    <row r="41" spans="1:11" x14ac:dyDescent="0.25">
      <c r="A41" s="5"/>
      <c r="B41" s="13"/>
      <c r="C41" s="5"/>
      <c r="D41" s="5"/>
      <c r="E41" s="5"/>
      <c r="F41" s="15"/>
      <c r="G41" s="22"/>
      <c r="H41" s="22"/>
      <c r="I41" s="5"/>
      <c r="J41" s="16"/>
      <c r="K41" s="16"/>
    </row>
    <row r="42" spans="1:11" x14ac:dyDescent="0.25">
      <c r="A42" s="1" t="s">
        <v>31</v>
      </c>
      <c r="B42" s="14">
        <f>B40+B34</f>
        <v>6000000</v>
      </c>
      <c r="C42" s="3">
        <f>C40+C34</f>
        <v>1</v>
      </c>
      <c r="D42" s="18" t="s">
        <v>32</v>
      </c>
      <c r="E42" s="21">
        <f>+E34*C34*(1-B27)+E40*C40</f>
        <v>0.13376801346801348</v>
      </c>
      <c r="F42" s="15"/>
      <c r="G42" s="1" t="s">
        <v>3</v>
      </c>
      <c r="H42" s="7">
        <v>15</v>
      </c>
      <c r="I42" s="8"/>
      <c r="J42" s="16"/>
      <c r="K42" s="16"/>
    </row>
    <row r="43" spans="1:11" x14ac:dyDescent="0.25">
      <c r="A43" s="15"/>
      <c r="B43" s="15"/>
      <c r="C43" s="15"/>
      <c r="D43" s="15"/>
      <c r="E43" s="15"/>
      <c r="F43" s="15"/>
      <c r="G43" s="1" t="s">
        <v>5</v>
      </c>
      <c r="H43" s="9">
        <v>100</v>
      </c>
      <c r="I43" s="8"/>
      <c r="J43" s="16"/>
      <c r="K43" s="16"/>
    </row>
    <row r="44" spans="1:11" x14ac:dyDescent="0.25">
      <c r="A44" s="15"/>
      <c r="B44" s="15"/>
      <c r="C44" s="15"/>
      <c r="D44" s="15"/>
      <c r="E44" s="15"/>
      <c r="F44" s="15"/>
      <c r="G44" s="1" t="s">
        <v>14</v>
      </c>
      <c r="H44" s="10">
        <v>0.04</v>
      </c>
      <c r="I44" s="8"/>
      <c r="J44" s="16"/>
      <c r="K44" s="16"/>
    </row>
    <row r="45" spans="1:11" x14ac:dyDescent="0.25">
      <c r="A45" s="15" t="s">
        <v>34</v>
      </c>
      <c r="B45" s="15" t="s">
        <v>35</v>
      </c>
      <c r="C45" s="15"/>
      <c r="D45" s="15"/>
      <c r="E45" s="15"/>
      <c r="F45" s="15"/>
      <c r="G45" s="19" t="s">
        <v>33</v>
      </c>
      <c r="H45" s="11">
        <f>H42*(1+H44)/H43+H44</f>
        <v>0.19600000000000004</v>
      </c>
      <c r="I45" s="17" t="s">
        <v>42</v>
      </c>
      <c r="J45" s="16"/>
      <c r="K45" s="16"/>
    </row>
  </sheetData>
  <mergeCells count="8">
    <mergeCell ref="A25:E25"/>
    <mergeCell ref="G25:I25"/>
    <mergeCell ref="G33:I33"/>
    <mergeCell ref="G40:I40"/>
    <mergeCell ref="A1:E1"/>
    <mergeCell ref="G1:I1"/>
    <mergeCell ref="G9:I9"/>
    <mergeCell ref="G16:I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CF31-C579-4501-8893-304A42D226F0}">
  <dimension ref="B2:P46"/>
  <sheetViews>
    <sheetView topLeftCell="C1" zoomScale="145" zoomScaleNormal="145" workbookViewId="0">
      <selection activeCell="I42" sqref="I42"/>
    </sheetView>
  </sheetViews>
  <sheetFormatPr baseColWidth="10" defaultRowHeight="15" x14ac:dyDescent="0.25"/>
  <cols>
    <col min="2" max="2" width="32" customWidth="1"/>
    <col min="6" max="6" width="16.85546875" customWidth="1"/>
    <col min="11" max="11" width="14.7109375" customWidth="1"/>
    <col min="13" max="13" width="12.5703125" customWidth="1"/>
  </cols>
  <sheetData>
    <row r="2" spans="2:7" x14ac:dyDescent="0.25">
      <c r="B2" t="s">
        <v>65</v>
      </c>
      <c r="C2" t="s">
        <v>67</v>
      </c>
    </row>
    <row r="4" spans="2:7" x14ac:dyDescent="0.25">
      <c r="B4" s="24"/>
      <c r="C4" s="24" t="s">
        <v>47</v>
      </c>
      <c r="D4" s="24" t="s">
        <v>48</v>
      </c>
      <c r="E4" s="24" t="s">
        <v>49</v>
      </c>
      <c r="F4" s="24" t="s">
        <v>50</v>
      </c>
      <c r="G4" s="24" t="s">
        <v>51</v>
      </c>
    </row>
    <row r="5" spans="2:7" x14ac:dyDescent="0.25">
      <c r="B5" s="24">
        <v>1</v>
      </c>
      <c r="C5" s="25">
        <v>0.06</v>
      </c>
      <c r="D5" s="26">
        <v>3.0451958000000001E-2</v>
      </c>
      <c r="E5" s="24">
        <v>5000</v>
      </c>
      <c r="F5" s="24">
        <f>E5*D5</f>
        <v>152.25979000000001</v>
      </c>
      <c r="G5" s="24">
        <f>F5</f>
        <v>152.25979000000001</v>
      </c>
    </row>
    <row r="6" spans="2:7" x14ac:dyDescent="0.25">
      <c r="B6" s="24">
        <v>2</v>
      </c>
      <c r="C6" s="25">
        <v>0.06</v>
      </c>
      <c r="D6" s="26">
        <v>3.0451958000000001E-2</v>
      </c>
      <c r="E6" s="24">
        <v>5000</v>
      </c>
      <c r="F6" s="24">
        <f>E6*D6</f>
        <v>152.25979000000001</v>
      </c>
      <c r="G6" s="24">
        <f>F6</f>
        <v>152.25979000000001</v>
      </c>
    </row>
    <row r="7" spans="2:7" x14ac:dyDescent="0.25">
      <c r="B7" s="24">
        <v>3</v>
      </c>
      <c r="C7" s="25">
        <v>0.06</v>
      </c>
      <c r="D7" s="26">
        <v>3.0451958000000001E-2</v>
      </c>
      <c r="E7" s="24">
        <f>5000/4</f>
        <v>1250</v>
      </c>
      <c r="F7" s="24">
        <f>D7*5000</f>
        <v>152.25979000000001</v>
      </c>
      <c r="G7" s="24">
        <f>F7+E7</f>
        <v>1402.2597900000001</v>
      </c>
    </row>
    <row r="8" spans="2:7" x14ac:dyDescent="0.25">
      <c r="B8" s="24">
        <v>4</v>
      </c>
      <c r="C8" s="25">
        <v>0.06</v>
      </c>
      <c r="D8" s="26">
        <v>3.0451958000000001E-2</v>
      </c>
      <c r="E8" s="24">
        <f>5000/4</f>
        <v>1250</v>
      </c>
      <c r="F8" s="24">
        <f>D8*(5000-E7)</f>
        <v>114.19484250000001</v>
      </c>
      <c r="G8" s="24">
        <f>F8+E8</f>
        <v>1364.1948425</v>
      </c>
    </row>
    <row r="9" spans="2:7" x14ac:dyDescent="0.25">
      <c r="B9" s="24">
        <v>5</v>
      </c>
      <c r="C9" s="25">
        <v>0.06</v>
      </c>
      <c r="D9" s="26">
        <v>3.0451958000000001E-2</v>
      </c>
      <c r="E9" s="24">
        <f>5000/4</f>
        <v>1250</v>
      </c>
      <c r="F9" s="24">
        <f>D9*(5000-E8*2)</f>
        <v>76.129895000000005</v>
      </c>
      <c r="G9" s="24">
        <f>F9+E9</f>
        <v>1326.129895</v>
      </c>
    </row>
    <row r="10" spans="2:7" x14ac:dyDescent="0.25">
      <c r="B10" s="24">
        <v>6</v>
      </c>
      <c r="C10" s="25">
        <v>0.06</v>
      </c>
      <c r="D10" s="26">
        <v>3.0451958000000001E-2</v>
      </c>
      <c r="E10" s="24">
        <f>5000/4</f>
        <v>1250</v>
      </c>
      <c r="F10" s="27">
        <f>D10*(5000-E9*3)+1%*(5000-5000/4*3)</f>
        <v>50.564947500000002</v>
      </c>
      <c r="G10" s="24">
        <f>F10+E10</f>
        <v>1300.5649475</v>
      </c>
    </row>
    <row r="12" spans="2:7" x14ac:dyDescent="0.25">
      <c r="B12" t="s">
        <v>52</v>
      </c>
      <c r="E12" s="23">
        <v>1.9294382999999998E-2</v>
      </c>
    </row>
    <row r="14" spans="2:7" x14ac:dyDescent="0.25">
      <c r="B14" t="s">
        <v>53</v>
      </c>
      <c r="D14">
        <f>G5/(1+E12)+G6/(1+E12)^2+G7/(1+E12)^3+G8/(1+E12)^4+G9/(1+E12)^5+G10/(1+E12)^6</f>
        <v>5248.8026078821231</v>
      </c>
    </row>
    <row r="15" spans="2:7" x14ac:dyDescent="0.25">
      <c r="D15" t="s">
        <v>54</v>
      </c>
    </row>
    <row r="17" spans="2:16" x14ac:dyDescent="0.25">
      <c r="B17" s="28" t="s">
        <v>55</v>
      </c>
    </row>
    <row r="18" spans="2:16" x14ac:dyDescent="0.25">
      <c r="B18" s="28" t="s">
        <v>56</v>
      </c>
    </row>
    <row r="19" spans="2:16" x14ac:dyDescent="0.25">
      <c r="B19" s="28" t="s">
        <v>57</v>
      </c>
    </row>
    <row r="20" spans="2:16" x14ac:dyDescent="0.25">
      <c r="B20" s="28" t="s">
        <v>58</v>
      </c>
    </row>
    <row r="21" spans="2:16" x14ac:dyDescent="0.25">
      <c r="B21" s="28" t="s">
        <v>59</v>
      </c>
    </row>
    <row r="22" spans="2:16" x14ac:dyDescent="0.25">
      <c r="B22" s="28" t="s">
        <v>60</v>
      </c>
    </row>
    <row r="23" spans="2:16" x14ac:dyDescent="0.25">
      <c r="B23" s="28" t="s">
        <v>61</v>
      </c>
    </row>
    <row r="24" spans="2:16" x14ac:dyDescent="0.25">
      <c r="B24" s="29" t="s">
        <v>62</v>
      </c>
    </row>
    <row r="25" spans="2:16" x14ac:dyDescent="0.25">
      <c r="B25" s="28" t="s">
        <v>63</v>
      </c>
    </row>
    <row r="26" spans="2:16" x14ac:dyDescent="0.25">
      <c r="B26" s="28" t="s">
        <v>64</v>
      </c>
    </row>
    <row r="27" spans="2:16" x14ac:dyDescent="0.25">
      <c r="B27" s="28" t="s">
        <v>87</v>
      </c>
    </row>
    <row r="30" spans="2:16" x14ac:dyDescent="0.25">
      <c r="B30" s="30" t="s">
        <v>66</v>
      </c>
    </row>
    <row r="31" spans="2:16" x14ac:dyDescent="0.25">
      <c r="K31" t="s">
        <v>86</v>
      </c>
      <c r="M31" t="s">
        <v>86</v>
      </c>
      <c r="O31" t="s">
        <v>89</v>
      </c>
    </row>
    <row r="32" spans="2:16" ht="76.5" x14ac:dyDescent="0.25">
      <c r="B32" s="31" t="s">
        <v>68</v>
      </c>
      <c r="C32" s="31" t="s">
        <v>69</v>
      </c>
      <c r="D32" s="31" t="s">
        <v>70</v>
      </c>
      <c r="E32" s="31" t="s">
        <v>71</v>
      </c>
      <c r="F32" s="31" t="s">
        <v>72</v>
      </c>
      <c r="G32" s="31" t="s">
        <v>73</v>
      </c>
      <c r="H32" s="31" t="s">
        <v>74</v>
      </c>
      <c r="I32" s="31" t="s">
        <v>75</v>
      </c>
      <c r="J32" s="32" t="s">
        <v>83</v>
      </c>
      <c r="K32" s="32" t="s">
        <v>51</v>
      </c>
      <c r="L32" s="32" t="s">
        <v>76</v>
      </c>
      <c r="M32" s="31" t="s">
        <v>77</v>
      </c>
      <c r="N32" s="32" t="s">
        <v>78</v>
      </c>
      <c r="O32" s="31" t="s">
        <v>79</v>
      </c>
      <c r="P32" s="33" t="s">
        <v>80</v>
      </c>
    </row>
    <row r="33" spans="2:16" x14ac:dyDescent="0.25">
      <c r="B33" s="34">
        <v>0</v>
      </c>
      <c r="C33" s="35"/>
      <c r="D33" s="36"/>
      <c r="E33" s="35"/>
      <c r="F33" s="36"/>
      <c r="G33" s="36"/>
      <c r="H33" s="37"/>
      <c r="I33" s="37"/>
      <c r="J33" s="38"/>
      <c r="K33" s="39"/>
      <c r="L33" s="34"/>
      <c r="M33" s="37">
        <v>5000</v>
      </c>
      <c r="N33" s="38"/>
      <c r="O33" s="37">
        <f>5000-5000*(1%+0.5%+0.4%+0.5%)</f>
        <v>4880</v>
      </c>
      <c r="P33" s="40">
        <f>-5000-5000*(0.4%+0.5%)</f>
        <v>-5045</v>
      </c>
    </row>
    <row r="34" spans="2:16" x14ac:dyDescent="0.25">
      <c r="B34" s="34">
        <f>+B33+1</f>
        <v>1</v>
      </c>
      <c r="C34" s="41">
        <v>0.06</v>
      </c>
      <c r="D34" s="41">
        <f>+(1+C34/12)^6-1</f>
        <v>3.0377509393764601E-2</v>
      </c>
      <c r="E34" s="41">
        <v>0</v>
      </c>
      <c r="F34" s="41">
        <f>+E34</f>
        <v>0</v>
      </c>
      <c r="G34" s="34" t="s">
        <v>81</v>
      </c>
      <c r="H34" s="37">
        <f>+M33</f>
        <v>5000</v>
      </c>
      <c r="I34" s="37">
        <f t="shared" ref="I34:I39" si="0">+H34*(1+F34)</f>
        <v>5000</v>
      </c>
      <c r="J34" s="38">
        <f t="shared" ref="J34:J39" si="1">-I34*D34</f>
        <v>-151.88754696882302</v>
      </c>
      <c r="K34" s="39">
        <f>+J34+L34</f>
        <v>-151.88754696882302</v>
      </c>
      <c r="L34" s="39">
        <v>0</v>
      </c>
      <c r="M34" s="37">
        <f>+I34+L34</f>
        <v>5000</v>
      </c>
      <c r="N34" s="38"/>
      <c r="O34" s="39">
        <f t="shared" ref="O34:O37" si="2">+K34+N34</f>
        <v>-151.88754696882302</v>
      </c>
      <c r="P34" s="42">
        <f t="shared" ref="P34:P38" si="3">-O34</f>
        <v>151.88754696882302</v>
      </c>
    </row>
    <row r="35" spans="2:16" x14ac:dyDescent="0.25">
      <c r="B35" s="34">
        <f t="shared" ref="B35:B39" si="4">+B34+1</f>
        <v>2</v>
      </c>
      <c r="C35" s="41">
        <f>+C34</f>
        <v>0.06</v>
      </c>
      <c r="D35" s="41">
        <f>+D34</f>
        <v>3.0377509393764601E-2</v>
      </c>
      <c r="E35" s="41">
        <v>0</v>
      </c>
      <c r="F35" s="41">
        <f t="shared" ref="F35:F39" si="5">+E35</f>
        <v>0</v>
      </c>
      <c r="G35" s="34" t="s">
        <v>81</v>
      </c>
      <c r="H35" s="37">
        <f t="shared" ref="H35:H38" si="6">+M34</f>
        <v>5000</v>
      </c>
      <c r="I35" s="37">
        <f t="shared" si="0"/>
        <v>5000</v>
      </c>
      <c r="J35" s="38">
        <f t="shared" si="1"/>
        <v>-151.88754696882302</v>
      </c>
      <c r="K35" s="39">
        <f>+J35+L35</f>
        <v>-151.88754696882302</v>
      </c>
      <c r="L35" s="39">
        <v>0</v>
      </c>
      <c r="M35" s="37">
        <f>+I35+L35</f>
        <v>5000</v>
      </c>
      <c r="N35" s="38"/>
      <c r="O35" s="39">
        <f>+K35+N35</f>
        <v>-151.88754696882302</v>
      </c>
      <c r="P35" s="42">
        <f t="shared" si="3"/>
        <v>151.88754696882302</v>
      </c>
    </row>
    <row r="36" spans="2:16" x14ac:dyDescent="0.25">
      <c r="B36" s="34">
        <f t="shared" si="4"/>
        <v>3</v>
      </c>
      <c r="C36" s="41">
        <f t="shared" ref="C36:E39" si="7">+C35</f>
        <v>0.06</v>
      </c>
      <c r="D36" s="41">
        <f t="shared" si="7"/>
        <v>3.0377509393764601E-2</v>
      </c>
      <c r="E36" s="41">
        <f t="shared" si="7"/>
        <v>0</v>
      </c>
      <c r="F36" s="41">
        <f t="shared" si="5"/>
        <v>0</v>
      </c>
      <c r="G36" s="34" t="s">
        <v>82</v>
      </c>
      <c r="H36" s="37">
        <f t="shared" si="6"/>
        <v>5000</v>
      </c>
      <c r="I36" s="37">
        <f t="shared" si="0"/>
        <v>5000</v>
      </c>
      <c r="J36" s="38">
        <f t="shared" si="1"/>
        <v>-151.88754696882302</v>
      </c>
      <c r="K36" s="39">
        <f>-(I36*D36)/(1-(1+D36)^-(B$39-B35))</f>
        <v>-1346.3497542905461</v>
      </c>
      <c r="L36" s="39">
        <f>+K36-J36</f>
        <v>-1194.4622073217231</v>
      </c>
      <c r="M36" s="37">
        <f>+I36+L36</f>
        <v>3805.5377926782767</v>
      </c>
      <c r="N36" s="38"/>
      <c r="O36" s="39">
        <f t="shared" si="2"/>
        <v>-1346.3497542905461</v>
      </c>
      <c r="P36" s="42">
        <f t="shared" si="3"/>
        <v>1346.3497542905461</v>
      </c>
    </row>
    <row r="37" spans="2:16" x14ac:dyDescent="0.25">
      <c r="B37" s="34">
        <f t="shared" si="4"/>
        <v>4</v>
      </c>
      <c r="C37" s="41">
        <f t="shared" si="7"/>
        <v>0.06</v>
      </c>
      <c r="D37" s="41">
        <f t="shared" si="7"/>
        <v>3.0377509393764601E-2</v>
      </c>
      <c r="E37" s="41">
        <f t="shared" si="7"/>
        <v>0</v>
      </c>
      <c r="F37" s="41">
        <f t="shared" si="5"/>
        <v>0</v>
      </c>
      <c r="G37" s="34" t="s">
        <v>82</v>
      </c>
      <c r="H37" s="37">
        <f>+M36</f>
        <v>3805.5377926782767</v>
      </c>
      <c r="I37" s="37">
        <f t="shared" si="0"/>
        <v>3805.5377926782767</v>
      </c>
      <c r="J37" s="38">
        <f t="shared" si="1"/>
        <v>-115.60276004541055</v>
      </c>
      <c r="K37" s="39">
        <f t="shared" ref="K37:K39" si="8">-(I37*D37)/(1-(1+D37)^-(B$39-B36))</f>
        <v>-1346.349754290545</v>
      </c>
      <c r="L37" s="39">
        <f>+K37-J37</f>
        <v>-1230.7469942451344</v>
      </c>
      <c r="M37" s="37">
        <f t="shared" ref="M37:M39" si="9">+I37+L37</f>
        <v>2574.7907984331423</v>
      </c>
      <c r="N37" s="38"/>
      <c r="O37" s="39">
        <f t="shared" si="2"/>
        <v>-1346.349754290545</v>
      </c>
      <c r="P37" s="42">
        <f t="shared" si="3"/>
        <v>1346.349754290545</v>
      </c>
    </row>
    <row r="38" spans="2:16" x14ac:dyDescent="0.25">
      <c r="B38" s="34">
        <f t="shared" si="4"/>
        <v>5</v>
      </c>
      <c r="C38" s="41">
        <f t="shared" si="7"/>
        <v>0.06</v>
      </c>
      <c r="D38" s="41">
        <f t="shared" si="7"/>
        <v>3.0377509393764601E-2</v>
      </c>
      <c r="E38" s="41">
        <f t="shared" si="7"/>
        <v>0</v>
      </c>
      <c r="F38" s="41">
        <f t="shared" si="5"/>
        <v>0</v>
      </c>
      <c r="G38" s="34" t="s">
        <v>82</v>
      </c>
      <c r="H38" s="37">
        <f t="shared" si="6"/>
        <v>2574.7907984331423</v>
      </c>
      <c r="I38" s="37">
        <f t="shared" si="0"/>
        <v>2574.7907984331423</v>
      </c>
      <c r="J38" s="38">
        <f t="shared" si="1"/>
        <v>-78.215731666381444</v>
      </c>
      <c r="K38" s="39">
        <f t="shared" si="8"/>
        <v>-1346.3497542905463</v>
      </c>
      <c r="L38" s="39">
        <f>+K38-J38</f>
        <v>-1268.1340226241648</v>
      </c>
      <c r="M38" s="37">
        <f t="shared" si="9"/>
        <v>1306.6567758089775</v>
      </c>
      <c r="N38" s="38"/>
      <c r="O38" s="39">
        <f>+K38+N38</f>
        <v>-1346.3497542905463</v>
      </c>
      <c r="P38" s="42">
        <f t="shared" si="3"/>
        <v>1346.3497542905463</v>
      </c>
    </row>
    <row r="39" spans="2:16" x14ac:dyDescent="0.25">
      <c r="B39" s="34">
        <f t="shared" si="4"/>
        <v>6</v>
      </c>
      <c r="C39" s="41">
        <f>+C37</f>
        <v>0.06</v>
      </c>
      <c r="D39" s="41">
        <f t="shared" si="7"/>
        <v>3.0377509393764601E-2</v>
      </c>
      <c r="E39" s="41">
        <f>+E37</f>
        <v>0</v>
      </c>
      <c r="F39" s="41">
        <f t="shared" si="5"/>
        <v>0</v>
      </c>
      <c r="G39" s="34" t="s">
        <v>82</v>
      </c>
      <c r="H39" s="37">
        <f>+M38</f>
        <v>1306.6567758089775</v>
      </c>
      <c r="I39" s="37">
        <f t="shared" si="0"/>
        <v>1306.6567758089775</v>
      </c>
      <c r="J39" s="38">
        <f t="shared" si="1"/>
        <v>-39.692978481563379</v>
      </c>
      <c r="K39" s="39">
        <f t="shared" si="8"/>
        <v>-1346.3497542905432</v>
      </c>
      <c r="L39" s="39">
        <f>+K39-J39</f>
        <v>-1306.6567758089798</v>
      </c>
      <c r="M39" s="37">
        <f t="shared" si="9"/>
        <v>-2.2737367544323206E-12</v>
      </c>
      <c r="N39" s="38">
        <f>-I39*1%</f>
        <v>-13.066567758089775</v>
      </c>
      <c r="O39" s="39">
        <f>+K39+N39</f>
        <v>-1359.416322048633</v>
      </c>
      <c r="P39" s="42">
        <f>-O39</f>
        <v>1359.416322048633</v>
      </c>
    </row>
    <row r="42" spans="2:16" x14ac:dyDescent="0.25">
      <c r="B42" s="43" t="s">
        <v>84</v>
      </c>
      <c r="C42" s="26">
        <f>2%/(1-2%)</f>
        <v>2.0408163265306124E-2</v>
      </c>
    </row>
    <row r="43" spans="2:16" x14ac:dyDescent="0.25">
      <c r="B43" s="44" t="s">
        <v>85</v>
      </c>
      <c r="C43" s="45">
        <f>+NPV(C42,P34:P39)</f>
        <v>5224.9484936386916</v>
      </c>
    </row>
    <row r="46" spans="2:16" x14ac:dyDescent="0.25">
      <c r="B46" t="s">
        <v>88</v>
      </c>
      <c r="C46">
        <f>P34/(1+C42)+P35/(1+C42)^2+P36/(1+C42)^3+P37/(1+C42)^4+P38/(1+C42)^5+P39/(1+C42)^6</f>
        <v>5224.9484936386907</v>
      </c>
    </row>
  </sheetData>
  <dataValidations disablePrompts="1" count="1">
    <dataValidation type="list" allowBlank="1" showInputMessage="1" showErrorMessage="1" promptTitle="ELIJA PLAZO DE GRACIA" prompt="T : Total_x000a_P : Parcial o Normal_x000a_S : Sin Plazo de Gracia" sqref="G34:G39" xr:uid="{B7C63EC3-BF9F-4F6F-8945-79CE6436EE2C}">
      <formula1>"T,P,S"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6033-6D16-442A-9F45-E785D2E047A7}">
  <dimension ref="B2:P46"/>
  <sheetViews>
    <sheetView workbookViewId="0">
      <selection activeCell="C34" sqref="C34"/>
    </sheetView>
  </sheetViews>
  <sheetFormatPr baseColWidth="10" defaultRowHeight="15" x14ac:dyDescent="0.25"/>
  <cols>
    <col min="2" max="2" width="32" customWidth="1"/>
    <col min="6" max="6" width="16.85546875" customWidth="1"/>
    <col min="11" max="11" width="14.7109375" customWidth="1"/>
    <col min="13" max="13" width="12.5703125" customWidth="1"/>
  </cols>
  <sheetData>
    <row r="2" spans="2:10" x14ac:dyDescent="0.25">
      <c r="B2" t="s">
        <v>65</v>
      </c>
      <c r="C2" t="s">
        <v>67</v>
      </c>
    </row>
    <row r="3" spans="2:10" x14ac:dyDescent="0.25">
      <c r="J3" t="s">
        <v>90</v>
      </c>
    </row>
    <row r="4" spans="2:10" x14ac:dyDescent="0.25">
      <c r="B4" s="24"/>
      <c r="C4" s="24" t="s">
        <v>47</v>
      </c>
      <c r="D4" s="24" t="s">
        <v>48</v>
      </c>
      <c r="E4" s="24" t="s">
        <v>49</v>
      </c>
      <c r="F4" s="24" t="s">
        <v>50</v>
      </c>
      <c r="G4" s="24" t="s">
        <v>51</v>
      </c>
    </row>
    <row r="5" spans="2:10" x14ac:dyDescent="0.25">
      <c r="B5" s="24">
        <v>1</v>
      </c>
      <c r="C5" s="25"/>
      <c r="D5" s="26"/>
      <c r="E5" s="24"/>
      <c r="F5" s="24">
        <f>E5*D5</f>
        <v>0</v>
      </c>
      <c r="G5" s="24">
        <f>F5</f>
        <v>0</v>
      </c>
    </row>
    <row r="6" spans="2:10" x14ac:dyDescent="0.25">
      <c r="B6" s="24">
        <v>2</v>
      </c>
      <c r="C6" s="25"/>
      <c r="D6" s="26"/>
      <c r="E6" s="24"/>
      <c r="F6" s="24">
        <f>E6*D6</f>
        <v>0</v>
      </c>
      <c r="G6" s="24">
        <f>F6</f>
        <v>0</v>
      </c>
    </row>
    <row r="7" spans="2:10" x14ac:dyDescent="0.25">
      <c r="B7" s="24">
        <v>3</v>
      </c>
      <c r="C7" s="25"/>
      <c r="D7" s="26"/>
      <c r="E7" s="24"/>
      <c r="F7" s="24">
        <f>D7*K3</f>
        <v>0</v>
      </c>
      <c r="G7" s="24">
        <f>F7+E7</f>
        <v>0</v>
      </c>
    </row>
    <row r="8" spans="2:10" x14ac:dyDescent="0.25">
      <c r="B8" s="24">
        <v>4</v>
      </c>
      <c r="C8" s="25"/>
      <c r="D8" s="26"/>
      <c r="E8" s="24"/>
      <c r="F8" s="24">
        <f>D8*(K3-E7)</f>
        <v>0</v>
      </c>
      <c r="G8" s="24">
        <f>F8+E8</f>
        <v>0</v>
      </c>
    </row>
    <row r="9" spans="2:10" x14ac:dyDescent="0.25">
      <c r="B9" s="24">
        <v>5</v>
      </c>
      <c r="C9" s="25"/>
      <c r="D9" s="26"/>
      <c r="E9" s="24"/>
      <c r="F9" s="24">
        <f>D9*(K3-E8*2)</f>
        <v>0</v>
      </c>
      <c r="G9" s="24">
        <f>F9+E9</f>
        <v>0</v>
      </c>
    </row>
    <row r="10" spans="2:10" x14ac:dyDescent="0.25">
      <c r="B10" s="24">
        <v>6</v>
      </c>
      <c r="C10" s="25"/>
      <c r="D10" s="26"/>
      <c r="E10" s="24"/>
      <c r="F10" s="27">
        <f>D10*(K3-E9*3)+1%*(K3-K3/4*3)</f>
        <v>0</v>
      </c>
      <c r="G10" s="24">
        <f>F10+E10</f>
        <v>0</v>
      </c>
    </row>
    <row r="12" spans="2:10" x14ac:dyDescent="0.25">
      <c r="B12" t="s">
        <v>52</v>
      </c>
      <c r="E12" s="23"/>
    </row>
    <row r="14" spans="2:10" x14ac:dyDescent="0.25">
      <c r="B14" t="s">
        <v>53</v>
      </c>
      <c r="D14">
        <f>G5/(1+E12)+G6/(1+E12)^2+G7/(1+E12)^3+G8/(1+E12)^4+G9/(1+E12)^5+G10/(1+E12)^6</f>
        <v>0</v>
      </c>
    </row>
    <row r="17" spans="2:16" x14ac:dyDescent="0.25">
      <c r="B17" s="28" t="s">
        <v>55</v>
      </c>
    </row>
    <row r="18" spans="2:16" x14ac:dyDescent="0.25">
      <c r="B18" s="28" t="s">
        <v>56</v>
      </c>
    </row>
    <row r="19" spans="2:16" x14ac:dyDescent="0.25">
      <c r="B19" s="28" t="s">
        <v>57</v>
      </c>
    </row>
    <row r="20" spans="2:16" x14ac:dyDescent="0.25">
      <c r="B20" s="28" t="s">
        <v>58</v>
      </c>
    </row>
    <row r="21" spans="2:16" x14ac:dyDescent="0.25">
      <c r="B21" s="28" t="s">
        <v>59</v>
      </c>
    </row>
    <row r="22" spans="2:16" x14ac:dyDescent="0.25">
      <c r="B22" s="28" t="s">
        <v>60</v>
      </c>
    </row>
    <row r="23" spans="2:16" x14ac:dyDescent="0.25">
      <c r="B23" s="28" t="s">
        <v>61</v>
      </c>
    </row>
    <row r="24" spans="2:16" x14ac:dyDescent="0.25">
      <c r="B24" s="29" t="s">
        <v>62</v>
      </c>
    </row>
    <row r="25" spans="2:16" x14ac:dyDescent="0.25">
      <c r="B25" s="28" t="s">
        <v>63</v>
      </c>
    </row>
    <row r="26" spans="2:16" x14ac:dyDescent="0.25">
      <c r="B26" s="28" t="s">
        <v>64</v>
      </c>
    </row>
    <row r="27" spans="2:16" x14ac:dyDescent="0.25">
      <c r="B27" s="28" t="s">
        <v>87</v>
      </c>
    </row>
    <row r="30" spans="2:16" x14ac:dyDescent="0.25">
      <c r="B30" s="30" t="s">
        <v>66</v>
      </c>
    </row>
    <row r="31" spans="2:16" x14ac:dyDescent="0.25">
      <c r="K31" t="s">
        <v>86</v>
      </c>
      <c r="M31" t="s">
        <v>86</v>
      </c>
      <c r="O31" t="s">
        <v>89</v>
      </c>
    </row>
    <row r="32" spans="2:16" ht="76.5" x14ac:dyDescent="0.25">
      <c r="B32" s="31" t="s">
        <v>68</v>
      </c>
      <c r="C32" s="31" t="s">
        <v>69</v>
      </c>
      <c r="D32" s="31" t="s">
        <v>70</v>
      </c>
      <c r="E32" s="31" t="s">
        <v>71</v>
      </c>
      <c r="F32" s="31" t="s">
        <v>72</v>
      </c>
      <c r="G32" s="31" t="s">
        <v>73</v>
      </c>
      <c r="H32" s="31" t="s">
        <v>74</v>
      </c>
      <c r="I32" s="31" t="s">
        <v>75</v>
      </c>
      <c r="J32" s="32" t="s">
        <v>83</v>
      </c>
      <c r="K32" s="32" t="s">
        <v>51</v>
      </c>
      <c r="L32" s="32" t="s">
        <v>76</v>
      </c>
      <c r="M32" s="31" t="s">
        <v>77</v>
      </c>
      <c r="N32" s="32" t="s">
        <v>78</v>
      </c>
      <c r="O32" s="31" t="s">
        <v>79</v>
      </c>
      <c r="P32" s="33" t="s">
        <v>80</v>
      </c>
    </row>
    <row r="33" spans="2:16" x14ac:dyDescent="0.25">
      <c r="B33" s="34">
        <v>0</v>
      </c>
      <c r="C33" s="35"/>
      <c r="D33" s="36"/>
      <c r="E33" s="35"/>
      <c r="F33" s="36"/>
      <c r="G33" s="36"/>
      <c r="H33" s="37"/>
      <c r="I33" s="37"/>
      <c r="J33" s="38"/>
      <c r="K33" s="39"/>
      <c r="L33" s="34"/>
      <c r="M33" s="37"/>
      <c r="N33" s="38"/>
      <c r="O33" s="37"/>
      <c r="P33" s="40"/>
    </row>
    <row r="34" spans="2:16" x14ac:dyDescent="0.25">
      <c r="B34" s="34">
        <f>+B33+1</f>
        <v>1</v>
      </c>
      <c r="C34" s="41"/>
      <c r="D34" s="41">
        <f>+(1+C34/12)^6-1</f>
        <v>0</v>
      </c>
      <c r="E34" s="41">
        <v>0</v>
      </c>
      <c r="F34" s="41">
        <f>+E34</f>
        <v>0</v>
      </c>
      <c r="G34" s="34" t="s">
        <v>81</v>
      </c>
      <c r="H34" s="37">
        <f>+M33</f>
        <v>0</v>
      </c>
      <c r="I34" s="37">
        <f t="shared" ref="I34:I39" si="0">+H34*(1+F34)</f>
        <v>0</v>
      </c>
      <c r="J34" s="38">
        <f t="shared" ref="J34:J39" si="1">-I34*D34</f>
        <v>0</v>
      </c>
      <c r="K34" s="39">
        <f>+J34+L34</f>
        <v>0</v>
      </c>
      <c r="L34" s="39">
        <v>0</v>
      </c>
      <c r="M34" s="37">
        <f>+I34+L34</f>
        <v>0</v>
      </c>
      <c r="N34" s="38"/>
      <c r="O34" s="39">
        <f t="shared" ref="O34:O37" si="2">+K34+N34</f>
        <v>0</v>
      </c>
      <c r="P34" s="42">
        <f t="shared" ref="P34:P38" si="3">-O34</f>
        <v>0</v>
      </c>
    </row>
    <row r="35" spans="2:16" x14ac:dyDescent="0.25">
      <c r="B35" s="34">
        <f t="shared" ref="B35:B39" si="4">+B34+1</f>
        <v>2</v>
      </c>
      <c r="C35" s="41">
        <f>+C34</f>
        <v>0</v>
      </c>
      <c r="D35" s="41">
        <f>+D34</f>
        <v>0</v>
      </c>
      <c r="E35" s="41">
        <v>0</v>
      </c>
      <c r="F35" s="41">
        <f t="shared" ref="F35:F39" si="5">+E35</f>
        <v>0</v>
      </c>
      <c r="G35" s="34" t="s">
        <v>81</v>
      </c>
      <c r="H35" s="37">
        <f t="shared" ref="H35:H38" si="6">+M34</f>
        <v>0</v>
      </c>
      <c r="I35" s="37">
        <f t="shared" si="0"/>
        <v>0</v>
      </c>
      <c r="J35" s="38">
        <f t="shared" si="1"/>
        <v>0</v>
      </c>
      <c r="K35" s="39">
        <f>+J35+L35</f>
        <v>0</v>
      </c>
      <c r="L35" s="39">
        <v>0</v>
      </c>
      <c r="M35" s="37">
        <f>+I35+L35</f>
        <v>0</v>
      </c>
      <c r="N35" s="38"/>
      <c r="O35" s="39">
        <f>+K35+N35</f>
        <v>0</v>
      </c>
      <c r="P35" s="42">
        <f t="shared" si="3"/>
        <v>0</v>
      </c>
    </row>
    <row r="36" spans="2:16" x14ac:dyDescent="0.25">
      <c r="B36" s="34">
        <f t="shared" si="4"/>
        <v>3</v>
      </c>
      <c r="C36" s="41">
        <f t="shared" ref="C36:E39" si="7">+C35</f>
        <v>0</v>
      </c>
      <c r="D36" s="41">
        <f t="shared" si="7"/>
        <v>0</v>
      </c>
      <c r="E36" s="41">
        <f t="shared" si="7"/>
        <v>0</v>
      </c>
      <c r="F36" s="41">
        <f t="shared" si="5"/>
        <v>0</v>
      </c>
      <c r="G36" s="34" t="s">
        <v>82</v>
      </c>
      <c r="H36" s="37">
        <f t="shared" si="6"/>
        <v>0</v>
      </c>
      <c r="I36" s="37">
        <f t="shared" si="0"/>
        <v>0</v>
      </c>
      <c r="J36" s="38">
        <f t="shared" si="1"/>
        <v>0</v>
      </c>
      <c r="K36" s="39" t="e">
        <f>-(I36*D36)/(1-(1+D36)^-(B$39-B35))</f>
        <v>#DIV/0!</v>
      </c>
      <c r="L36" s="39" t="e">
        <f>+K36-J36</f>
        <v>#DIV/0!</v>
      </c>
      <c r="M36" s="37" t="e">
        <f>+I36+L36</f>
        <v>#DIV/0!</v>
      </c>
      <c r="N36" s="38"/>
      <c r="O36" s="39" t="e">
        <f t="shared" si="2"/>
        <v>#DIV/0!</v>
      </c>
      <c r="P36" s="42" t="e">
        <f t="shared" si="3"/>
        <v>#DIV/0!</v>
      </c>
    </row>
    <row r="37" spans="2:16" x14ac:dyDescent="0.25">
      <c r="B37" s="34">
        <f t="shared" si="4"/>
        <v>4</v>
      </c>
      <c r="C37" s="41">
        <f t="shared" si="7"/>
        <v>0</v>
      </c>
      <c r="D37" s="41">
        <f t="shared" si="7"/>
        <v>0</v>
      </c>
      <c r="E37" s="41">
        <f t="shared" si="7"/>
        <v>0</v>
      </c>
      <c r="F37" s="41">
        <f t="shared" si="5"/>
        <v>0</v>
      </c>
      <c r="G37" s="34" t="s">
        <v>82</v>
      </c>
      <c r="H37" s="37" t="e">
        <f>+M36</f>
        <v>#DIV/0!</v>
      </c>
      <c r="I37" s="37" t="e">
        <f t="shared" si="0"/>
        <v>#DIV/0!</v>
      </c>
      <c r="J37" s="38" t="e">
        <f t="shared" si="1"/>
        <v>#DIV/0!</v>
      </c>
      <c r="K37" s="39" t="e">
        <f>-(I37*D37)/(1-(1+D37)^-(B$39-B36))</f>
        <v>#DIV/0!</v>
      </c>
      <c r="L37" s="39" t="e">
        <f>+K37-J37</f>
        <v>#DIV/0!</v>
      </c>
      <c r="M37" s="37" t="e">
        <f t="shared" ref="M37:M39" si="8">+I37+L37</f>
        <v>#DIV/0!</v>
      </c>
      <c r="N37" s="38"/>
      <c r="O37" s="39" t="e">
        <f t="shared" si="2"/>
        <v>#DIV/0!</v>
      </c>
      <c r="P37" s="42" t="e">
        <f t="shared" si="3"/>
        <v>#DIV/0!</v>
      </c>
    </row>
    <row r="38" spans="2:16" x14ac:dyDescent="0.25">
      <c r="B38" s="34">
        <f t="shared" si="4"/>
        <v>5</v>
      </c>
      <c r="C38" s="41">
        <f t="shared" si="7"/>
        <v>0</v>
      </c>
      <c r="D38" s="41">
        <f t="shared" si="7"/>
        <v>0</v>
      </c>
      <c r="E38" s="41">
        <f t="shared" si="7"/>
        <v>0</v>
      </c>
      <c r="F38" s="41">
        <f t="shared" si="5"/>
        <v>0</v>
      </c>
      <c r="G38" s="34" t="s">
        <v>82</v>
      </c>
      <c r="H38" s="37" t="e">
        <f t="shared" si="6"/>
        <v>#DIV/0!</v>
      </c>
      <c r="I38" s="37" t="e">
        <f t="shared" si="0"/>
        <v>#DIV/0!</v>
      </c>
      <c r="J38" s="38" t="e">
        <f t="shared" si="1"/>
        <v>#DIV/0!</v>
      </c>
      <c r="K38" s="39" t="e">
        <f t="shared" ref="K38" si="9">-(I38*D38)/(1-(1+D38)^-(B$39-B37))</f>
        <v>#DIV/0!</v>
      </c>
      <c r="L38" s="39" t="e">
        <f>+K38-J38</f>
        <v>#DIV/0!</v>
      </c>
      <c r="M38" s="37" t="e">
        <f t="shared" si="8"/>
        <v>#DIV/0!</v>
      </c>
      <c r="N38" s="38"/>
      <c r="O38" s="39" t="e">
        <f>+K38+N38</f>
        <v>#DIV/0!</v>
      </c>
      <c r="P38" s="42" t="e">
        <f t="shared" si="3"/>
        <v>#DIV/0!</v>
      </c>
    </row>
    <row r="39" spans="2:16" x14ac:dyDescent="0.25">
      <c r="B39" s="34">
        <f t="shared" si="4"/>
        <v>6</v>
      </c>
      <c r="C39" s="41">
        <f>+C37</f>
        <v>0</v>
      </c>
      <c r="D39" s="41">
        <f t="shared" si="7"/>
        <v>0</v>
      </c>
      <c r="E39" s="41">
        <f>+E37</f>
        <v>0</v>
      </c>
      <c r="F39" s="41">
        <f t="shared" si="5"/>
        <v>0</v>
      </c>
      <c r="G39" s="34" t="s">
        <v>82</v>
      </c>
      <c r="H39" s="37" t="e">
        <f>+M38</f>
        <v>#DIV/0!</v>
      </c>
      <c r="I39" s="37" t="e">
        <f t="shared" si="0"/>
        <v>#DIV/0!</v>
      </c>
      <c r="J39" s="38" t="e">
        <f t="shared" si="1"/>
        <v>#DIV/0!</v>
      </c>
      <c r="K39" s="39" t="e">
        <f>-(I39*D39)/(1-(1+D39)^-(B$39-B38))</f>
        <v>#DIV/0!</v>
      </c>
      <c r="L39" s="39" t="e">
        <f>+K39-J39</f>
        <v>#DIV/0!</v>
      </c>
      <c r="M39" s="37" t="e">
        <f t="shared" si="8"/>
        <v>#DIV/0!</v>
      </c>
      <c r="N39" s="38" t="e">
        <f>-I39*1%</f>
        <v>#DIV/0!</v>
      </c>
      <c r="O39" s="39" t="e">
        <f>+K39+N39</f>
        <v>#DIV/0!</v>
      </c>
      <c r="P39" s="42" t="e">
        <f>-O39</f>
        <v>#DIV/0!</v>
      </c>
    </row>
    <row r="42" spans="2:16" x14ac:dyDescent="0.25">
      <c r="B42" s="43" t="s">
        <v>84</v>
      </c>
      <c r="C42" s="26"/>
    </row>
    <row r="43" spans="2:16" x14ac:dyDescent="0.25">
      <c r="B43" s="44" t="s">
        <v>85</v>
      </c>
      <c r="C43" s="45" t="e">
        <f>+NPV(C42,P34:P39)</f>
        <v>#DIV/0!</v>
      </c>
    </row>
    <row r="46" spans="2:16" x14ac:dyDescent="0.25">
      <c r="B46" t="s">
        <v>88</v>
      </c>
      <c r="C46" t="e">
        <f>P34/(1+C42)+P35/(1+C42)^2+P36/(1+C42)^3+P37/(1+C42)^4+P38/(1+C42)^5+P39/(1+C42)^6</f>
        <v>#DIV/0!</v>
      </c>
    </row>
  </sheetData>
  <dataValidations count="1">
    <dataValidation type="list" allowBlank="1" showInputMessage="1" showErrorMessage="1" promptTitle="ELIJA PLAZO DE GRACIA" prompt="T : Total_x000a_P : Parcial o Normal_x000a_S : Sin Plazo de Gracia" sqref="G34:G39" xr:uid="{FC6F31CE-CD36-436B-9A3E-426581A13EAB}">
      <formula1>"T,P,S"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966C-2B4D-4049-B0B9-4E1104B871D3}">
  <dimension ref="A1:K21"/>
  <sheetViews>
    <sheetView workbookViewId="0">
      <selection activeCell="M31" sqref="M31"/>
    </sheetView>
  </sheetViews>
  <sheetFormatPr baseColWidth="10" defaultRowHeight="15" x14ac:dyDescent="0.25"/>
  <cols>
    <col min="1" max="1" width="17.85546875" customWidth="1"/>
    <col min="3" max="3" width="21.85546875" customWidth="1"/>
    <col min="4" max="4" width="16" customWidth="1"/>
    <col min="5" max="5" width="15" customWidth="1"/>
  </cols>
  <sheetData>
    <row r="1" spans="1:11" ht="15.75" x14ac:dyDescent="0.25">
      <c r="A1" s="162" t="s">
        <v>0</v>
      </c>
      <c r="B1" s="163"/>
      <c r="C1" s="163"/>
      <c r="D1" s="163"/>
      <c r="E1" s="164"/>
      <c r="F1" s="15"/>
      <c r="G1" s="162" t="s">
        <v>1</v>
      </c>
      <c r="H1" s="163"/>
      <c r="I1" s="164"/>
      <c r="J1" s="16"/>
      <c r="K1" s="16"/>
    </row>
    <row r="2" spans="1:11" x14ac:dyDescent="0.25">
      <c r="A2" s="5"/>
      <c r="B2" s="5"/>
      <c r="C2" s="5"/>
      <c r="D2" s="5"/>
      <c r="E2" s="5"/>
      <c r="F2" s="15"/>
      <c r="G2" s="5"/>
      <c r="H2" s="22"/>
      <c r="I2" s="22"/>
      <c r="J2" s="16"/>
      <c r="K2" s="16"/>
    </row>
    <row r="3" spans="1:11" x14ac:dyDescent="0.25">
      <c r="A3" s="17" t="s">
        <v>2</v>
      </c>
      <c r="B3" s="6"/>
      <c r="C3" s="15"/>
      <c r="D3" s="15"/>
      <c r="E3" s="15"/>
      <c r="F3" s="15"/>
      <c r="G3" s="1" t="s">
        <v>3</v>
      </c>
      <c r="H3" s="7"/>
      <c r="I3" s="8"/>
      <c r="J3" s="16"/>
      <c r="K3" s="16"/>
    </row>
    <row r="4" spans="1:11" x14ac:dyDescent="0.25">
      <c r="A4" s="15"/>
      <c r="B4" s="15"/>
      <c r="C4" s="15"/>
      <c r="D4" s="15"/>
      <c r="E4" s="15"/>
      <c r="F4" s="15"/>
      <c r="G4" s="1" t="s">
        <v>5</v>
      </c>
      <c r="H4" s="9"/>
      <c r="I4" s="8"/>
      <c r="J4" s="16"/>
      <c r="K4" s="16"/>
    </row>
    <row r="5" spans="1:11" x14ac:dyDescent="0.25">
      <c r="A5" s="17" t="s">
        <v>7</v>
      </c>
      <c r="B5" s="18" t="s">
        <v>8</v>
      </c>
      <c r="C5" s="18" t="s">
        <v>36</v>
      </c>
      <c r="D5" s="18" t="s">
        <v>9</v>
      </c>
      <c r="E5" s="18" t="s">
        <v>10</v>
      </c>
      <c r="F5" s="15"/>
      <c r="G5" s="1" t="s">
        <v>11</v>
      </c>
      <c r="H5" s="10"/>
      <c r="I5" s="8"/>
      <c r="J5" s="16"/>
      <c r="K5" s="16"/>
    </row>
    <row r="6" spans="1:11" x14ac:dyDescent="0.25">
      <c r="A6" s="1" t="s">
        <v>43</v>
      </c>
      <c r="B6" s="9"/>
      <c r="C6" s="2" t="e">
        <f>B6/$B$10</f>
        <v>#DIV/0!</v>
      </c>
      <c r="D6" s="6"/>
      <c r="E6" s="2" t="e">
        <f>D6*C6</f>
        <v>#DIV/0!</v>
      </c>
      <c r="F6" s="15"/>
      <c r="G6" s="1" t="s">
        <v>14</v>
      </c>
      <c r="H6" s="10"/>
      <c r="I6" s="8"/>
      <c r="J6" s="16"/>
      <c r="K6" s="16"/>
    </row>
    <row r="7" spans="1:11" x14ac:dyDescent="0.25">
      <c r="A7" s="1" t="s">
        <v>43</v>
      </c>
      <c r="B7" s="9"/>
      <c r="C7" s="2" t="e">
        <f>B7/$B$10</f>
        <v>#DIV/0!</v>
      </c>
      <c r="D7" s="6"/>
      <c r="E7" s="2" t="e">
        <f>D7*C7</f>
        <v>#DIV/0!</v>
      </c>
      <c r="F7" s="15"/>
      <c r="G7" s="19" t="s">
        <v>17</v>
      </c>
      <c r="H7" s="11" t="e">
        <f>H3*(1+H6)/(H4*(1-H5))+H6</f>
        <v>#DIV/0!</v>
      </c>
      <c r="I7" s="17" t="s">
        <v>40</v>
      </c>
      <c r="J7" s="16"/>
      <c r="K7" s="16"/>
    </row>
    <row r="8" spans="1:11" ht="15.75" x14ac:dyDescent="0.3">
      <c r="A8" s="1" t="s">
        <v>43</v>
      </c>
      <c r="B8" s="9"/>
      <c r="C8" s="2" t="e">
        <f>B8/$B$10</f>
        <v>#DIV/0!</v>
      </c>
      <c r="D8" s="6"/>
      <c r="E8" s="2" t="e">
        <f t="shared" ref="E8" si="0">D8*C8</f>
        <v>#DIV/0!</v>
      </c>
      <c r="F8" s="15"/>
      <c r="G8" s="12"/>
      <c r="H8" s="12"/>
      <c r="I8" s="12"/>
      <c r="J8" s="16"/>
      <c r="K8" s="16"/>
    </row>
    <row r="9" spans="1:11" ht="15.75" x14ac:dyDescent="0.25">
      <c r="A9" s="1" t="s">
        <v>19</v>
      </c>
      <c r="B9" s="9"/>
      <c r="C9" s="2" t="e">
        <f>B9/$B$10</f>
        <v>#DIV/0!</v>
      </c>
      <c r="D9" s="6"/>
      <c r="E9" s="2" t="e">
        <f>D9*C9</f>
        <v>#DIV/0!</v>
      </c>
      <c r="F9" s="15"/>
      <c r="G9" s="162" t="s">
        <v>20</v>
      </c>
      <c r="H9" s="163"/>
      <c r="I9" s="164"/>
      <c r="J9" s="16"/>
      <c r="K9" s="16"/>
    </row>
    <row r="10" spans="1:11" x14ac:dyDescent="0.25">
      <c r="A10" s="5"/>
      <c r="B10" s="9">
        <f>SUM(B6:B9)</f>
        <v>0</v>
      </c>
      <c r="C10" s="3" t="e">
        <f>B10/B18</f>
        <v>#DIV/0!</v>
      </c>
      <c r="D10" s="19" t="s">
        <v>38</v>
      </c>
      <c r="E10" s="11" t="e">
        <f>SUM(E6:E9)</f>
        <v>#DIV/0!</v>
      </c>
      <c r="F10" s="15"/>
      <c r="G10" s="22"/>
      <c r="H10" s="22"/>
      <c r="I10" s="5"/>
      <c r="J10" s="16"/>
      <c r="K10" s="16"/>
    </row>
    <row r="11" spans="1:11" x14ac:dyDescent="0.25">
      <c r="A11" s="5"/>
      <c r="B11" s="13"/>
      <c r="C11" s="5"/>
      <c r="D11" s="5"/>
      <c r="E11" s="5"/>
      <c r="F11" s="15"/>
      <c r="G11" s="1" t="s">
        <v>21</v>
      </c>
      <c r="H11" s="7"/>
      <c r="I11" s="8"/>
      <c r="J11" s="16"/>
      <c r="K11" s="16"/>
    </row>
    <row r="12" spans="1:11" x14ac:dyDescent="0.25">
      <c r="A12" s="17" t="s">
        <v>23</v>
      </c>
      <c r="B12" s="20" t="s">
        <v>8</v>
      </c>
      <c r="C12" s="18" t="s">
        <v>37</v>
      </c>
      <c r="D12" s="19" t="s">
        <v>24</v>
      </c>
      <c r="E12" s="19" t="s">
        <v>25</v>
      </c>
      <c r="F12" s="15"/>
      <c r="G12" s="1" t="s">
        <v>5</v>
      </c>
      <c r="H12" s="9"/>
      <c r="I12" s="8"/>
      <c r="J12" s="16"/>
      <c r="K12" s="16"/>
    </row>
    <row r="13" spans="1:11" x14ac:dyDescent="0.25">
      <c r="A13" s="1" t="s">
        <v>26</v>
      </c>
      <c r="B13" s="9"/>
      <c r="C13" s="3" t="e">
        <f>B13/$B$16</f>
        <v>#DIV/0!</v>
      </c>
      <c r="D13" s="3" t="e">
        <f>H7</f>
        <v>#DIV/0!</v>
      </c>
      <c r="E13" s="3" t="e">
        <f>D13*C13</f>
        <v>#DIV/0!</v>
      </c>
      <c r="F13" s="15"/>
      <c r="G13" s="1" t="s">
        <v>11</v>
      </c>
      <c r="H13" s="10"/>
      <c r="I13" s="8"/>
      <c r="J13" s="16"/>
      <c r="K13" s="16"/>
    </row>
    <row r="14" spans="1:11" x14ac:dyDescent="0.25">
      <c r="A14" s="1" t="s">
        <v>27</v>
      </c>
      <c r="B14" s="9"/>
      <c r="C14" s="3" t="e">
        <f t="shared" ref="C14" si="1">B14/$B$16</f>
        <v>#DIV/0!</v>
      </c>
      <c r="D14" s="3" t="e">
        <f>H14</f>
        <v>#DIV/0!</v>
      </c>
      <c r="E14" s="3" t="e">
        <f>D14*C14</f>
        <v>#DIV/0!</v>
      </c>
      <c r="F14" s="15"/>
      <c r="G14" s="19" t="s">
        <v>28</v>
      </c>
      <c r="H14" s="11" t="e">
        <f>H11/(H12*(1-H13))</f>
        <v>#DIV/0!</v>
      </c>
      <c r="I14" s="17" t="s">
        <v>41</v>
      </c>
      <c r="J14" s="16"/>
      <c r="K14" s="16"/>
    </row>
    <row r="15" spans="1:11" ht="15.75" x14ac:dyDescent="0.3">
      <c r="A15" s="1" t="s">
        <v>29</v>
      </c>
      <c r="B15" s="9"/>
      <c r="C15" s="3" t="e">
        <f>B15/$B$16</f>
        <v>#DIV/0!</v>
      </c>
      <c r="D15" s="3" t="e">
        <f>H21</f>
        <v>#DIV/0!</v>
      </c>
      <c r="E15" s="3" t="e">
        <f>D15*C15</f>
        <v>#DIV/0!</v>
      </c>
      <c r="F15" s="15"/>
      <c r="G15" s="12"/>
      <c r="H15" s="12"/>
      <c r="I15" s="12"/>
      <c r="J15" s="16"/>
      <c r="K15" s="16"/>
    </row>
    <row r="16" spans="1:11" ht="15.75" x14ac:dyDescent="0.25">
      <c r="A16" s="5"/>
      <c r="B16" s="9">
        <f>SUM(B13:B15)</f>
        <v>0</v>
      </c>
      <c r="C16" s="3" t="e">
        <f>B16/B18</f>
        <v>#DIV/0!</v>
      </c>
      <c r="D16" s="19" t="s">
        <v>39</v>
      </c>
      <c r="E16" s="11" t="e">
        <f>SUM(E13:E15)</f>
        <v>#DIV/0!</v>
      </c>
      <c r="F16" s="15"/>
      <c r="G16" s="162" t="s">
        <v>30</v>
      </c>
      <c r="H16" s="163"/>
      <c r="I16" s="164"/>
      <c r="J16" s="16"/>
      <c r="K16" s="16"/>
    </row>
    <row r="17" spans="1:11" x14ac:dyDescent="0.25">
      <c r="A17" s="5"/>
      <c r="B17" s="13"/>
      <c r="C17" s="5"/>
      <c r="D17" s="5"/>
      <c r="E17" s="5"/>
      <c r="F17" s="15"/>
      <c r="G17" s="22"/>
      <c r="H17" s="22"/>
      <c r="I17" s="5"/>
      <c r="J17" s="16"/>
      <c r="K17" s="16"/>
    </row>
    <row r="18" spans="1:11" x14ac:dyDescent="0.25">
      <c r="A18" s="1" t="s">
        <v>31</v>
      </c>
      <c r="B18" s="14">
        <f>B16+B10</f>
        <v>0</v>
      </c>
      <c r="C18" s="3" t="e">
        <f>C16+C10</f>
        <v>#DIV/0!</v>
      </c>
      <c r="D18" s="18" t="s">
        <v>32</v>
      </c>
      <c r="E18" s="21" t="e">
        <f>+E10*C10*(1-B3)+E16*C16</f>
        <v>#DIV/0!</v>
      </c>
      <c r="F18" s="15"/>
      <c r="G18" s="1" t="s">
        <v>3</v>
      </c>
      <c r="H18" s="7"/>
      <c r="I18" s="8"/>
      <c r="J18" s="16"/>
      <c r="K18" s="16"/>
    </row>
    <row r="19" spans="1:11" x14ac:dyDescent="0.25">
      <c r="A19" s="15"/>
      <c r="B19" s="15"/>
      <c r="C19" s="15"/>
      <c r="D19" s="15"/>
      <c r="E19" s="15"/>
      <c r="F19" s="15"/>
      <c r="G19" s="1" t="s">
        <v>5</v>
      </c>
      <c r="H19" s="9"/>
      <c r="I19" s="8"/>
      <c r="J19" s="16"/>
      <c r="K19" s="16"/>
    </row>
    <row r="20" spans="1:11" x14ac:dyDescent="0.25">
      <c r="A20" s="15"/>
      <c r="B20" s="15"/>
      <c r="C20" s="15"/>
      <c r="D20" s="15"/>
      <c r="E20" s="15"/>
      <c r="F20" s="15"/>
      <c r="G20" s="1" t="s">
        <v>14</v>
      </c>
      <c r="H20" s="10"/>
      <c r="I20" s="8"/>
      <c r="J20" s="16"/>
      <c r="K20" s="16"/>
    </row>
    <row r="21" spans="1:11" x14ac:dyDescent="0.25">
      <c r="A21" s="15" t="s">
        <v>34</v>
      </c>
      <c r="B21" s="15" t="s">
        <v>35</v>
      </c>
      <c r="C21" s="15"/>
      <c r="D21" s="15"/>
      <c r="E21" s="15"/>
      <c r="F21" s="15"/>
      <c r="G21" s="19" t="s">
        <v>33</v>
      </c>
      <c r="H21" s="11" t="e">
        <f>H18*(1+H20)/H19+H20</f>
        <v>#DIV/0!</v>
      </c>
      <c r="I21" s="17" t="s">
        <v>42</v>
      </c>
      <c r="J21" s="16"/>
      <c r="K21" s="16"/>
    </row>
  </sheetData>
  <mergeCells count="4">
    <mergeCell ref="A1:E1"/>
    <mergeCell ref="G1:I1"/>
    <mergeCell ref="G9:I9"/>
    <mergeCell ref="G16:I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420-C771-4332-ACE9-DCF8F9AD2821}">
  <dimension ref="B3:Q67"/>
  <sheetViews>
    <sheetView topLeftCell="A43" workbookViewId="0">
      <selection activeCell="K43" sqref="K43"/>
    </sheetView>
  </sheetViews>
  <sheetFormatPr baseColWidth="10" defaultRowHeight="15" x14ac:dyDescent="0.25"/>
  <cols>
    <col min="3" max="3" width="17.7109375" customWidth="1"/>
    <col min="4" max="4" width="19.85546875" customWidth="1"/>
    <col min="5" max="5" width="14.7109375" bestFit="1" customWidth="1"/>
    <col min="17" max="17" width="11.85546875" bestFit="1" customWidth="1"/>
  </cols>
  <sheetData>
    <row r="3" spans="2:16" ht="15.75" x14ac:dyDescent="0.3">
      <c r="B3" s="110"/>
      <c r="C3" s="165" t="s">
        <v>164</v>
      </c>
      <c r="D3" s="165"/>
      <c r="E3" s="146"/>
      <c r="F3" s="110"/>
      <c r="G3" s="112"/>
      <c r="H3" s="112"/>
      <c r="I3" s="110"/>
      <c r="J3" s="110"/>
      <c r="K3" s="113"/>
      <c r="L3" s="96"/>
      <c r="M3" s="96"/>
      <c r="N3" s="96"/>
      <c r="O3" s="96"/>
      <c r="P3" s="110"/>
    </row>
    <row r="4" spans="2:16" ht="15.75" x14ac:dyDescent="0.3">
      <c r="B4" s="110"/>
      <c r="C4" s="147" t="s">
        <v>165</v>
      </c>
      <c r="D4" s="147"/>
      <c r="E4" s="146">
        <v>0.12747430700000001</v>
      </c>
      <c r="F4" s="148"/>
      <c r="G4" s="112"/>
      <c r="H4" s="112"/>
      <c r="I4" s="110"/>
      <c r="J4" s="110"/>
      <c r="K4" s="96"/>
      <c r="L4" s="96"/>
      <c r="M4" s="116"/>
      <c r="N4" s="96"/>
      <c r="O4" s="96"/>
      <c r="P4" s="110"/>
    </row>
    <row r="5" spans="2:16" ht="15.75" x14ac:dyDescent="0.3">
      <c r="B5" s="110"/>
      <c r="C5" s="112"/>
      <c r="D5" s="112"/>
      <c r="E5" s="112"/>
      <c r="F5" s="112" t="s">
        <v>187</v>
      </c>
      <c r="G5" s="112"/>
      <c r="H5" s="112"/>
      <c r="I5" s="110"/>
      <c r="J5" s="110"/>
      <c r="K5" s="96"/>
      <c r="L5" s="96"/>
      <c r="M5" s="96"/>
      <c r="N5" s="96"/>
      <c r="O5" s="96"/>
      <c r="P5" s="110"/>
    </row>
    <row r="6" spans="2:16" ht="60" x14ac:dyDescent="0.3">
      <c r="B6" s="110"/>
      <c r="C6" s="112"/>
      <c r="D6" s="166" t="s">
        <v>166</v>
      </c>
      <c r="E6" s="166"/>
      <c r="F6" s="149" t="s">
        <v>167</v>
      </c>
      <c r="G6" s="150" t="s">
        <v>168</v>
      </c>
      <c r="H6" s="112"/>
      <c r="I6" s="110"/>
      <c r="J6" s="110"/>
      <c r="K6" s="96"/>
      <c r="L6" s="96"/>
      <c r="M6" s="96"/>
      <c r="N6" s="96"/>
      <c r="O6" s="96"/>
      <c r="P6" s="110"/>
    </row>
    <row r="7" spans="2:16" ht="15.75" x14ac:dyDescent="0.3">
      <c r="B7" s="110"/>
      <c r="C7" s="150" t="s">
        <v>169</v>
      </c>
      <c r="D7" s="150" t="s">
        <v>190</v>
      </c>
      <c r="E7" s="150" t="s">
        <v>191</v>
      </c>
      <c r="F7" s="150" t="s">
        <v>191</v>
      </c>
      <c r="G7" s="150" t="s">
        <v>191</v>
      </c>
      <c r="H7" s="120"/>
      <c r="I7" s="121"/>
      <c r="J7" s="110"/>
      <c r="K7" s="96"/>
      <c r="L7" s="96"/>
      <c r="M7" s="96"/>
      <c r="N7" s="96"/>
      <c r="O7" s="96"/>
      <c r="P7" s="110"/>
    </row>
    <row r="8" spans="2:16" ht="15.75" x14ac:dyDescent="0.3">
      <c r="B8" s="110"/>
      <c r="C8" s="151">
        <v>0</v>
      </c>
      <c r="D8" s="152">
        <v>-28250</v>
      </c>
      <c r="E8" s="152">
        <v>-62000</v>
      </c>
      <c r="F8" s="152">
        <f>E8/(1+$E$4)^$C8</f>
        <v>-62000</v>
      </c>
      <c r="G8" s="152">
        <f>E8</f>
        <v>-62000</v>
      </c>
      <c r="H8" s="124"/>
      <c r="I8" s="121" t="s">
        <v>186</v>
      </c>
      <c r="J8" s="110"/>
      <c r="K8" s="110"/>
      <c r="L8" s="96"/>
      <c r="M8" s="96"/>
      <c r="N8" s="96"/>
      <c r="O8" s="96"/>
      <c r="P8" s="110"/>
    </row>
    <row r="9" spans="2:16" ht="15.75" x14ac:dyDescent="0.3">
      <c r="B9" s="110"/>
      <c r="C9" s="151">
        <f>+C8+1</f>
        <v>1</v>
      </c>
      <c r="D9" s="152">
        <v>10200</v>
      </c>
      <c r="E9" s="152">
        <v>20250</v>
      </c>
      <c r="F9" s="152">
        <f>E9/(1+$E$4)^$C9</f>
        <v>17960.49796813685</v>
      </c>
      <c r="G9" s="152">
        <f>F9+G8</f>
        <v>-44039.50203186315</v>
      </c>
      <c r="H9" s="124"/>
      <c r="I9" s="110"/>
      <c r="J9" s="110"/>
      <c r="K9" s="110"/>
      <c r="L9" s="96"/>
      <c r="M9" s="96"/>
      <c r="N9" s="96"/>
      <c r="O9" s="96"/>
      <c r="P9" s="110"/>
    </row>
    <row r="10" spans="2:16" ht="15.75" x14ac:dyDescent="0.3">
      <c r="B10" s="110"/>
      <c r="C10" s="151">
        <f>+C9+1</f>
        <v>2</v>
      </c>
      <c r="D10" s="152">
        <v>10700</v>
      </c>
      <c r="E10" s="152">
        <v>20250</v>
      </c>
      <c r="F10" s="152">
        <f>E10/(1+$E$4)^$C10</f>
        <v>15929.851222886315</v>
      </c>
      <c r="G10" s="152">
        <f>F10+G9</f>
        <v>-28109.650808976836</v>
      </c>
      <c r="H10" s="124"/>
      <c r="I10" s="110"/>
      <c r="J10" s="110"/>
      <c r="K10" s="110"/>
      <c r="L10" s="96"/>
      <c r="M10" s="96"/>
      <c r="N10" s="96"/>
      <c r="O10" s="96"/>
      <c r="P10" s="110"/>
    </row>
    <row r="11" spans="2:16" ht="15.75" x14ac:dyDescent="0.3">
      <c r="B11" s="110"/>
      <c r="C11" s="151">
        <f>+C10+1</f>
        <v>3</v>
      </c>
      <c r="D11" s="152">
        <v>11200</v>
      </c>
      <c r="E11" s="152">
        <v>20250</v>
      </c>
      <c r="F11" s="152">
        <f>E11/(1+$E$4)^$C11</f>
        <v>14128.793112166515</v>
      </c>
      <c r="G11" s="152">
        <f>F11+G10</f>
        <v>-13980.857696810321</v>
      </c>
      <c r="H11" s="124"/>
      <c r="I11" s="110"/>
      <c r="J11" s="110"/>
      <c r="K11" s="110"/>
      <c r="L11" s="96"/>
      <c r="M11" s="96"/>
      <c r="N11" s="96"/>
      <c r="O11" s="96"/>
      <c r="P11" s="110"/>
    </row>
    <row r="12" spans="2:16" ht="15.75" x14ac:dyDescent="0.3">
      <c r="B12" s="110"/>
      <c r="C12" s="151">
        <f>+C11+1</f>
        <v>4</v>
      </c>
      <c r="D12" s="152">
        <v>11700</v>
      </c>
      <c r="E12" s="152">
        <v>20250</v>
      </c>
      <c r="F12" s="152">
        <f>E12/(1+$E$4)^$C12</f>
        <v>12531.36592510087</v>
      </c>
      <c r="G12" s="152">
        <f>F12+G11</f>
        <v>-1449.4917717094504</v>
      </c>
      <c r="H12" s="124"/>
      <c r="I12" s="110"/>
      <c r="J12" s="110"/>
      <c r="K12" s="96"/>
      <c r="L12" s="96"/>
      <c r="M12" s="96"/>
      <c r="N12" s="96"/>
      <c r="O12" s="96"/>
      <c r="P12" s="110"/>
    </row>
    <row r="13" spans="2:16" ht="19.5" x14ac:dyDescent="0.4">
      <c r="C13">
        <v>5</v>
      </c>
      <c r="D13" s="167">
        <v>12200</v>
      </c>
      <c r="E13" s="152">
        <v>20250</v>
      </c>
      <c r="F13" s="152">
        <f>E13/(1+$E$4)^$C13</f>
        <v>11114.546777074247</v>
      </c>
      <c r="G13" s="152">
        <f>F13+G12</f>
        <v>9665.0550053647967</v>
      </c>
      <c r="H13" s="128"/>
      <c r="I13" s="129"/>
      <c r="J13" s="110"/>
      <c r="K13" s="110"/>
      <c r="L13" s="110"/>
      <c r="M13" s="110"/>
      <c r="N13" s="110"/>
      <c r="O13" s="110"/>
      <c r="P13" s="110"/>
    </row>
    <row r="14" spans="2:16" ht="15.75" x14ac:dyDescent="0.3">
      <c r="C14">
        <v>6</v>
      </c>
      <c r="D14" s="167">
        <v>12700</v>
      </c>
      <c r="E14" s="152">
        <v>20250</v>
      </c>
      <c r="F14" s="152">
        <f>E14/(1+$E$4)^$C14</f>
        <v>9857.9157929088378</v>
      </c>
      <c r="G14" s="152">
        <f>F14+G13</f>
        <v>19522.970798273636</v>
      </c>
      <c r="H14" s="112"/>
      <c r="I14" s="110"/>
      <c r="J14" s="110"/>
      <c r="K14" s="110"/>
      <c r="L14" s="110"/>
      <c r="M14" s="110"/>
      <c r="N14" s="110"/>
      <c r="O14" s="110"/>
      <c r="P14" s="110"/>
    </row>
    <row r="15" spans="2:16" ht="15.75" x14ac:dyDescent="0.3">
      <c r="H15" s="110"/>
      <c r="I15" s="110"/>
      <c r="J15" s="110"/>
      <c r="K15" s="110"/>
      <c r="L15" s="110"/>
      <c r="M15" s="110"/>
      <c r="N15" s="110"/>
      <c r="O15" s="110"/>
      <c r="P15" s="110"/>
    </row>
    <row r="16" spans="2:16" ht="15.75" x14ac:dyDescent="0.3">
      <c r="H16" s="137"/>
      <c r="I16" s="136"/>
      <c r="J16" s="136"/>
      <c r="K16" s="138"/>
      <c r="L16" s="110"/>
      <c r="M16" s="110"/>
      <c r="N16" s="110"/>
      <c r="O16" s="110"/>
      <c r="P16" s="110"/>
    </row>
    <row r="17" spans="2:17" ht="15.75" x14ac:dyDescent="0.3">
      <c r="H17" s="110"/>
      <c r="I17" s="110"/>
      <c r="J17" s="110"/>
      <c r="K17" s="110"/>
      <c r="L17" s="110"/>
      <c r="M17" s="110"/>
      <c r="N17" s="110"/>
      <c r="O17" s="110"/>
      <c r="P17" s="110"/>
    </row>
    <row r="18" spans="2:17" ht="15.75" x14ac:dyDescent="0.3">
      <c r="H18" s="110"/>
      <c r="I18" s="110"/>
      <c r="J18" s="110"/>
      <c r="K18" s="110"/>
      <c r="L18" s="110"/>
      <c r="M18" s="110"/>
      <c r="N18" s="110"/>
      <c r="O18" s="110"/>
      <c r="P18" s="110"/>
    </row>
    <row r="19" spans="2:17" ht="15.75" x14ac:dyDescent="0.3">
      <c r="H19" s="110"/>
      <c r="I19" s="110"/>
      <c r="J19" s="110"/>
      <c r="K19" s="110"/>
      <c r="L19" s="110"/>
      <c r="M19" s="110"/>
      <c r="N19" s="110"/>
      <c r="O19" s="110"/>
      <c r="P19" s="110"/>
    </row>
    <row r="20" spans="2:17" ht="15.75" x14ac:dyDescent="0.3">
      <c r="H20" s="110"/>
      <c r="I20" s="110"/>
      <c r="J20" s="110"/>
      <c r="K20" s="110"/>
      <c r="L20" s="110"/>
      <c r="M20" s="110"/>
      <c r="N20" s="110"/>
      <c r="O20" s="110"/>
      <c r="P20" s="110"/>
      <c r="Q20" s="145"/>
    </row>
    <row r="21" spans="2:17" ht="15.75" x14ac:dyDescent="0.3">
      <c r="H21" s="110"/>
      <c r="I21" s="110"/>
      <c r="J21" s="110"/>
      <c r="K21" s="110"/>
      <c r="L21" s="110"/>
      <c r="M21" s="110"/>
      <c r="N21" s="110"/>
      <c r="O21" s="110"/>
      <c r="P21" s="110"/>
    </row>
    <row r="22" spans="2:17" ht="15.75" x14ac:dyDescent="0.3">
      <c r="H22" s="110"/>
      <c r="I22" s="110"/>
      <c r="J22" s="110"/>
      <c r="K22" s="110"/>
      <c r="L22" s="110"/>
      <c r="M22" s="110"/>
      <c r="N22" s="110"/>
      <c r="O22" s="110"/>
      <c r="P22" s="110"/>
    </row>
    <row r="23" spans="2:17" ht="15.75" x14ac:dyDescent="0.3">
      <c r="H23" s="110"/>
      <c r="I23" s="110"/>
      <c r="J23" s="110"/>
      <c r="K23" s="110"/>
      <c r="L23" s="110"/>
      <c r="M23" s="110"/>
      <c r="N23" s="110"/>
      <c r="O23" s="110"/>
      <c r="P23" s="110"/>
    </row>
    <row r="24" spans="2:17" ht="15.75" x14ac:dyDescent="0.3"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</row>
    <row r="25" spans="2:17" ht="16.5" x14ac:dyDescent="0.35">
      <c r="B25" s="125" t="s">
        <v>174</v>
      </c>
      <c r="C25" s="153" t="s">
        <v>175</v>
      </c>
      <c r="D25" s="152">
        <f>D8+NPV($E$4,D9:D14)</f>
        <v>17147.479150127037</v>
      </c>
      <c r="E25" s="152">
        <f>E8+NPV($E$4,E9:E14)</f>
        <v>19522.970798273629</v>
      </c>
      <c r="F25" s="154"/>
      <c r="G25" s="112"/>
      <c r="H25" s="110"/>
      <c r="I25" s="110"/>
      <c r="J25" s="110"/>
      <c r="K25" s="110"/>
      <c r="L25" s="110"/>
      <c r="M25" s="110"/>
      <c r="N25" s="110"/>
      <c r="O25" s="110"/>
      <c r="P25" s="110"/>
    </row>
    <row r="26" spans="2:17" ht="16.5" x14ac:dyDescent="0.35">
      <c r="B26" s="125" t="s">
        <v>176</v>
      </c>
      <c r="C26" s="153" t="s">
        <v>177</v>
      </c>
      <c r="D26" s="155">
        <f>IRR(E8:E14)</f>
        <v>0.23420484041842871</v>
      </c>
      <c r="E26" s="156"/>
      <c r="F26" s="157"/>
      <c r="G26" s="112"/>
      <c r="H26" s="110"/>
      <c r="I26" s="110"/>
      <c r="J26" s="110"/>
      <c r="K26" s="110"/>
      <c r="L26" s="110"/>
      <c r="M26" s="110"/>
      <c r="N26" s="110"/>
      <c r="O26" s="110"/>
      <c r="P26" s="110"/>
    </row>
    <row r="27" spans="2:17" ht="16.5" x14ac:dyDescent="0.35">
      <c r="B27" s="125" t="s">
        <v>176</v>
      </c>
      <c r="C27" s="153" t="s">
        <v>178</v>
      </c>
      <c r="D27" s="158">
        <f>+C13-G13/F14</f>
        <v>4.0195640530509271</v>
      </c>
      <c r="E27" s="159"/>
      <c r="F27" s="135"/>
      <c r="G27" s="136"/>
      <c r="H27" s="110"/>
      <c r="I27" s="110"/>
      <c r="J27" s="110"/>
      <c r="K27" s="110"/>
      <c r="L27" s="110"/>
      <c r="M27" s="110"/>
      <c r="N27" s="110"/>
      <c r="O27" s="110"/>
      <c r="P27" s="110"/>
    </row>
    <row r="28" spans="2:17" ht="16.5" x14ac:dyDescent="0.35">
      <c r="B28" s="125" t="s">
        <v>176</v>
      </c>
      <c r="C28" s="153" t="s">
        <v>179</v>
      </c>
      <c r="D28" s="158">
        <f>+NPV($E$4,E9:E14)/-E8</f>
        <v>1.3148866257786069</v>
      </c>
      <c r="E28" s="159"/>
      <c r="F28" s="112"/>
      <c r="G28" s="112"/>
      <c r="H28" s="110"/>
      <c r="I28" s="110"/>
      <c r="J28" s="110"/>
      <c r="K28" s="110"/>
      <c r="L28" s="110"/>
      <c r="M28" s="110"/>
      <c r="N28" s="110"/>
      <c r="O28" s="110"/>
      <c r="P28" s="110"/>
    </row>
    <row r="29" spans="2:17" ht="16.5" x14ac:dyDescent="0.35">
      <c r="B29" s="110"/>
      <c r="C29" s="110" t="s">
        <v>188</v>
      </c>
      <c r="D29" s="112"/>
      <c r="E29" s="110"/>
      <c r="F29" s="110"/>
      <c r="G29" s="110" t="s">
        <v>189</v>
      </c>
      <c r="H29" s="110"/>
      <c r="I29" s="110"/>
      <c r="J29" s="110"/>
      <c r="K29" s="110"/>
      <c r="L29" s="110"/>
      <c r="M29" s="110"/>
      <c r="N29" s="110"/>
      <c r="O29" s="110"/>
      <c r="P29" s="110"/>
    </row>
    <row r="30" spans="2:17" ht="15.75" x14ac:dyDescent="0.3">
      <c r="B30" s="110"/>
      <c r="C30" s="112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</row>
    <row r="31" spans="2:17" ht="15.75" x14ac:dyDescent="0.3"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</row>
    <row r="32" spans="2:17" ht="16.5" x14ac:dyDescent="0.35">
      <c r="B32" s="125" t="s">
        <v>181</v>
      </c>
      <c r="C32" s="139" t="s">
        <v>47</v>
      </c>
      <c r="D32" s="139" t="s">
        <v>182</v>
      </c>
      <c r="E32" s="139" t="s">
        <v>183</v>
      </c>
      <c r="F32" s="141"/>
      <c r="G32" s="110"/>
    </row>
    <row r="33" spans="2:7" ht="15.75" x14ac:dyDescent="0.3">
      <c r="B33" s="110"/>
      <c r="C33" s="142">
        <v>0.13425716300000001</v>
      </c>
      <c r="D33" s="143">
        <f>+NPV(C33,D9:D14)+D8</f>
        <v>16265.64101971106</v>
      </c>
      <c r="E33" s="143">
        <f>+NPV(C33,E9:E14)+E8</f>
        <v>17999.755847827939</v>
      </c>
      <c r="F33" s="144"/>
      <c r="G33" s="110"/>
    </row>
    <row r="34" spans="2:7" ht="16.5" x14ac:dyDescent="0.35">
      <c r="B34" s="110"/>
      <c r="C34" s="110" t="s">
        <v>188</v>
      </c>
      <c r="D34" s="110"/>
      <c r="E34" s="110"/>
      <c r="F34" s="110"/>
      <c r="G34" s="110" t="s">
        <v>192</v>
      </c>
    </row>
    <row r="36" spans="2:7" ht="15.75" x14ac:dyDescent="0.3">
      <c r="B36" s="110"/>
      <c r="C36" s="165" t="s">
        <v>164</v>
      </c>
      <c r="D36" s="165"/>
      <c r="E36" s="146"/>
      <c r="F36" s="110"/>
      <c r="G36" s="112"/>
    </row>
    <row r="37" spans="2:7" ht="15.75" x14ac:dyDescent="0.3">
      <c r="B37" s="110"/>
      <c r="C37" s="147" t="s">
        <v>165</v>
      </c>
      <c r="D37" s="147"/>
      <c r="E37" s="146">
        <v>0.12747430700000001</v>
      </c>
      <c r="F37" s="148"/>
      <c r="G37" s="112"/>
    </row>
    <row r="38" spans="2:7" ht="15.75" x14ac:dyDescent="0.3">
      <c r="B38" s="110"/>
      <c r="C38" s="112"/>
      <c r="D38" s="112"/>
      <c r="E38" s="112"/>
      <c r="F38" s="112" t="s">
        <v>187</v>
      </c>
      <c r="G38" s="112"/>
    </row>
    <row r="39" spans="2:7" ht="60" x14ac:dyDescent="0.3">
      <c r="B39" s="110"/>
      <c r="C39" s="112"/>
      <c r="D39" s="166" t="s">
        <v>166</v>
      </c>
      <c r="E39" s="166"/>
      <c r="F39" s="149" t="s">
        <v>167</v>
      </c>
      <c r="G39" s="150" t="s">
        <v>168</v>
      </c>
    </row>
    <row r="40" spans="2:7" ht="15.75" x14ac:dyDescent="0.3">
      <c r="B40" s="110"/>
      <c r="C40" s="150" t="s">
        <v>169</v>
      </c>
      <c r="D40" s="150" t="s">
        <v>190</v>
      </c>
      <c r="E40" s="150" t="s">
        <v>191</v>
      </c>
      <c r="F40" s="150" t="s">
        <v>191</v>
      </c>
      <c r="G40" s="150" t="s">
        <v>191</v>
      </c>
    </row>
    <row r="41" spans="2:7" ht="15.75" x14ac:dyDescent="0.3">
      <c r="B41" s="110"/>
      <c r="C41" s="151">
        <v>0</v>
      </c>
      <c r="D41" s="152"/>
      <c r="E41" s="152"/>
      <c r="F41" s="152">
        <f>E41/(1+$E$4)^$C41</f>
        <v>0</v>
      </c>
      <c r="G41" s="152">
        <f>E41</f>
        <v>0</v>
      </c>
    </row>
    <row r="42" spans="2:7" ht="15.75" x14ac:dyDescent="0.3">
      <c r="B42" s="110"/>
      <c r="C42" s="151">
        <f>+C41+1</f>
        <v>1</v>
      </c>
      <c r="D42" s="152"/>
      <c r="E42" s="152"/>
      <c r="F42" s="152">
        <f>E42/(1+$E$4)^$C42</f>
        <v>0</v>
      </c>
      <c r="G42" s="152">
        <f>F42+G41</f>
        <v>0</v>
      </c>
    </row>
    <row r="43" spans="2:7" ht="15.75" x14ac:dyDescent="0.3">
      <c r="B43" s="110"/>
      <c r="C43" s="151">
        <f>+C42+1</f>
        <v>2</v>
      </c>
      <c r="D43" s="152"/>
      <c r="E43" s="152"/>
      <c r="F43" s="152">
        <f>E43/(1+$E$4)^$C43</f>
        <v>0</v>
      </c>
      <c r="G43" s="152">
        <f>F43+G42</f>
        <v>0</v>
      </c>
    </row>
    <row r="44" spans="2:7" ht="15.75" x14ac:dyDescent="0.3">
      <c r="B44" s="110"/>
      <c r="C44" s="151">
        <f>+C43+1</f>
        <v>3</v>
      </c>
      <c r="D44" s="152"/>
      <c r="E44" s="152"/>
      <c r="F44" s="152">
        <f>E44/(1+$E$4)^$C44</f>
        <v>0</v>
      </c>
      <c r="G44" s="152">
        <f>F44+G43</f>
        <v>0</v>
      </c>
    </row>
    <row r="45" spans="2:7" ht="15.75" x14ac:dyDescent="0.3">
      <c r="B45" s="110"/>
      <c r="C45" s="151">
        <f>+C44+1</f>
        <v>4</v>
      </c>
      <c r="D45" s="152"/>
      <c r="E45" s="152"/>
      <c r="F45" s="152">
        <f>E45/(1+$E$4)^$C45</f>
        <v>0</v>
      </c>
      <c r="G45" s="152">
        <f>F45+G44</f>
        <v>0</v>
      </c>
    </row>
    <row r="46" spans="2:7" x14ac:dyDescent="0.25">
      <c r="C46">
        <v>5</v>
      </c>
      <c r="D46" s="167"/>
      <c r="E46" s="152"/>
      <c r="F46" s="152">
        <f>E46/(1+$E$4)^$C46</f>
        <v>0</v>
      </c>
      <c r="G46" s="152">
        <f>F46+G45</f>
        <v>0</v>
      </c>
    </row>
    <row r="47" spans="2:7" x14ac:dyDescent="0.25">
      <c r="C47">
        <v>6</v>
      </c>
      <c r="D47" s="167"/>
      <c r="E47" s="152"/>
      <c r="F47" s="152">
        <f>E47/(1+$E$4)^$C47</f>
        <v>0</v>
      </c>
      <c r="G47" s="152">
        <f>F47+G46</f>
        <v>0</v>
      </c>
    </row>
    <row r="57" spans="2:7" ht="15.75" x14ac:dyDescent="0.3">
      <c r="B57" s="110"/>
      <c r="C57" s="110"/>
      <c r="D57" s="110"/>
      <c r="E57" s="110"/>
      <c r="F57" s="110"/>
      <c r="G57" s="110"/>
    </row>
    <row r="58" spans="2:7" ht="16.5" x14ac:dyDescent="0.35">
      <c r="B58" s="125" t="s">
        <v>174</v>
      </c>
      <c r="C58" s="153" t="s">
        <v>175</v>
      </c>
      <c r="D58" s="152">
        <f>D41+NPV($E$4,D42:D47)</f>
        <v>0</v>
      </c>
      <c r="E58" s="152">
        <f>E41+NPV($E$4,E42:E47)</f>
        <v>0</v>
      </c>
      <c r="F58" s="154"/>
      <c r="G58" s="112"/>
    </row>
    <row r="59" spans="2:7" ht="16.5" x14ac:dyDescent="0.35">
      <c r="B59" s="125" t="s">
        <v>176</v>
      </c>
      <c r="C59" s="153" t="s">
        <v>177</v>
      </c>
      <c r="D59" s="155" t="e">
        <f>IRR(E41:E47)</f>
        <v>#NUM!</v>
      </c>
      <c r="E59" s="156"/>
      <c r="F59" s="157"/>
      <c r="G59" s="112"/>
    </row>
    <row r="60" spans="2:7" ht="16.5" x14ac:dyDescent="0.35">
      <c r="B60" s="125" t="s">
        <v>176</v>
      </c>
      <c r="C60" s="153" t="s">
        <v>178</v>
      </c>
      <c r="D60" s="158" t="e">
        <f>+C46-G46/F47</f>
        <v>#DIV/0!</v>
      </c>
      <c r="E60" s="159"/>
      <c r="F60" s="135"/>
      <c r="G60" s="136"/>
    </row>
    <row r="61" spans="2:7" ht="16.5" x14ac:dyDescent="0.35">
      <c r="B61" s="125" t="s">
        <v>176</v>
      </c>
      <c r="C61" s="153" t="s">
        <v>179</v>
      </c>
      <c r="D61" s="158" t="e">
        <f>+NPV($E$4,E42:E47)/-E41</f>
        <v>#DIV/0!</v>
      </c>
      <c r="E61" s="159"/>
      <c r="F61" s="112"/>
      <c r="G61" s="112"/>
    </row>
    <row r="62" spans="2:7" ht="16.5" x14ac:dyDescent="0.35">
      <c r="B62" s="110"/>
      <c r="C62" s="110" t="s">
        <v>188</v>
      </c>
      <c r="D62" s="112"/>
      <c r="E62" s="110"/>
      <c r="F62" s="110"/>
      <c r="G62" s="110"/>
    </row>
    <row r="63" spans="2:7" ht="15.75" x14ac:dyDescent="0.3">
      <c r="B63" s="110"/>
      <c r="C63" s="112"/>
      <c r="D63" s="110"/>
      <c r="E63" s="110"/>
      <c r="F63" s="110"/>
      <c r="G63" s="110"/>
    </row>
    <row r="64" spans="2:7" ht="15.75" x14ac:dyDescent="0.3">
      <c r="B64" s="110"/>
      <c r="C64" s="110"/>
      <c r="D64" s="110"/>
      <c r="E64" s="110"/>
      <c r="F64" s="110"/>
      <c r="G64" s="110"/>
    </row>
    <row r="65" spans="2:7" ht="16.5" x14ac:dyDescent="0.35">
      <c r="B65" s="125" t="s">
        <v>181</v>
      </c>
      <c r="C65" s="139" t="s">
        <v>47</v>
      </c>
      <c r="D65" s="139" t="s">
        <v>182</v>
      </c>
      <c r="E65" s="139" t="s">
        <v>183</v>
      </c>
      <c r="F65" s="141"/>
      <c r="G65" s="110"/>
    </row>
    <row r="66" spans="2:7" ht="15.75" x14ac:dyDescent="0.3">
      <c r="B66" s="110"/>
      <c r="C66" s="142"/>
      <c r="D66" s="143">
        <f>+NPV(C66,D42:D47)+D41</f>
        <v>0</v>
      </c>
      <c r="E66" s="143">
        <f>+NPV(C66,E42:E47)+E41</f>
        <v>0</v>
      </c>
      <c r="F66" s="144"/>
      <c r="G66" s="110"/>
    </row>
    <row r="67" spans="2:7" ht="16.5" x14ac:dyDescent="0.35">
      <c r="B67" s="110"/>
      <c r="C67" s="110" t="s">
        <v>188</v>
      </c>
      <c r="D67" s="110"/>
      <c r="E67" s="110"/>
      <c r="F67" s="110"/>
      <c r="G67" s="110"/>
    </row>
  </sheetData>
  <mergeCells count="4">
    <mergeCell ref="C3:D3"/>
    <mergeCell ref="D6:E6"/>
    <mergeCell ref="C36:D36"/>
    <mergeCell ref="D39:E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900A-42CE-4989-B160-0FADE883A23C}">
  <dimension ref="B1:Z102"/>
  <sheetViews>
    <sheetView topLeftCell="A54" workbookViewId="0">
      <selection activeCell="E19" sqref="E19"/>
    </sheetView>
  </sheetViews>
  <sheetFormatPr baseColWidth="10" defaultRowHeight="15" x14ac:dyDescent="0.25"/>
  <cols>
    <col min="18" max="18" width="24.28515625" customWidth="1"/>
    <col min="21" max="21" width="16" customWidth="1"/>
  </cols>
  <sheetData>
    <row r="1" spans="2:10" ht="15.75" thickBot="1" x14ac:dyDescent="0.3"/>
    <row r="2" spans="2:10" ht="15.75" thickBot="1" x14ac:dyDescent="0.3">
      <c r="B2" s="50" t="s">
        <v>105</v>
      </c>
      <c r="C2" s="51"/>
      <c r="D2" s="52"/>
      <c r="E2" s="52"/>
      <c r="F2" s="52"/>
      <c r="G2" s="52"/>
      <c r="H2" s="52"/>
      <c r="I2" s="52"/>
      <c r="J2" s="52"/>
    </row>
    <row r="3" spans="2:10" x14ac:dyDescent="0.25">
      <c r="B3" s="52"/>
      <c r="C3" s="52"/>
      <c r="D3" s="90" t="s">
        <v>153</v>
      </c>
      <c r="E3" s="52"/>
      <c r="F3" s="52"/>
      <c r="G3" s="52"/>
      <c r="H3" s="52"/>
      <c r="I3" s="52"/>
      <c r="J3" s="52"/>
    </row>
    <row r="4" spans="2:10" x14ac:dyDescent="0.25">
      <c r="B4" s="53" t="s">
        <v>106</v>
      </c>
      <c r="C4" s="52"/>
      <c r="D4" s="52"/>
      <c r="E4" s="52"/>
      <c r="F4" s="52"/>
      <c r="G4" s="52"/>
      <c r="H4" s="52"/>
      <c r="I4" s="52"/>
      <c r="J4" s="52"/>
    </row>
    <row r="5" spans="2:10" x14ac:dyDescent="0.25">
      <c r="B5" s="52"/>
      <c r="C5" s="52"/>
      <c r="D5" s="52"/>
      <c r="E5" s="52"/>
      <c r="F5" s="52"/>
      <c r="G5" s="52"/>
      <c r="H5" s="52"/>
      <c r="I5" s="52"/>
      <c r="J5" s="52"/>
    </row>
    <row r="6" spans="2:10" x14ac:dyDescent="0.25">
      <c r="B6" s="53" t="s">
        <v>107</v>
      </c>
      <c r="C6" s="52">
        <v>0</v>
      </c>
      <c r="D6" s="52">
        <v>1</v>
      </c>
      <c r="E6" s="52">
        <v>2</v>
      </c>
      <c r="F6" s="52">
        <v>3</v>
      </c>
      <c r="G6" s="52">
        <v>4</v>
      </c>
      <c r="H6" s="52" t="s">
        <v>95</v>
      </c>
      <c r="I6" s="52"/>
      <c r="J6" s="52"/>
    </row>
    <row r="7" spans="2:10" x14ac:dyDescent="0.25">
      <c r="B7" s="54" t="s">
        <v>108</v>
      </c>
      <c r="C7" s="55"/>
      <c r="D7" s="54"/>
      <c r="E7" s="54"/>
      <c r="F7" s="56"/>
      <c r="G7" s="56"/>
      <c r="H7" s="57"/>
      <c r="I7" s="52"/>
      <c r="J7" s="52"/>
    </row>
    <row r="8" spans="2:10" x14ac:dyDescent="0.25">
      <c r="B8" s="54"/>
      <c r="C8" s="55"/>
      <c r="D8" s="55"/>
      <c r="E8" s="55"/>
      <c r="F8" s="55"/>
      <c r="G8" s="55"/>
      <c r="H8" s="58"/>
      <c r="I8" s="52"/>
      <c r="J8" s="52"/>
    </row>
    <row r="9" spans="2:10" x14ac:dyDescent="0.25">
      <c r="B9" s="54"/>
      <c r="C9" s="55"/>
      <c r="D9" s="55"/>
      <c r="E9" s="55"/>
      <c r="F9" s="55"/>
      <c r="G9" s="55"/>
      <c r="H9" s="58"/>
      <c r="I9" s="52"/>
      <c r="J9" s="52"/>
    </row>
    <row r="10" spans="2:10" x14ac:dyDescent="0.25">
      <c r="B10" s="91" t="s">
        <v>111</v>
      </c>
      <c r="C10" s="55"/>
      <c r="D10" s="55"/>
      <c r="E10" s="55"/>
      <c r="F10" s="55"/>
      <c r="G10" s="55"/>
      <c r="H10" s="58"/>
      <c r="I10" s="52"/>
      <c r="J10" s="52"/>
    </row>
    <row r="11" spans="2:10" x14ac:dyDescent="0.25">
      <c r="B11" s="59" t="s">
        <v>112</v>
      </c>
      <c r="C11" s="60">
        <f>+SUM(C7:C10)</f>
        <v>0</v>
      </c>
      <c r="D11" s="60">
        <f>+SUM(D7:D10)</f>
        <v>0</v>
      </c>
      <c r="E11" s="60">
        <f>+SUM(E7:E10)</f>
        <v>0</v>
      </c>
      <c r="F11" s="60">
        <f>+SUM(F7:F10)</f>
        <v>0</v>
      </c>
      <c r="G11" s="60">
        <f>+SUM(G7:G10)</f>
        <v>0</v>
      </c>
      <c r="H11" s="61"/>
      <c r="I11" s="52"/>
      <c r="J11" s="52"/>
    </row>
    <row r="12" spans="2:10" x14ac:dyDescent="0.25">
      <c r="B12" s="52"/>
      <c r="C12" s="58"/>
      <c r="D12" s="52"/>
      <c r="E12" s="52"/>
      <c r="F12" s="57"/>
      <c r="G12" s="57"/>
      <c r="H12" s="57"/>
      <c r="I12" s="52"/>
      <c r="J12" s="52"/>
    </row>
    <row r="13" spans="2:10" x14ac:dyDescent="0.25">
      <c r="B13" s="62" t="s">
        <v>113</v>
      </c>
      <c r="C13" s="58"/>
      <c r="D13" s="52"/>
      <c r="E13" s="52"/>
      <c r="F13" s="57"/>
      <c r="G13" s="57"/>
      <c r="H13" s="57"/>
      <c r="I13" s="52"/>
      <c r="J13" s="52"/>
    </row>
    <row r="14" spans="2:10" x14ac:dyDescent="0.25">
      <c r="B14" s="63" t="s">
        <v>114</v>
      </c>
      <c r="C14" s="64">
        <f>+NPV(E3,D11:G11)+C11</f>
        <v>0</v>
      </c>
      <c r="D14" s="65"/>
      <c r="E14" s="52"/>
      <c r="F14" s="57"/>
      <c r="G14" s="57"/>
      <c r="H14" s="57"/>
      <c r="I14" s="52"/>
      <c r="J14" s="52"/>
    </row>
    <row r="15" spans="2:10" x14ac:dyDescent="0.25">
      <c r="B15" s="63" t="s">
        <v>116</v>
      </c>
      <c r="C15" s="64">
        <f>-PMT(E3,G6,C14,0,0)</f>
        <v>0</v>
      </c>
      <c r="D15" s="65"/>
      <c r="E15" s="52"/>
      <c r="F15" s="52"/>
      <c r="G15" s="52"/>
      <c r="H15" s="52"/>
      <c r="I15" s="52"/>
      <c r="J15" s="52"/>
    </row>
    <row r="16" spans="2:10" x14ac:dyDescent="0.25">
      <c r="B16" s="52"/>
      <c r="C16" s="52"/>
      <c r="D16" s="52"/>
      <c r="E16" s="52"/>
      <c r="F16" s="52"/>
      <c r="G16" s="52"/>
      <c r="H16" s="52"/>
      <c r="I16" s="52"/>
      <c r="J16" s="52"/>
    </row>
    <row r="17" spans="2:10" x14ac:dyDescent="0.25">
      <c r="B17" s="62" t="s">
        <v>118</v>
      </c>
      <c r="C17" s="58"/>
      <c r="D17" s="52"/>
      <c r="E17" s="52"/>
      <c r="F17" s="52"/>
      <c r="G17" s="52"/>
      <c r="H17" s="52"/>
      <c r="I17" s="52"/>
      <c r="J17" s="52"/>
    </row>
    <row r="18" spans="2:10" x14ac:dyDescent="0.25">
      <c r="B18" s="63" t="s">
        <v>114</v>
      </c>
      <c r="C18" s="64"/>
      <c r="D18" s="52"/>
      <c r="E18" s="52"/>
      <c r="F18" s="52"/>
      <c r="G18" s="52"/>
      <c r="H18" s="52"/>
      <c r="I18" s="52"/>
      <c r="J18" s="52"/>
    </row>
    <row r="19" spans="2:10" x14ac:dyDescent="0.25">
      <c r="B19" s="63" t="s">
        <v>116</v>
      </c>
      <c r="C19" s="64"/>
      <c r="D19" s="66"/>
      <c r="E19" s="52"/>
      <c r="F19" s="52"/>
      <c r="G19" s="52"/>
      <c r="H19" s="52"/>
      <c r="I19" s="52"/>
      <c r="J19" s="52"/>
    </row>
    <row r="20" spans="2:10" x14ac:dyDescent="0.25">
      <c r="B20" s="52"/>
      <c r="C20" s="52"/>
      <c r="D20" s="52"/>
      <c r="E20" s="52"/>
      <c r="F20" s="52"/>
      <c r="G20" s="52"/>
      <c r="H20" s="52"/>
      <c r="I20" s="52"/>
      <c r="J20" s="52"/>
    </row>
    <row r="21" spans="2:10" x14ac:dyDescent="0.25">
      <c r="B21" s="53" t="s">
        <v>120</v>
      </c>
      <c r="C21" s="52">
        <v>0</v>
      </c>
      <c r="D21" s="52">
        <v>1</v>
      </c>
      <c r="E21" s="52">
        <v>2</v>
      </c>
      <c r="F21" s="52">
        <v>3</v>
      </c>
      <c r="G21" s="52">
        <v>4</v>
      </c>
      <c r="H21" s="52">
        <v>5</v>
      </c>
      <c r="I21" s="52">
        <v>6</v>
      </c>
      <c r="J21" s="52">
        <v>7</v>
      </c>
    </row>
    <row r="22" spans="2:10" x14ac:dyDescent="0.25">
      <c r="B22" s="54" t="s">
        <v>108</v>
      </c>
      <c r="C22" s="55"/>
      <c r="D22" s="54"/>
      <c r="E22" s="54"/>
      <c r="F22" s="56"/>
      <c r="G22" s="56"/>
      <c r="H22" s="56"/>
      <c r="I22" s="56"/>
      <c r="J22" s="56"/>
    </row>
    <row r="23" spans="2:10" x14ac:dyDescent="0.25">
      <c r="B23" s="54"/>
      <c r="C23" s="55"/>
      <c r="D23" s="55"/>
      <c r="E23" s="55"/>
      <c r="F23" s="55"/>
      <c r="G23" s="55"/>
      <c r="H23" s="55"/>
      <c r="I23" s="55"/>
      <c r="J23" s="55"/>
    </row>
    <row r="24" spans="2:10" x14ac:dyDescent="0.25">
      <c r="B24" s="54"/>
      <c r="C24" s="55"/>
      <c r="D24" s="55"/>
      <c r="E24" s="55"/>
      <c r="F24" s="55"/>
      <c r="G24" s="55"/>
      <c r="H24" s="55"/>
      <c r="I24" s="55"/>
      <c r="J24" s="55"/>
    </row>
    <row r="25" spans="2:10" x14ac:dyDescent="0.25">
      <c r="B25" s="54"/>
      <c r="C25" s="55"/>
      <c r="D25" s="55"/>
      <c r="E25" s="55"/>
      <c r="F25" s="55"/>
      <c r="G25" s="55"/>
      <c r="H25" s="55"/>
      <c r="I25" s="55"/>
      <c r="J25" s="55"/>
    </row>
    <row r="26" spans="2:10" x14ac:dyDescent="0.25">
      <c r="B26" s="54" t="s">
        <v>111</v>
      </c>
      <c r="C26" s="55"/>
      <c r="D26" s="55"/>
      <c r="E26" s="55"/>
      <c r="F26" s="55"/>
      <c r="G26" s="55"/>
      <c r="H26" s="55"/>
      <c r="I26" s="55"/>
      <c r="J26" s="55"/>
    </row>
    <row r="27" spans="2:10" x14ac:dyDescent="0.25">
      <c r="B27" s="59" t="s">
        <v>112</v>
      </c>
      <c r="C27" s="60">
        <f t="shared" ref="C27:I27" si="0">+SUM(C22:C26)</f>
        <v>0</v>
      </c>
      <c r="D27" s="60">
        <f t="shared" si="0"/>
        <v>0</v>
      </c>
      <c r="E27" s="60">
        <f t="shared" si="0"/>
        <v>0</v>
      </c>
      <c r="F27" s="60">
        <f t="shared" si="0"/>
        <v>0</v>
      </c>
      <c r="G27" s="60">
        <f t="shared" si="0"/>
        <v>0</v>
      </c>
      <c r="H27" s="60">
        <f t="shared" si="0"/>
        <v>0</v>
      </c>
      <c r="I27" s="60">
        <f t="shared" si="0"/>
        <v>0</v>
      </c>
      <c r="J27" s="60">
        <f t="shared" ref="J27" si="1">+SUM(J22:J26)</f>
        <v>0</v>
      </c>
    </row>
    <row r="28" spans="2:10" x14ac:dyDescent="0.25">
      <c r="B28" s="52"/>
      <c r="C28" s="58"/>
      <c r="D28" s="52"/>
      <c r="E28" s="52"/>
      <c r="F28" s="57"/>
      <c r="G28" s="57"/>
      <c r="H28" s="57"/>
      <c r="I28" s="52"/>
      <c r="J28" s="52"/>
    </row>
    <row r="29" spans="2:10" x14ac:dyDescent="0.25">
      <c r="B29" s="62" t="s">
        <v>113</v>
      </c>
      <c r="C29" s="58"/>
      <c r="D29" s="52"/>
      <c r="E29" s="52"/>
      <c r="F29" s="57"/>
      <c r="G29" s="57"/>
      <c r="H29" s="57"/>
      <c r="I29" s="52"/>
      <c r="J29" s="52"/>
    </row>
    <row r="30" spans="2:10" x14ac:dyDescent="0.25">
      <c r="B30" s="63" t="s">
        <v>114</v>
      </c>
      <c r="C30" s="64">
        <f>+NPV(E3,D27:J27)+C27</f>
        <v>0</v>
      </c>
      <c r="D30" s="65"/>
      <c r="E30" s="52"/>
      <c r="F30" s="57"/>
      <c r="G30" s="57"/>
      <c r="H30" s="57"/>
      <c r="I30" s="52"/>
      <c r="J30" s="52"/>
    </row>
    <row r="31" spans="2:10" x14ac:dyDescent="0.25">
      <c r="B31" s="63" t="s">
        <v>116</v>
      </c>
      <c r="C31" s="64">
        <f>-PMT(E3,J21,C30,0,0)</f>
        <v>0</v>
      </c>
      <c r="D31" s="65"/>
      <c r="E31" s="52"/>
      <c r="F31" s="52"/>
      <c r="G31" s="52"/>
      <c r="H31" s="52"/>
      <c r="I31" s="52"/>
      <c r="J31" s="52"/>
    </row>
    <row r="32" spans="2:10" x14ac:dyDescent="0.25">
      <c r="B32" s="52"/>
      <c r="C32" s="52"/>
      <c r="D32" s="52"/>
      <c r="E32" s="52"/>
      <c r="F32" s="52"/>
      <c r="G32" s="52"/>
      <c r="H32" s="52"/>
      <c r="I32" s="52"/>
      <c r="J32" s="52"/>
    </row>
    <row r="33" spans="2:24" x14ac:dyDescent="0.25">
      <c r="B33" s="62" t="s">
        <v>118</v>
      </c>
      <c r="C33" s="58"/>
      <c r="D33" s="52"/>
      <c r="E33" s="52"/>
      <c r="F33" s="52"/>
      <c r="G33" s="52"/>
      <c r="H33" s="52"/>
      <c r="I33" s="52"/>
      <c r="J33" s="52"/>
    </row>
    <row r="34" spans="2:24" x14ac:dyDescent="0.25">
      <c r="B34" s="63" t="s">
        <v>114</v>
      </c>
      <c r="C34" s="64"/>
      <c r="D34" s="52"/>
      <c r="E34" s="52"/>
      <c r="F34" s="52"/>
      <c r="G34" s="52"/>
      <c r="H34" s="67"/>
      <c r="I34" s="52"/>
      <c r="J34" s="52"/>
    </row>
    <row r="35" spans="2:24" x14ac:dyDescent="0.25">
      <c r="B35" s="63" t="s">
        <v>116</v>
      </c>
      <c r="C35" s="64"/>
      <c r="D35" s="66"/>
      <c r="E35" s="52"/>
      <c r="F35" s="52"/>
      <c r="G35" s="52"/>
      <c r="H35" s="52"/>
      <c r="I35" s="52"/>
      <c r="J35" s="52"/>
    </row>
    <row r="36" spans="2:24" x14ac:dyDescent="0.25">
      <c r="B36" s="52"/>
      <c r="C36" s="58"/>
      <c r="D36" s="52"/>
      <c r="E36" s="52"/>
      <c r="F36" s="57"/>
      <c r="G36" s="57"/>
      <c r="H36" s="57"/>
      <c r="I36" s="52"/>
      <c r="J36" s="52"/>
    </row>
    <row r="37" spans="2:24" ht="15.75" thickBot="1" x14ac:dyDescent="0.3"/>
    <row r="38" spans="2:24" ht="15.75" thickBot="1" x14ac:dyDescent="0.3">
      <c r="B38" s="50" t="s">
        <v>124</v>
      </c>
      <c r="C38" s="5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spans="2:24" x14ac:dyDescent="0.25"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spans="2:24" x14ac:dyDescent="0.25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</row>
    <row r="41" spans="2:24" x14ac:dyDescent="0.25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r="42" spans="2:24" x14ac:dyDescent="0.25"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</row>
    <row r="43" spans="2:24" x14ac:dyDescent="0.25"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</row>
    <row r="44" spans="2:24" x14ac:dyDescent="0.25"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</row>
    <row r="45" spans="2:24" x14ac:dyDescent="0.25"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</row>
    <row r="46" spans="2:24" x14ac:dyDescent="0.25">
      <c r="B46" s="53" t="s">
        <v>106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</row>
    <row r="47" spans="2:24" x14ac:dyDescent="0.25"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</row>
    <row r="48" spans="2:24" x14ac:dyDescent="0.25">
      <c r="B48" s="108" t="s">
        <v>125</v>
      </c>
      <c r="C48" s="109" t="s">
        <v>126</v>
      </c>
      <c r="D48" s="71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</row>
    <row r="49" spans="2:24" x14ac:dyDescent="0.25">
      <c r="B49" s="108" t="s">
        <v>127</v>
      </c>
      <c r="C49" s="109" t="s">
        <v>128</v>
      </c>
      <c r="D49" s="71"/>
      <c r="E49" s="9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</row>
    <row r="50" spans="2:24" x14ac:dyDescent="0.25">
      <c r="B50" s="108" t="s">
        <v>129</v>
      </c>
      <c r="C50" s="109"/>
      <c r="D50" s="107" t="s">
        <v>163</v>
      </c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</row>
    <row r="51" spans="2:24" x14ac:dyDescent="0.25">
      <c r="B51" s="108"/>
      <c r="C51" s="109"/>
      <c r="D51" s="53" t="s">
        <v>130</v>
      </c>
      <c r="E51" s="72"/>
      <c r="F51" s="71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</row>
    <row r="52" spans="2:24" x14ac:dyDescent="0.25">
      <c r="B52" s="69"/>
      <c r="C52" s="71"/>
      <c r="D52" s="52"/>
      <c r="E52" s="52"/>
      <c r="F52" s="52"/>
      <c r="G52" s="52"/>
      <c r="H52" s="52"/>
      <c r="I52" s="71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</row>
    <row r="53" spans="2:24" x14ac:dyDescent="0.25">
      <c r="B53" s="53" t="s">
        <v>132</v>
      </c>
      <c r="C53" s="52">
        <v>0</v>
      </c>
      <c r="D53" s="52">
        <v>1</v>
      </c>
      <c r="E53" s="52">
        <v>2</v>
      </c>
      <c r="F53" s="52">
        <v>3</v>
      </c>
      <c r="G53" s="52">
        <v>4</v>
      </c>
      <c r="H53" s="52">
        <v>5</v>
      </c>
      <c r="I53" s="52">
        <v>6</v>
      </c>
      <c r="J53" s="52">
        <v>7</v>
      </c>
      <c r="K53" s="52">
        <v>8</v>
      </c>
      <c r="L53" s="52">
        <v>9</v>
      </c>
      <c r="M53" s="52">
        <v>10</v>
      </c>
      <c r="N53" s="52">
        <v>11</v>
      </c>
      <c r="O53" s="52">
        <v>12</v>
      </c>
      <c r="P53" s="52">
        <v>13</v>
      </c>
      <c r="Q53" s="52">
        <v>14</v>
      </c>
      <c r="R53" s="52">
        <v>15</v>
      </c>
      <c r="S53" s="52">
        <v>16</v>
      </c>
      <c r="T53" s="52">
        <v>17</v>
      </c>
      <c r="U53" s="52">
        <v>18</v>
      </c>
      <c r="V53" s="52">
        <v>19</v>
      </c>
      <c r="W53" s="52">
        <v>20</v>
      </c>
      <c r="X53" s="52">
        <v>21</v>
      </c>
    </row>
    <row r="54" spans="2:24" x14ac:dyDescent="0.25">
      <c r="B54" s="54" t="s">
        <v>108</v>
      </c>
      <c r="C54" s="55"/>
      <c r="D54" s="54"/>
      <c r="E54" s="54"/>
      <c r="F54" s="56"/>
      <c r="G54" s="56"/>
      <c r="H54" s="56"/>
      <c r="I54" s="56"/>
      <c r="J54" s="56"/>
      <c r="K54" s="56"/>
      <c r="L54" s="56"/>
      <c r="M54" s="55"/>
      <c r="N54" s="56"/>
      <c r="O54" s="56"/>
      <c r="P54" s="56"/>
      <c r="Q54" s="56"/>
      <c r="R54" s="56"/>
      <c r="S54" s="56"/>
      <c r="T54" s="56"/>
      <c r="U54" s="56"/>
      <c r="V54" s="56"/>
      <c r="W54" s="55">
        <v>0</v>
      </c>
      <c r="X54" s="56"/>
    </row>
    <row r="55" spans="2:24" x14ac:dyDescent="0.25">
      <c r="B55" s="59" t="s">
        <v>112</v>
      </c>
      <c r="C55" s="60">
        <f t="shared" ref="C55:X55" si="2">+SUM(C54:C54)</f>
        <v>0</v>
      </c>
      <c r="D55" s="60">
        <f t="shared" si="2"/>
        <v>0</v>
      </c>
      <c r="E55" s="60">
        <f t="shared" si="2"/>
        <v>0</v>
      </c>
      <c r="F55" s="60">
        <f t="shared" si="2"/>
        <v>0</v>
      </c>
      <c r="G55" s="60">
        <f t="shared" si="2"/>
        <v>0</v>
      </c>
      <c r="H55" s="60">
        <f t="shared" si="2"/>
        <v>0</v>
      </c>
      <c r="I55" s="60">
        <f t="shared" si="2"/>
        <v>0</v>
      </c>
      <c r="J55" s="60">
        <f t="shared" si="2"/>
        <v>0</v>
      </c>
      <c r="K55" s="60">
        <f t="shared" si="2"/>
        <v>0</v>
      </c>
      <c r="L55" s="60">
        <f t="shared" si="2"/>
        <v>0</v>
      </c>
      <c r="M55" s="60">
        <f t="shared" si="2"/>
        <v>0</v>
      </c>
      <c r="N55" s="60">
        <f t="shared" si="2"/>
        <v>0</v>
      </c>
      <c r="O55" s="60">
        <f t="shared" si="2"/>
        <v>0</v>
      </c>
      <c r="P55" s="60">
        <f t="shared" si="2"/>
        <v>0</v>
      </c>
      <c r="Q55" s="60">
        <f t="shared" si="2"/>
        <v>0</v>
      </c>
      <c r="R55" s="60">
        <f t="shared" si="2"/>
        <v>0</v>
      </c>
      <c r="S55" s="60">
        <f t="shared" si="2"/>
        <v>0</v>
      </c>
      <c r="T55" s="60">
        <f t="shared" si="2"/>
        <v>0</v>
      </c>
      <c r="U55" s="60">
        <f t="shared" si="2"/>
        <v>0</v>
      </c>
      <c r="V55" s="60">
        <f t="shared" si="2"/>
        <v>0</v>
      </c>
      <c r="W55" s="60">
        <f t="shared" si="2"/>
        <v>0</v>
      </c>
      <c r="X55" s="60">
        <f t="shared" si="2"/>
        <v>0</v>
      </c>
    </row>
    <row r="56" spans="2:24" x14ac:dyDescent="0.25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</row>
    <row r="57" spans="2:24" x14ac:dyDescent="0.25">
      <c r="B57" s="62" t="s">
        <v>113</v>
      </c>
      <c r="C57" s="52"/>
      <c r="D57" s="52"/>
      <c r="E57" s="52"/>
      <c r="F57" s="52"/>
      <c r="G57" s="52"/>
      <c r="H57" s="73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</row>
    <row r="58" spans="2:24" x14ac:dyDescent="0.25">
      <c r="B58" s="74" t="s">
        <v>114</v>
      </c>
      <c r="C58" s="75">
        <f>+NPV(E50,D55:X55)+C55</f>
        <v>0</v>
      </c>
      <c r="D58" s="65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</row>
    <row r="59" spans="2:24" x14ac:dyDescent="0.25"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</row>
    <row r="60" spans="2:24" x14ac:dyDescent="0.25">
      <c r="B60" s="62" t="s">
        <v>118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</row>
    <row r="61" spans="2:24" x14ac:dyDescent="0.25">
      <c r="B61" s="59" t="s">
        <v>133</v>
      </c>
      <c r="C61" s="76">
        <f>+(1+E50)^3-1</f>
        <v>0</v>
      </c>
      <c r="D61" s="52" t="s">
        <v>134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</row>
    <row r="62" spans="2:24" x14ac:dyDescent="0.25">
      <c r="B62" s="74" t="s">
        <v>114</v>
      </c>
      <c r="C62" s="75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</row>
    <row r="63" spans="2:24" x14ac:dyDescent="0.25"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</row>
    <row r="64" spans="2:24" x14ac:dyDescent="0.25"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</row>
    <row r="65" spans="2:24" x14ac:dyDescent="0.25">
      <c r="B65" s="53" t="s">
        <v>135</v>
      </c>
      <c r="C65" s="52">
        <v>0</v>
      </c>
      <c r="D65" s="52">
        <v>1</v>
      </c>
      <c r="E65" s="52">
        <v>2</v>
      </c>
      <c r="F65" s="52">
        <v>3</v>
      </c>
      <c r="G65" s="52">
        <v>4</v>
      </c>
      <c r="H65" s="52">
        <v>5</v>
      </c>
      <c r="I65" s="52">
        <v>6</v>
      </c>
      <c r="J65" s="52">
        <v>7</v>
      </c>
      <c r="K65" s="52">
        <v>8</v>
      </c>
      <c r="L65" s="52">
        <v>9</v>
      </c>
      <c r="M65" s="52">
        <v>10</v>
      </c>
      <c r="N65" s="52">
        <v>11</v>
      </c>
      <c r="O65" s="52">
        <v>12</v>
      </c>
      <c r="P65" s="52">
        <v>13</v>
      </c>
      <c r="Q65" s="52">
        <v>14</v>
      </c>
      <c r="R65" s="52">
        <v>15</v>
      </c>
      <c r="S65" s="52">
        <v>16</v>
      </c>
      <c r="T65" s="52">
        <v>17</v>
      </c>
      <c r="U65" s="52">
        <v>18</v>
      </c>
      <c r="V65" s="52">
        <v>19</v>
      </c>
      <c r="W65" s="52">
        <v>20</v>
      </c>
      <c r="X65" s="52">
        <v>21</v>
      </c>
    </row>
    <row r="66" spans="2:24" x14ac:dyDescent="0.25">
      <c r="B66" s="54" t="s">
        <v>108</v>
      </c>
      <c r="C66" s="55"/>
      <c r="D66" s="54"/>
      <c r="E66" s="54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</row>
    <row r="67" spans="2:24" x14ac:dyDescent="0.25">
      <c r="B67" s="59" t="s">
        <v>112</v>
      </c>
      <c r="C67" s="60">
        <f t="shared" ref="C67:X67" si="3">+SUM(C66:C66)</f>
        <v>0</v>
      </c>
      <c r="D67" s="60">
        <f t="shared" si="3"/>
        <v>0</v>
      </c>
      <c r="E67" s="60">
        <f t="shared" si="3"/>
        <v>0</v>
      </c>
      <c r="F67" s="60">
        <f t="shared" si="3"/>
        <v>0</v>
      </c>
      <c r="G67" s="60">
        <f t="shared" si="3"/>
        <v>0</v>
      </c>
      <c r="H67" s="60">
        <f t="shared" si="3"/>
        <v>0</v>
      </c>
      <c r="I67" s="60">
        <f t="shared" si="3"/>
        <v>0</v>
      </c>
      <c r="J67" s="60">
        <f t="shared" si="3"/>
        <v>0</v>
      </c>
      <c r="K67" s="60">
        <f t="shared" si="3"/>
        <v>0</v>
      </c>
      <c r="L67" s="60">
        <f t="shared" si="3"/>
        <v>0</v>
      </c>
      <c r="M67" s="60">
        <f t="shared" si="3"/>
        <v>0</v>
      </c>
      <c r="N67" s="60">
        <f t="shared" si="3"/>
        <v>0</v>
      </c>
      <c r="O67" s="60">
        <f t="shared" si="3"/>
        <v>0</v>
      </c>
      <c r="P67" s="60">
        <f t="shared" si="3"/>
        <v>0</v>
      </c>
      <c r="Q67" s="60">
        <f t="shared" si="3"/>
        <v>0</v>
      </c>
      <c r="R67" s="60">
        <f t="shared" si="3"/>
        <v>0</v>
      </c>
      <c r="S67" s="60">
        <f t="shared" si="3"/>
        <v>0</v>
      </c>
      <c r="T67" s="60">
        <f t="shared" si="3"/>
        <v>0</v>
      </c>
      <c r="U67" s="60">
        <f t="shared" si="3"/>
        <v>0</v>
      </c>
      <c r="V67" s="60">
        <f t="shared" si="3"/>
        <v>0</v>
      </c>
      <c r="W67" s="60">
        <f t="shared" si="3"/>
        <v>0</v>
      </c>
      <c r="X67" s="60">
        <f t="shared" si="3"/>
        <v>0</v>
      </c>
    </row>
    <row r="68" spans="2:24" x14ac:dyDescent="0.25"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</row>
    <row r="69" spans="2:24" x14ac:dyDescent="0.25">
      <c r="B69" s="62" t="s">
        <v>113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</row>
    <row r="70" spans="2:24" x14ac:dyDescent="0.25">
      <c r="B70" s="74" t="s">
        <v>114</v>
      </c>
      <c r="C70" s="75">
        <f>+NPV(E50,D67:X67)+C67</f>
        <v>0</v>
      </c>
      <c r="D70" s="65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</row>
    <row r="71" spans="2:24" x14ac:dyDescent="0.25"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</row>
    <row r="72" spans="2:24" x14ac:dyDescent="0.25">
      <c r="B72" s="62" t="s">
        <v>118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</row>
    <row r="73" spans="2:24" x14ac:dyDescent="0.25">
      <c r="B73" s="59" t="s">
        <v>136</v>
      </c>
      <c r="C73" s="76">
        <f>+(1+E50)^7-1</f>
        <v>0</v>
      </c>
      <c r="D73" s="52" t="s">
        <v>137</v>
      </c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</row>
    <row r="74" spans="2:24" x14ac:dyDescent="0.25">
      <c r="B74" s="74" t="s">
        <v>114</v>
      </c>
      <c r="C74" s="75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</row>
    <row r="75" spans="2:24" x14ac:dyDescent="0.25"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</row>
    <row r="76" spans="2:24" x14ac:dyDescent="0.25"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</row>
    <row r="77" spans="2:24" x14ac:dyDescent="0.25"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</row>
    <row r="78" spans="2:24" x14ac:dyDescent="0.25">
      <c r="B78" s="68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</row>
    <row r="79" spans="2:24" x14ac:dyDescent="0.25"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</row>
    <row r="81" spans="2:26" x14ac:dyDescent="0.25">
      <c r="B81" s="94" t="s">
        <v>143</v>
      </c>
      <c r="C81" s="95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2:26" x14ac:dyDescent="0.25">
      <c r="B82" s="78"/>
      <c r="C82" s="78"/>
      <c r="D82" s="78"/>
      <c r="E82" s="78"/>
      <c r="F82" s="78"/>
      <c r="G82" s="78"/>
      <c r="H82" s="78"/>
      <c r="I82" s="78"/>
      <c r="J82" s="78"/>
    </row>
    <row r="83" spans="2:26" x14ac:dyDescent="0.25">
      <c r="B83" s="79">
        <v>0</v>
      </c>
      <c r="C83" s="79">
        <v>1</v>
      </c>
      <c r="D83" s="79">
        <v>2</v>
      </c>
      <c r="E83" s="79">
        <v>3</v>
      </c>
      <c r="F83" s="79">
        <v>4</v>
      </c>
      <c r="G83" s="79">
        <v>5</v>
      </c>
      <c r="H83" s="79">
        <v>6</v>
      </c>
      <c r="I83" s="79">
        <v>7</v>
      </c>
      <c r="J83" s="79">
        <v>8</v>
      </c>
      <c r="K83" s="79">
        <v>9</v>
      </c>
      <c r="L83" s="79">
        <v>10</v>
      </c>
      <c r="M83" s="79" t="s">
        <v>141</v>
      </c>
      <c r="N83" s="79">
        <v>15</v>
      </c>
      <c r="O83" s="79" t="s">
        <v>141</v>
      </c>
      <c r="P83" s="79">
        <v>25</v>
      </c>
      <c r="Q83" s="78"/>
      <c r="R83" t="s">
        <v>163</v>
      </c>
    </row>
    <row r="84" spans="2:26" x14ac:dyDescent="0.2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8"/>
    </row>
    <row r="85" spans="2:26" x14ac:dyDescent="0.2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8"/>
    </row>
    <row r="86" spans="2:26" x14ac:dyDescent="0.2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8"/>
    </row>
    <row r="87" spans="2:26" x14ac:dyDescent="0.2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26" x14ac:dyDescent="0.25">
      <c r="B88" s="78" t="s">
        <v>142</v>
      </c>
      <c r="C88" s="84">
        <f>(1+S83)^10-1</f>
        <v>0</v>
      </c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26" x14ac:dyDescent="0.25">
      <c r="B89" s="78" t="s">
        <v>143</v>
      </c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26" x14ac:dyDescent="0.2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26" x14ac:dyDescent="0.25"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26" x14ac:dyDescent="0.2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</row>
    <row r="93" spans="2:26" x14ac:dyDescent="0.25">
      <c r="B93" s="92"/>
      <c r="C93" s="93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</row>
    <row r="94" spans="2:26" x14ac:dyDescent="0.2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</row>
    <row r="95" spans="2:26" x14ac:dyDescent="0.2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</row>
    <row r="96" spans="2:26" x14ac:dyDescent="0.2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</row>
    <row r="97" spans="2:18" x14ac:dyDescent="0.2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</row>
    <row r="98" spans="2:18" x14ac:dyDescent="0.2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</row>
    <row r="99" spans="2:18" x14ac:dyDescent="0.2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</row>
    <row r="100" spans="2:18" x14ac:dyDescent="0.2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</row>
    <row r="101" spans="2:18" x14ac:dyDescent="0.2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</row>
    <row r="102" spans="2:18" x14ac:dyDescent="0.2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VAN, TIR, PRD, BC (E)</vt:lpstr>
      <vt:lpstr>VAC, CAUE, CC, MCM (E)</vt:lpstr>
      <vt:lpstr>ACCIONES(E)</vt:lpstr>
      <vt:lpstr>WACC(E)</vt:lpstr>
      <vt:lpstr>BONO(E)</vt:lpstr>
      <vt:lpstr>BONO</vt:lpstr>
      <vt:lpstr>WACC</vt:lpstr>
      <vt:lpstr>VAN, TIR, PRD, BC</vt:lpstr>
      <vt:lpstr>VAC, CAUE, CC, MCM</vt:lpstr>
      <vt:lpstr>ACCIONES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2021</cp:lastModifiedBy>
  <dcterms:created xsi:type="dcterms:W3CDTF">2015-06-05T18:19:34Z</dcterms:created>
  <dcterms:modified xsi:type="dcterms:W3CDTF">2023-11-27T20:28:52Z</dcterms:modified>
</cp:coreProperties>
</file>