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7620" tabRatio="500"/>
  </bookViews>
  <sheets>
    <sheet name="Identificação" sheetId="1" r:id="rId1"/>
    <sheet name="Receitas" sheetId="2" r:id="rId2"/>
    <sheet name="Despesas" sheetId="3" r:id="rId3"/>
    <sheet name="I R" sheetId="4" r:id="rId4"/>
    <sheet name="P J" sheetId="5" r:id="rId5"/>
    <sheet name="F Aux" sheetId="6" r:id="rId6"/>
    <sheet name="Tabelas" sheetId="7" r:id="rId7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2" l="1"/>
  <c r="E7" i="2" s="1"/>
  <c r="G17" i="6" s="1"/>
  <c r="H15" i="7"/>
  <c r="H16" i="7" s="1"/>
  <c r="C4" i="7"/>
  <c r="G34" i="6"/>
  <c r="D34" i="6"/>
  <c r="G33" i="6"/>
  <c r="D33" i="6"/>
  <c r="G32" i="6"/>
  <c r="D32" i="6"/>
  <c r="D31" i="6"/>
  <c r="D30" i="6"/>
  <c r="G29" i="6"/>
  <c r="D29" i="6"/>
  <c r="D28" i="6"/>
  <c r="D23" i="6"/>
  <c r="D22" i="6"/>
  <c r="D21" i="6"/>
  <c r="G20" i="6"/>
  <c r="D20" i="6"/>
  <c r="D19" i="6"/>
  <c r="D18" i="6"/>
  <c r="D17" i="6"/>
  <c r="D16" i="6"/>
  <c r="D15" i="6"/>
  <c r="D14" i="6"/>
  <c r="G11" i="6"/>
  <c r="E11" i="6"/>
  <c r="K9" i="6"/>
  <c r="F9" i="6"/>
  <c r="G7" i="6"/>
  <c r="E15" i="5"/>
  <c r="M13" i="5"/>
  <c r="J13" i="5"/>
  <c r="M12" i="5"/>
  <c r="J12" i="5"/>
  <c r="E12" i="5"/>
  <c r="M11" i="5"/>
  <c r="J11" i="5"/>
  <c r="E11" i="5"/>
  <c r="M10" i="5"/>
  <c r="E10" i="5"/>
  <c r="M9" i="5"/>
  <c r="M8" i="5"/>
  <c r="M7" i="5"/>
  <c r="M5" i="5"/>
  <c r="J15" i="4"/>
  <c r="D13" i="4" s="1"/>
  <c r="K13" i="4"/>
  <c r="I13" i="4"/>
  <c r="K12" i="4"/>
  <c r="I12" i="4"/>
  <c r="K11" i="4"/>
  <c r="I11" i="4"/>
  <c r="K10" i="4"/>
  <c r="I10" i="4"/>
  <c r="I9" i="4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8" i="3"/>
  <c r="J5" i="3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E18" i="2"/>
  <c r="G25" i="6" s="1"/>
  <c r="E13" i="2"/>
  <c r="G23" i="6" s="1"/>
  <c r="E11" i="2"/>
  <c r="G21" i="6" s="1"/>
  <c r="E9" i="2"/>
  <c r="D7" i="4" s="1"/>
  <c r="C13" i="1"/>
  <c r="C44" i="6" s="1"/>
  <c r="E9" i="5" l="1"/>
  <c r="E6" i="2"/>
  <c r="E6" i="5" s="1"/>
  <c r="G14" i="6"/>
  <c r="E5" i="2"/>
  <c r="E5" i="5" s="1"/>
  <c r="K9" i="3"/>
  <c r="E6" i="3" s="1"/>
  <c r="M6" i="5" s="1"/>
  <c r="C26" i="6"/>
  <c r="C41" i="6"/>
  <c r="G26" i="6"/>
  <c r="G41" i="6"/>
  <c r="C25" i="6"/>
  <c r="G19" i="6"/>
  <c r="E7" i="5"/>
  <c r="E8" i="2"/>
  <c r="D8" i="4"/>
  <c r="E13" i="5"/>
  <c r="E4" i="5"/>
  <c r="B13" i="5"/>
  <c r="E12" i="2" l="1"/>
  <c r="G22" i="6" s="1"/>
  <c r="G16" i="6"/>
  <c r="G15" i="6"/>
  <c r="G30" i="6"/>
  <c r="G18" i="6"/>
  <c r="E8" i="5"/>
  <c r="E17" i="5" s="1"/>
  <c r="E16" i="2" l="1"/>
  <c r="E7" i="3" s="1"/>
  <c r="G31" i="6" s="1"/>
  <c r="G24" i="6"/>
  <c r="E4" i="3" l="1"/>
  <c r="G28" i="6" s="1"/>
  <c r="D3" i="4"/>
  <c r="M4" i="5"/>
  <c r="E15" i="3" l="1"/>
  <c r="D9" i="4" s="1"/>
  <c r="D17" i="4" s="1"/>
  <c r="D19" i="4" s="1"/>
  <c r="D21" i="4" s="1"/>
  <c r="D24" i="4" s="1"/>
  <c r="G39" i="6"/>
  <c r="G40" i="6" s="1"/>
  <c r="J17" i="4" l="1"/>
  <c r="I30" i="4" s="1"/>
  <c r="J19" i="4"/>
  <c r="M14" i="5" s="1"/>
  <c r="M17" i="5" s="1"/>
  <c r="E19" i="5" s="1"/>
  <c r="J20" i="5" s="1"/>
  <c r="J24" i="4"/>
  <c r="J22" i="4"/>
</calcChain>
</file>

<file path=xl/comments1.xml><?xml version="1.0" encoding="utf-8"?>
<comments xmlns="http://schemas.openxmlformats.org/spreadsheetml/2006/main">
  <authors>
    <author/>
  </authors>
  <commentList>
    <comment ref="C47" authorId="0">
      <text>
        <r>
          <rPr>
            <sz val="10"/>
            <color rgb="FF000000"/>
            <rFont val="Arial"/>
            <family val="2"/>
          </rPr>
          <t>Ajuste o tamanho da linha de assinatura.</t>
        </r>
      </text>
    </comment>
    <comment ref="C48" authorId="0">
      <text>
        <r>
          <rPr>
            <sz val="10"/>
            <color rgb="FF000000"/>
            <rFont val="Arial"/>
            <family val="2"/>
          </rPr>
          <t>Digite o nome completo e posto.</t>
        </r>
      </text>
    </comment>
    <comment ref="C50" authorId="0">
      <text>
        <r>
          <rPr>
            <sz val="10"/>
            <color rgb="FF000000"/>
            <rFont val="Arial"/>
            <family val="2"/>
          </rPr>
          <t>Ajuste o tamanho da linha de assinatura.</t>
        </r>
      </text>
    </comment>
  </commentList>
</comments>
</file>

<file path=xl/sharedStrings.xml><?xml version="1.0" encoding="utf-8"?>
<sst xmlns="http://schemas.openxmlformats.org/spreadsheetml/2006/main" count="409" uniqueCount="231">
  <si>
    <t>IDENTIFICAÇÃO</t>
  </si>
  <si>
    <t>Prec/Cp:</t>
  </si>
  <si>
    <t>P/G:</t>
  </si>
  <si>
    <t>Sub-Tenente</t>
  </si>
  <si>
    <t>Nome:</t>
  </si>
  <si>
    <t>Identidade:</t>
  </si>
  <si>
    <t>CPF:</t>
  </si>
  <si>
    <t>Data de Nascimento:</t>
  </si>
  <si>
    <t>Mês base para o exame de contracheque:</t>
  </si>
  <si>
    <t>Data atual:</t>
  </si>
  <si>
    <t>Posto/Grad</t>
  </si>
  <si>
    <t>Marechal</t>
  </si>
  <si>
    <t>Gen Exército</t>
  </si>
  <si>
    <t>Gen Divisão</t>
  </si>
  <si>
    <t>Gen Brigada</t>
  </si>
  <si>
    <t>Coronel</t>
  </si>
  <si>
    <t>Tenente-Coronel</t>
  </si>
  <si>
    <t>Major</t>
  </si>
  <si>
    <t>Capitão</t>
  </si>
  <si>
    <t>1º Tenente</t>
  </si>
  <si>
    <t>2º Tenente</t>
  </si>
  <si>
    <t>Asp Oficial</t>
  </si>
  <si>
    <t>Cadete Últ Ano</t>
  </si>
  <si>
    <t>Cadete 1/2/3 Ano</t>
  </si>
  <si>
    <t>Al CPOR/NPOR/IME</t>
  </si>
  <si>
    <t>Aluno  ES F S</t>
  </si>
  <si>
    <t>Aluno EPC</t>
  </si>
  <si>
    <t>Aluno EPC 1/2/3</t>
  </si>
  <si>
    <t>1º Sargento</t>
  </si>
  <si>
    <t>2º Sargento</t>
  </si>
  <si>
    <t>3º Sargento</t>
  </si>
  <si>
    <t>Cabo Eng</t>
  </si>
  <si>
    <t>Cabo N Eng</t>
  </si>
  <si>
    <t>Sd Pqdt (Eng)</t>
  </si>
  <si>
    <t>Sd 2ª Cl (Clar/Corn)</t>
  </si>
  <si>
    <t>Sd 3ª Cl (Clar/Corn)</t>
  </si>
  <si>
    <t>Sd do Exército</t>
  </si>
  <si>
    <t>Sd Recruta</t>
  </si>
  <si>
    <t>Taifeiro-Mor</t>
  </si>
  <si>
    <t>Taifeiro 1ª Cl</t>
  </si>
  <si>
    <t>Taifeiro 2ª Cl</t>
  </si>
  <si>
    <t>Sd Eng Não Esp</t>
  </si>
  <si>
    <t>Pensionista</t>
  </si>
  <si>
    <t>Inativo</t>
  </si>
  <si>
    <t>RECEITAS</t>
  </si>
  <si>
    <t>DESCRIÇÃO</t>
  </si>
  <si>
    <t>VALOR</t>
  </si>
  <si>
    <t>% OU COTAS</t>
  </si>
  <si>
    <t>SOLDO</t>
  </si>
  <si>
    <t>Soldo:</t>
  </si>
  <si>
    <t>ADIC DISPO MILITAR</t>
  </si>
  <si>
    <t>ADIC HAB</t>
  </si>
  <si>
    <t>ADIC PERM</t>
  </si>
  <si>
    <t>ADIC MIL</t>
  </si>
  <si>
    <t>SALÁRIO FAMÍLIA</t>
  </si>
  <si>
    <t>Quantidade de dependentes:</t>
  </si>
  <si>
    <t>ADIC COMP ORG</t>
  </si>
  <si>
    <t>Qtd cotas:</t>
  </si>
  <si>
    <t>13º SALÁRIO</t>
  </si>
  <si>
    <t>(Não)</t>
  </si>
  <si>
    <t xml:space="preserve"> COTAS  (PENSIONISTAS)</t>
  </si>
  <si>
    <t>TOTAL.................................</t>
  </si>
  <si>
    <t>/</t>
  </si>
  <si>
    <t>GRAT NAT/1ª PAR</t>
  </si>
  <si>
    <t>Não</t>
  </si>
  <si>
    <t>ADICIONAL MILITAR</t>
  </si>
  <si>
    <t>OF Gen</t>
  </si>
  <si>
    <t>Gen Ex</t>
  </si>
  <si>
    <t>Of Sup</t>
  </si>
  <si>
    <t>Gen Div</t>
  </si>
  <si>
    <t>Gen Ex Inatividade</t>
  </si>
  <si>
    <t>Of Intermediário</t>
  </si>
  <si>
    <t>Gen Bda</t>
  </si>
  <si>
    <t>Of subalterno/Asp Of</t>
  </si>
  <si>
    <t>Cel</t>
  </si>
  <si>
    <t>ST/Sgt</t>
  </si>
  <si>
    <t>TC</t>
  </si>
  <si>
    <t>Demais praças</t>
  </si>
  <si>
    <t>Maj</t>
  </si>
  <si>
    <t>-</t>
  </si>
  <si>
    <t>Cap</t>
  </si>
  <si>
    <t>1º Ten</t>
  </si>
  <si>
    <t>2º Ten</t>
  </si>
  <si>
    <t>Asp</t>
  </si>
  <si>
    <t>ADICIONAL DE HABILITAÇÃO</t>
  </si>
  <si>
    <t>S Ten</t>
  </si>
  <si>
    <t>ALTOS ESTUDOS I</t>
  </si>
  <si>
    <t>1º Sgt</t>
  </si>
  <si>
    <t>ALTOS ESTUDOS II</t>
  </si>
  <si>
    <t>2º Sgt</t>
  </si>
  <si>
    <t>Cadete Último Ano</t>
  </si>
  <si>
    <t>APERFEIÇOAMENTO</t>
  </si>
  <si>
    <t>2° Sgt (quadros especiais)</t>
  </si>
  <si>
    <t>ESPECIALIZAÇÃO</t>
  </si>
  <si>
    <t>3º Sgt</t>
  </si>
  <si>
    <t>FORMAÇÃO</t>
  </si>
  <si>
    <t>3° Sgt (quadros especiais)</t>
  </si>
  <si>
    <t>Cb (engajado ou não)</t>
  </si>
  <si>
    <t>Demais militares:</t>
  </si>
  <si>
    <t>ADICIONAL DE PERMANÊNCIA</t>
  </si>
  <si>
    <t>720 dias</t>
  </si>
  <si>
    <t>1ª Promoção</t>
  </si>
  <si>
    <t>2ª Promoão</t>
  </si>
  <si>
    <t>Cabo Não Eng</t>
  </si>
  <si>
    <t>3ª Promoão</t>
  </si>
  <si>
    <t>Sd PQDT (ENG)</t>
  </si>
  <si>
    <t>4ª Promoão</t>
  </si>
  <si>
    <t>COTAS DE COMPENSAÇÃO ORGÂNICA (% Soldo)</t>
  </si>
  <si>
    <t>O número máximo de cotas previsto é o seguinte:</t>
  </si>
  <si>
    <t>1 – Raios-X (1% do Soldo por cota) no limite de 10 cotas.</t>
  </si>
  <si>
    <t>2 – Paraquedismo no limite de 20 cotas (1% do Soldo por cota).</t>
  </si>
  <si>
    <t>3 – Voo em aeronave militar como tripulante orgânico, observador aéreo, observador meteorológico e fotogramétrico no limite de 10 cotas (2% do Soldo por cota).</t>
  </si>
  <si>
    <t>4 – Observação Aérea, Mergulho e Imersão (2% do Soldo por cota) no limite de 10 cotas.</t>
  </si>
  <si>
    <t>5 – Horas de Voo (Art 24 MP 2.215-10/01) no limite de 10 cotas (1% do Soldo por cota).</t>
  </si>
  <si>
    <t>6 – Compensação Orgânica de Pqdt (Lei nº 1316/69) no limite de 10 cotas (2% do Soldo por cota).</t>
  </si>
  <si>
    <t>DESPESAS</t>
  </si>
  <si>
    <t>PERCENTUAL</t>
  </si>
  <si>
    <t>Dependentes</t>
  </si>
  <si>
    <t>FUSEX 3 %</t>
  </si>
  <si>
    <t>Diretos</t>
  </si>
  <si>
    <t>Indiretos</t>
  </si>
  <si>
    <t>FUSEX DPND</t>
  </si>
  <si>
    <t>PENS MIL 10,5%</t>
  </si>
  <si>
    <t>PENS MIL 1,5%</t>
  </si>
  <si>
    <t>PENSÃO MILITAR</t>
  </si>
  <si>
    <t>PENS JUDIC 1</t>
  </si>
  <si>
    <t>Posto/Grad:</t>
  </si>
  <si>
    <t>PENS JUDIC 2</t>
  </si>
  <si>
    <t>Soldo :</t>
  </si>
  <si>
    <t>PENS JUDIC 3</t>
  </si>
  <si>
    <t>Adic Mil:</t>
  </si>
  <si>
    <t>Desconta Pens. Mil. 1,5% (filha)?</t>
  </si>
  <si>
    <t>Desconta Pensão Militar?</t>
  </si>
  <si>
    <t>Sim</t>
  </si>
  <si>
    <t>FUSEX</t>
  </si>
  <si>
    <t>Militar + Cônjuge</t>
  </si>
  <si>
    <t>Depend. Direto</t>
  </si>
  <si>
    <t>Depend. Indireto</t>
  </si>
  <si>
    <t>Nr Depend. &gt; 1</t>
  </si>
  <si>
    <t>Ñ desconta FUSEx</t>
  </si>
  <si>
    <t>IMPOSTO DE RENDA</t>
  </si>
  <si>
    <t>Renda Bruta (A):</t>
  </si>
  <si>
    <t>É isento de Imposto de Renda?</t>
  </si>
  <si>
    <t>Atualizando informações sobre a base de cálculo do IR</t>
  </si>
  <si>
    <t>Base de cálculo</t>
  </si>
  <si>
    <t>%</t>
  </si>
  <si>
    <t>Dedução</t>
  </si>
  <si>
    <t>Descontos (B)</t>
  </si>
  <si>
    <t>É maior de 65 anos?</t>
  </si>
  <si>
    <t>Até</t>
  </si>
  <si>
    <t>ISENTO</t>
  </si>
  <si>
    <t>De</t>
  </si>
  <si>
    <t>até</t>
  </si>
  <si>
    <t>Salário Família</t>
  </si>
  <si>
    <t>Informações sobre a base de cálculo do IR</t>
  </si>
  <si>
    <t>Auxílio Alimentação</t>
  </si>
  <si>
    <t>dedução</t>
  </si>
  <si>
    <t>Despesas</t>
  </si>
  <si>
    <t>Acima de</t>
  </si>
  <si>
    <t>Dedução por Dependente</t>
  </si>
  <si>
    <t>Dpnd</t>
  </si>
  <si>
    <t>Total dos descontos:</t>
  </si>
  <si>
    <t>Percentual atingido:</t>
  </si>
  <si>
    <t xml:space="preserve">Total (A - B): </t>
  </si>
  <si>
    <t>Imposto devido:</t>
  </si>
  <si>
    <t>Base de cálculo do IR:</t>
  </si>
  <si>
    <t>Percentual &gt; 65 anos:</t>
  </si>
  <si>
    <t>Base do IR &gt; 65 anos:</t>
  </si>
  <si>
    <t>Percentual Real:</t>
  </si>
  <si>
    <t>ISENÇÃO DE IR</t>
  </si>
  <si>
    <t>PENSÃO JUDICIAL</t>
  </si>
  <si>
    <t>Selecione a opção SIM para os itens que integram a Base de cálculo e NÃO para os demais.</t>
  </si>
  <si>
    <t>Soldo</t>
  </si>
  <si>
    <t>SIM</t>
  </si>
  <si>
    <t>Fusex</t>
  </si>
  <si>
    <t>Adic Tempo serviço</t>
  </si>
  <si>
    <t>Fusex Dpnd</t>
  </si>
  <si>
    <t>NÃO</t>
  </si>
  <si>
    <t>Adic Habilitação</t>
  </si>
  <si>
    <t>Pens Mil 9,5%</t>
  </si>
  <si>
    <t>Adic Permanência</t>
  </si>
  <si>
    <t>Pens Mil 1,5%</t>
  </si>
  <si>
    <t>Adic Militar</t>
  </si>
  <si>
    <t>Pens Judic 1</t>
  </si>
  <si>
    <t>Pens Judic 2</t>
  </si>
  <si>
    <t>Adic Invalidez</t>
  </si>
  <si>
    <t>Pens Judic 3</t>
  </si>
  <si>
    <t>Adic Comp Org</t>
  </si>
  <si>
    <t>13º Salário</t>
  </si>
  <si>
    <t>Valor do SM</t>
  </si>
  <si>
    <t>Qtde SM</t>
  </si>
  <si>
    <t>Imposto de Renda</t>
  </si>
  <si>
    <t>Salário Mínimo</t>
  </si>
  <si>
    <t xml:space="preserve">Total (A): </t>
  </si>
  <si>
    <t xml:space="preserve">Total (B): </t>
  </si>
  <si>
    <t>Percentual da PJ:</t>
  </si>
  <si>
    <t xml:space="preserve">Base de cálculo da PJ  (A - B) : </t>
  </si>
  <si>
    <t xml:space="preserve">Valor da Pensão: </t>
  </si>
  <si>
    <t>Respostas</t>
  </si>
  <si>
    <t>FICHA AUXILIAR</t>
  </si>
  <si>
    <t>UG: B Adm Curado</t>
  </si>
  <si>
    <t>MÊS:</t>
  </si>
  <si>
    <t>OM: Cmdo 7ª RM</t>
  </si>
  <si>
    <t>Nome</t>
  </si>
  <si>
    <t>Prec/CP:</t>
  </si>
  <si>
    <t>DISCRIMINAÇÃO</t>
  </si>
  <si>
    <t>VALOR PESQUISADO</t>
  </si>
  <si>
    <t>VALOR CONTRACHEQUE</t>
  </si>
  <si>
    <t>OBSERVAÇÕES</t>
  </si>
  <si>
    <t>RECEITA</t>
  </si>
  <si>
    <t>SOMA</t>
  </si>
  <si>
    <t>LIQUIDO A RECEBER</t>
  </si>
  <si>
    <t>_________________________</t>
  </si>
  <si>
    <t>Membro da Equipe</t>
  </si>
  <si>
    <t>Chefe da Equipe</t>
  </si>
  <si>
    <t>TABELAS</t>
  </si>
  <si>
    <t>AUXÍLIO INVALIDEZ</t>
  </si>
  <si>
    <t>REAJUSTE DO SOLDO</t>
  </si>
  <si>
    <t>Soldo anterior</t>
  </si>
  <si>
    <t>Percentual</t>
  </si>
  <si>
    <t>Valor à adicionar</t>
  </si>
  <si>
    <t>Soldo atual</t>
  </si>
  <si>
    <t>Arredondamento</t>
  </si>
  <si>
    <t>PTTC</t>
  </si>
  <si>
    <t>ADIC INVALIDEZ</t>
  </si>
  <si>
    <t>Ago/2023</t>
  </si>
  <si>
    <t>ANDRE GUSTAVO DE PINHO MONTEIRO</t>
  </si>
  <si>
    <t>537.198.754-15</t>
  </si>
  <si>
    <r>
      <t xml:space="preserve">Gabriel Victor Muniz </t>
    </r>
    <r>
      <rPr>
        <b/>
        <sz val="10"/>
        <color rgb="FF000000"/>
        <rFont val="Arial"/>
        <family val="2"/>
      </rPr>
      <t>Baracho</t>
    </r>
    <r>
      <rPr>
        <sz val="10"/>
        <color rgb="FF000000"/>
        <rFont val="Arial"/>
        <family val="2"/>
      </rPr>
      <t xml:space="preserve">  – 3º Sgt</t>
    </r>
  </si>
  <si>
    <r>
      <rPr>
        <b/>
        <sz val="10"/>
        <color rgb="FF000000"/>
        <rFont val="Arial"/>
        <family val="2"/>
      </rPr>
      <t>Bianca</t>
    </r>
    <r>
      <rPr>
        <sz val="10"/>
        <color rgb="FF000000"/>
        <rFont val="Arial"/>
        <family val="2"/>
      </rPr>
      <t xml:space="preserve"> da Silva </t>
    </r>
    <r>
      <rPr>
        <b/>
        <sz val="10"/>
        <color rgb="FF000000"/>
        <rFont val="Arial"/>
        <family val="2"/>
      </rPr>
      <t>Serra</t>
    </r>
    <r>
      <rPr>
        <sz val="10"/>
        <color rgb="FF000000"/>
        <rFont val="Arial"/>
        <family val="2"/>
      </rPr>
      <t xml:space="preserve"> de Santana  – 2º Ten</t>
    </r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</si>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</sst>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00000000\-0"/>
    <numFmt numFmtId="165" formatCode="000000000\-00"/>
    <numFmt numFmtId="166" formatCode="d/m/yyyy"/>
    <numFmt numFmtId="167" formatCode="dd\/mm\/yyyy"/>
    <numFmt numFmtId="168" formatCode="_(&quot;R$ &quot;* #,##0.00_);_(&quot;R$ &quot;* \(#,##0.00\);_(&quot;R$ &quot;* \-??_);_(@_)"/>
    <numFmt numFmtId="169" formatCode="0.0%"/>
    <numFmt numFmtId="170" formatCode="&quot;R$ &quot;#,##0.00"/>
    <numFmt numFmtId="171" formatCode="&quot;R$ &quot;#,##0.00_);[Red]&quot;(R$ &quot;#,##0.00\)"/>
    <numFmt numFmtId="172" formatCode="mmm/yyyy"/>
    <numFmt numFmtId="173" formatCode="[$R$-416]\ #,##0.00;[Red]\-[$R$-416]\ #,##0.00"/>
    <numFmt numFmtId="174" formatCode="&quot;Recife-PE, &quot;d&quot; de  &quot;mmmm&quot; de &quot;yyyy\."/>
  </numFmts>
  <fonts count="27" x14ac:knownFonts="1">
    <font>
      <sz val="10"/>
      <color rgb="FF000000"/>
      <name val="Arial"/>
      <charset val="1"/>
    </font>
    <font>
      <sz val="16"/>
      <color rgb="FFFFFFFF"/>
      <name val="Arial Black"/>
      <family val="2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 Black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b/>
      <sz val="13"/>
      <color rgb="FF000000"/>
      <name val="Arial"/>
      <family val="2"/>
    </font>
    <font>
      <b/>
      <sz val="12"/>
      <color rgb="FFFFFFFF"/>
      <name val="Arial"/>
      <family val="2"/>
    </font>
    <font>
      <b/>
      <sz val="16"/>
      <color rgb="FFFFFFFF"/>
      <name val="Arial Black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5"/>
      <color rgb="FF000000"/>
      <name val="Arial"/>
      <family val="2"/>
    </font>
    <font>
      <b/>
      <sz val="10"/>
      <color rgb="FF0000FF"/>
      <name val="Arial"/>
      <family val="2"/>
    </font>
    <font>
      <b/>
      <sz val="5"/>
      <color rgb="FFFFFFFF"/>
      <name val="Arial"/>
      <family val="2"/>
    </font>
    <font>
      <b/>
      <sz val="5"/>
      <color rgb="FF000000"/>
      <name val="Arial"/>
      <family val="2"/>
    </font>
    <font>
      <b/>
      <sz val="10"/>
      <color rgb="FF008000"/>
      <name val="Arial"/>
      <family val="2"/>
    </font>
    <font>
      <sz val="3"/>
      <color rgb="FF000000"/>
      <name val="Arial"/>
      <family val="2"/>
    </font>
    <font>
      <b/>
      <sz val="10"/>
      <color rgb="FFC0C0C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2" fillId="0" borderId="0" xfId="0" applyFont="1"/>
    <xf numFmtId="0" fontId="0" fillId="0" borderId="0" xfId="0" applyFont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4" borderId="1" xfId="0" applyFont="1" applyFill="1" applyBorder="1"/>
    <xf numFmtId="0" fontId="3" fillId="3" borderId="5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3" borderId="0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right"/>
    </xf>
    <xf numFmtId="168" fontId="0" fillId="4" borderId="1" xfId="0" applyNumberFormat="1" applyFont="1" applyFill="1" applyBorder="1"/>
    <xf numFmtId="0" fontId="0" fillId="3" borderId="5" xfId="0" applyFont="1" applyFill="1" applyBorder="1"/>
    <xf numFmtId="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3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168" fontId="0" fillId="3" borderId="0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7" fillId="3" borderId="18" xfId="0" applyFont="1" applyFill="1" applyBorder="1"/>
    <xf numFmtId="0" fontId="7" fillId="3" borderId="16" xfId="0" applyFont="1" applyFill="1" applyBorder="1"/>
    <xf numFmtId="0" fontId="7" fillId="3" borderId="19" xfId="0" applyFont="1" applyFill="1" applyBorder="1"/>
    <xf numFmtId="9" fontId="0" fillId="0" borderId="21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0" fillId="0" borderId="12" xfId="0" applyFont="1" applyBorder="1" applyAlignment="1">
      <alignment horizontal="left" vertical="center"/>
    </xf>
    <xf numFmtId="168" fontId="0" fillId="0" borderId="21" xfId="0" applyNumberFormat="1" applyFont="1" applyBorder="1" applyAlignment="1">
      <alignment horizontal="right" vertic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left" vertical="center"/>
    </xf>
    <xf numFmtId="168" fontId="0" fillId="5" borderId="21" xfId="0" applyNumberFormat="1" applyFont="1" applyFill="1" applyBorder="1" applyAlignment="1">
      <alignment horizontal="right" vertical="center" wrapText="1"/>
    </xf>
    <xf numFmtId="9" fontId="0" fillId="0" borderId="25" xfId="0" applyNumberFormat="1" applyFont="1" applyBorder="1" applyAlignment="1">
      <alignment horizontal="center"/>
    </xf>
    <xf numFmtId="2" fontId="0" fillId="0" borderId="0" xfId="0" applyNumberFormat="1" applyFont="1"/>
    <xf numFmtId="9" fontId="0" fillId="0" borderId="26" xfId="0" applyNumberFormat="1" applyFont="1" applyBorder="1" applyAlignment="1">
      <alignment horizontal="center"/>
    </xf>
    <xf numFmtId="9" fontId="0" fillId="0" borderId="27" xfId="0" applyNumberFormat="1" applyFont="1" applyBorder="1" applyAlignment="1">
      <alignment horizontal="center"/>
    </xf>
    <xf numFmtId="9" fontId="0" fillId="0" borderId="28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24" xfId="0" applyFont="1" applyBorder="1" applyAlignment="1">
      <alignment horizontal="left" vertical="center"/>
    </xf>
    <xf numFmtId="168" fontId="0" fillId="5" borderId="25" xfId="0" applyNumberFormat="1" applyFont="1" applyFill="1" applyBorder="1" applyAlignment="1">
      <alignment horizontal="right" vertical="center" wrapText="1"/>
    </xf>
    <xf numFmtId="168" fontId="0" fillId="0" borderId="0" xfId="0" applyNumberFormat="1" applyFont="1"/>
    <xf numFmtId="0" fontId="0" fillId="0" borderId="0" xfId="0" applyAlignment="1">
      <alignment wrapText="1"/>
    </xf>
    <xf numFmtId="0" fontId="10" fillId="3" borderId="33" xfId="0" applyFont="1" applyFill="1" applyBorder="1" applyAlignment="1">
      <alignment horizontal="center"/>
    </xf>
    <xf numFmtId="168" fontId="10" fillId="3" borderId="34" xfId="0" applyNumberFormat="1" applyFont="1" applyFill="1" applyBorder="1" applyAlignment="1">
      <alignment horizontal="center"/>
    </xf>
    <xf numFmtId="169" fontId="0" fillId="4" borderId="1" xfId="0" applyNumberFormat="1" applyFont="1" applyFill="1" applyBorder="1" applyAlignment="1">
      <alignment horizontal="center"/>
    </xf>
    <xf numFmtId="169" fontId="0" fillId="0" borderId="1" xfId="0" applyNumberFormat="1" applyFont="1" applyBorder="1" applyAlignment="1">
      <alignment horizontal="center"/>
    </xf>
    <xf numFmtId="169" fontId="0" fillId="5" borderId="1" xfId="0" applyNumberFormat="1" applyFont="1" applyFill="1" applyBorder="1" applyAlignment="1">
      <alignment horizontal="center"/>
    </xf>
    <xf numFmtId="0" fontId="0" fillId="3" borderId="35" xfId="0" applyFont="1" applyFill="1" applyBorder="1"/>
    <xf numFmtId="9" fontId="0" fillId="3" borderId="0" xfId="0" applyNumberFormat="1" applyFont="1" applyFill="1" applyBorder="1"/>
    <xf numFmtId="0" fontId="10" fillId="3" borderId="2" xfId="0" applyFont="1" applyFill="1" applyBorder="1" applyAlignment="1">
      <alignment horizontal="right"/>
    </xf>
    <xf numFmtId="9" fontId="0" fillId="3" borderId="5" xfId="0" applyNumberFormat="1" applyFont="1" applyFill="1" applyBorder="1"/>
    <xf numFmtId="0" fontId="0" fillId="3" borderId="0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center"/>
    </xf>
    <xf numFmtId="9" fontId="10" fillId="3" borderId="6" xfId="0" applyNumberFormat="1" applyFont="1" applyFill="1" applyBorder="1" applyAlignment="1">
      <alignment horizontal="right"/>
    </xf>
    <xf numFmtId="0" fontId="15" fillId="3" borderId="0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0" borderId="10" xfId="0" applyFont="1" applyBorder="1"/>
    <xf numFmtId="9" fontId="0" fillId="0" borderId="38" xfId="0" applyNumberFormat="1" applyFont="1" applyBorder="1" applyAlignment="1">
      <alignment horizontal="center"/>
    </xf>
    <xf numFmtId="0" fontId="0" fillId="0" borderId="22" xfId="0" applyFont="1" applyBorder="1" applyAlignment="1">
      <alignment horizontal="left" vertical="center"/>
    </xf>
    <xf numFmtId="168" fontId="0" fillId="0" borderId="23" xfId="0" applyNumberFormat="1" applyFont="1" applyBorder="1" applyAlignment="1">
      <alignment horizontal="right" vertical="center"/>
    </xf>
    <xf numFmtId="0" fontId="0" fillId="0" borderId="12" xfId="0" applyFont="1" applyBorder="1"/>
    <xf numFmtId="0" fontId="10" fillId="0" borderId="39" xfId="0" applyFont="1" applyBorder="1" applyAlignment="1">
      <alignment horizontal="center"/>
    </xf>
    <xf numFmtId="0" fontId="0" fillId="0" borderId="24" xfId="0" applyFont="1" applyBorder="1"/>
    <xf numFmtId="169" fontId="0" fillId="0" borderId="38" xfId="0" applyNumberFormat="1" applyFont="1" applyBorder="1" applyAlignment="1">
      <alignment horizontal="center"/>
    </xf>
    <xf numFmtId="169" fontId="0" fillId="0" borderId="21" xfId="0" applyNumberFormat="1" applyFont="1" applyBorder="1" applyAlignment="1">
      <alignment horizontal="center"/>
    </xf>
    <xf numFmtId="0" fontId="0" fillId="0" borderId="40" xfId="0" applyFont="1" applyBorder="1"/>
    <xf numFmtId="169" fontId="0" fillId="0" borderId="41" xfId="0" applyNumberFormat="1" applyFont="1" applyBorder="1" applyAlignment="1">
      <alignment horizontal="center"/>
    </xf>
    <xf numFmtId="9" fontId="0" fillId="0" borderId="19" xfId="0" applyNumberFormat="1" applyFont="1" applyBorder="1" applyAlignment="1">
      <alignment horizontal="center"/>
    </xf>
    <xf numFmtId="0" fontId="0" fillId="0" borderId="40" xfId="0" applyFont="1" applyBorder="1" applyAlignment="1">
      <alignment horizontal="left" vertical="center"/>
    </xf>
    <xf numFmtId="168" fontId="0" fillId="5" borderId="41" xfId="0" applyNumberFormat="1" applyFont="1" applyFill="1" applyBorder="1" applyAlignment="1">
      <alignment horizontal="right" vertical="center" wrapText="1"/>
    </xf>
    <xf numFmtId="168" fontId="0" fillId="5" borderId="42" xfId="0" applyNumberFormat="1" applyFont="1" applyFill="1" applyBorder="1" applyAlignment="1">
      <alignment horizontal="right" vertical="center" wrapText="1"/>
    </xf>
    <xf numFmtId="0" fontId="10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right"/>
    </xf>
    <xf numFmtId="170" fontId="0" fillId="4" borderId="13" xfId="0" applyNumberFormat="1" applyFont="1" applyFill="1" applyBorder="1" applyAlignment="1">
      <alignment horizontal="left"/>
    </xf>
    <xf numFmtId="0" fontId="0" fillId="3" borderId="13" xfId="0" applyFont="1" applyFill="1" applyBorder="1" applyAlignment="1">
      <alignment horizontal="center"/>
    </xf>
    <xf numFmtId="170" fontId="0" fillId="3" borderId="43" xfId="0" applyNumberFormat="1" applyFont="1" applyFill="1" applyBorder="1" applyAlignment="1">
      <alignment horizontal="left"/>
    </xf>
    <xf numFmtId="0" fontId="0" fillId="3" borderId="44" xfId="0" applyFont="1" applyFill="1" applyBorder="1" applyAlignment="1">
      <alignment horizontal="center"/>
    </xf>
    <xf numFmtId="170" fontId="0" fillId="4" borderId="45" xfId="0" applyNumberFormat="1" applyFont="1" applyFill="1" applyBorder="1" applyAlignment="1">
      <alignment horizontal="left"/>
    </xf>
    <xf numFmtId="169" fontId="0" fillId="3" borderId="13" xfId="0" applyNumberFormat="1" applyFont="1" applyFill="1" applyBorder="1" applyAlignment="1">
      <alignment horizontal="center"/>
    </xf>
    <xf numFmtId="9" fontId="0" fillId="3" borderId="13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0" fillId="3" borderId="12" xfId="0" applyFont="1" applyFill="1" applyBorder="1"/>
    <xf numFmtId="0" fontId="0" fillId="3" borderId="21" xfId="0" applyFont="1" applyFill="1" applyBorder="1" applyAlignment="1">
      <alignment horizontal="center"/>
    </xf>
    <xf numFmtId="0" fontId="0" fillId="3" borderId="13" xfId="0" applyFont="1" applyFill="1" applyBorder="1"/>
    <xf numFmtId="168" fontId="0" fillId="3" borderId="2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40" xfId="0" applyFont="1" applyFill="1" applyBorder="1"/>
    <xf numFmtId="9" fontId="0" fillId="3" borderId="14" xfId="0" applyNumberFormat="1" applyFont="1" applyFill="1" applyBorder="1" applyAlignment="1">
      <alignment horizontal="center"/>
    </xf>
    <xf numFmtId="171" fontId="0" fillId="3" borderId="41" xfId="0" applyNumberFormat="1" applyFont="1" applyFill="1" applyBorder="1" applyAlignment="1">
      <alignment horizontal="center"/>
    </xf>
    <xf numFmtId="0" fontId="15" fillId="0" borderId="0" xfId="0" applyFont="1"/>
    <xf numFmtId="169" fontId="0" fillId="3" borderId="14" xfId="0" applyNumberFormat="1" applyFont="1" applyFill="1" applyBorder="1" applyAlignment="1">
      <alignment horizontal="center"/>
    </xf>
    <xf numFmtId="168" fontId="0" fillId="3" borderId="41" xfId="0" applyNumberFormat="1" applyFont="1" applyFill="1" applyBorder="1" applyAlignment="1">
      <alignment horizontal="center"/>
    </xf>
    <xf numFmtId="170" fontId="0" fillId="4" borderId="13" xfId="0" applyNumberFormat="1" applyFont="1" applyFill="1" applyBorder="1" applyAlignment="1">
      <alignment horizontal="center"/>
    </xf>
    <xf numFmtId="0" fontId="0" fillId="3" borderId="24" xfId="0" applyFont="1" applyFill="1" applyBorder="1"/>
    <xf numFmtId="169" fontId="0" fillId="3" borderId="48" xfId="0" applyNumberFormat="1" applyFont="1" applyFill="1" applyBorder="1" applyAlignment="1">
      <alignment horizontal="center"/>
    </xf>
    <xf numFmtId="168" fontId="0" fillId="3" borderId="25" xfId="0" applyNumberFormat="1" applyFont="1" applyFill="1" applyBorder="1" applyAlignment="1">
      <alignment horizontal="center"/>
    </xf>
    <xf numFmtId="0" fontId="0" fillId="3" borderId="49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0" fillId="3" borderId="3" xfId="0" applyFont="1" applyFill="1" applyBorder="1"/>
    <xf numFmtId="0" fontId="9" fillId="3" borderId="0" xfId="0" applyFont="1" applyFill="1" applyBorder="1" applyAlignment="1">
      <alignment horizontal="right"/>
    </xf>
    <xf numFmtId="9" fontId="16" fillId="5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right"/>
    </xf>
    <xf numFmtId="9" fontId="9" fillId="0" borderId="1" xfId="0" applyNumberFormat="1" applyFont="1" applyBorder="1" applyAlignment="1">
      <alignment horizontal="center"/>
    </xf>
    <xf numFmtId="0" fontId="0" fillId="6" borderId="18" xfId="0" applyFont="1" applyFill="1" applyBorder="1"/>
    <xf numFmtId="0" fontId="0" fillId="6" borderId="16" xfId="0" applyFont="1" applyFill="1" applyBorder="1"/>
    <xf numFmtId="0" fontId="0" fillId="6" borderId="0" xfId="0" applyFont="1" applyFill="1" applyBorder="1"/>
    <xf numFmtId="0" fontId="0" fillId="6" borderId="3" xfId="0" applyFont="1" applyFill="1" applyBorder="1"/>
    <xf numFmtId="168" fontId="9" fillId="6" borderId="0" xfId="0" applyNumberFormat="1" applyFont="1" applyFill="1" applyBorder="1" applyAlignment="1">
      <alignment horizontal="center"/>
    </xf>
    <xf numFmtId="0" fontId="0" fillId="3" borderId="18" xfId="0" applyFont="1" applyFill="1" applyBorder="1"/>
    <xf numFmtId="0" fontId="0" fillId="3" borderId="16" xfId="0" applyFont="1" applyFill="1" applyBorder="1"/>
    <xf numFmtId="0" fontId="0" fillId="3" borderId="19" xfId="0" applyFont="1" applyFill="1" applyBorder="1"/>
    <xf numFmtId="0" fontId="0" fillId="7" borderId="50" xfId="0" applyFont="1" applyFill="1" applyBorder="1"/>
    <xf numFmtId="0" fontId="0" fillId="7" borderId="49" xfId="0" applyFont="1" applyFill="1" applyBorder="1"/>
    <xf numFmtId="0" fontId="0" fillId="7" borderId="49" xfId="0" applyFont="1" applyFill="1" applyBorder="1" applyAlignment="1">
      <alignment horizontal="center"/>
    </xf>
    <xf numFmtId="0" fontId="0" fillId="7" borderId="51" xfId="0" applyFont="1" applyFill="1" applyBorder="1" applyAlignment="1">
      <alignment horizontal="center"/>
    </xf>
    <xf numFmtId="0" fontId="0" fillId="7" borderId="3" xfId="0" applyFont="1" applyFill="1" applyBorder="1"/>
    <xf numFmtId="0" fontId="9" fillId="7" borderId="0" xfId="0" applyFont="1" applyFill="1" applyBorder="1" applyAlignment="1">
      <alignment horizontal="left"/>
    </xf>
    <xf numFmtId="0" fontId="0" fillId="7" borderId="0" xfId="0" applyFont="1" applyFill="1" applyBorder="1"/>
    <xf numFmtId="0" fontId="0" fillId="7" borderId="5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0" fillId="7" borderId="18" xfId="0" applyFont="1" applyFill="1" applyBorder="1"/>
    <xf numFmtId="0" fontId="0" fillId="7" borderId="16" xfId="0" applyFont="1" applyFill="1" applyBorder="1"/>
    <xf numFmtId="0" fontId="9" fillId="7" borderId="16" xfId="0" applyFont="1" applyFill="1" applyBorder="1" applyAlignment="1">
      <alignment horizontal="right"/>
    </xf>
    <xf numFmtId="168" fontId="9" fillId="7" borderId="16" xfId="0" applyNumberFormat="1" applyFont="1" applyFill="1" applyBorder="1" applyAlignment="1">
      <alignment horizontal="center"/>
    </xf>
    <xf numFmtId="0" fontId="0" fillId="7" borderId="19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7" fillId="4" borderId="13" xfId="0" applyFont="1" applyFill="1" applyBorder="1" applyAlignment="1">
      <alignment horizontal="center"/>
    </xf>
    <xf numFmtId="168" fontId="0" fillId="3" borderId="13" xfId="0" applyNumberFormat="1" applyFont="1" applyFill="1" applyBorder="1"/>
    <xf numFmtId="0" fontId="17" fillId="3" borderId="0" xfId="0" applyFont="1" applyFill="1" applyBorder="1" applyAlignment="1">
      <alignment horizontal="center"/>
    </xf>
    <xf numFmtId="168" fontId="0" fillId="3" borderId="0" xfId="0" applyNumberFormat="1" applyFont="1" applyFill="1" applyBorder="1"/>
    <xf numFmtId="0" fontId="0" fillId="3" borderId="22" xfId="0" applyFont="1" applyFill="1" applyBorder="1"/>
    <xf numFmtId="0" fontId="0" fillId="3" borderId="23" xfId="0" applyFont="1" applyFill="1" applyBorder="1" applyAlignment="1">
      <alignment horizontal="center"/>
    </xf>
    <xf numFmtId="168" fontId="0" fillId="3" borderId="24" xfId="0" applyNumberFormat="1" applyFont="1" applyFill="1" applyBorder="1"/>
    <xf numFmtId="0" fontId="10" fillId="4" borderId="25" xfId="0" applyFont="1" applyFill="1" applyBorder="1" applyAlignment="1">
      <alignment horizontal="center"/>
    </xf>
    <xf numFmtId="168" fontId="10" fillId="3" borderId="13" xfId="0" applyNumberFormat="1" applyFont="1" applyFill="1" applyBorder="1"/>
    <xf numFmtId="9" fontId="18" fillId="4" borderId="1" xfId="0" applyNumberFormat="1" applyFont="1" applyFill="1" applyBorder="1" applyAlignment="1">
      <alignment horizontal="center"/>
    </xf>
    <xf numFmtId="168" fontId="18" fillId="3" borderId="1" xfId="0" applyNumberFormat="1" applyFont="1" applyFill="1" applyBorder="1"/>
    <xf numFmtId="168" fontId="18" fillId="5" borderId="1" xfId="0" applyNumberFormat="1" applyFont="1" applyFill="1" applyBorder="1"/>
    <xf numFmtId="168" fontId="18" fillId="3" borderId="0" xfId="0" applyNumberFormat="1" applyFont="1" applyFill="1" applyBorder="1"/>
    <xf numFmtId="0" fontId="10" fillId="0" borderId="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0" xfId="0" applyFont="1" applyAlignment="1">
      <alignment horizontal="right"/>
    </xf>
    <xf numFmtId="172" fontId="10" fillId="0" borderId="0" xfId="0" applyNumberFormat="1" applyFont="1" applyAlignment="1">
      <alignment horizontal="left"/>
    </xf>
    <xf numFmtId="0" fontId="0" fillId="0" borderId="5" xfId="0" applyFont="1" applyBorder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5" xfId="0" applyFont="1" applyBorder="1" applyAlignment="1">
      <alignment horizontal="center"/>
    </xf>
    <xf numFmtId="0" fontId="10" fillId="0" borderId="4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/>
    <xf numFmtId="0" fontId="0" fillId="0" borderId="11" xfId="0" applyFont="1" applyBorder="1" applyAlignment="1">
      <alignment horizontal="left"/>
    </xf>
    <xf numFmtId="168" fontId="0" fillId="0" borderId="20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43" xfId="0" applyFont="1" applyBorder="1"/>
    <xf numFmtId="0" fontId="0" fillId="0" borderId="14" xfId="0" applyFont="1" applyBorder="1" applyAlignment="1">
      <alignment horizontal="left"/>
    </xf>
    <xf numFmtId="0" fontId="0" fillId="0" borderId="41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169" fontId="0" fillId="0" borderId="54" xfId="0" applyNumberFormat="1" applyFont="1" applyBorder="1" applyAlignment="1">
      <alignment horizontal="center"/>
    </xf>
    <xf numFmtId="169" fontId="0" fillId="0" borderId="55" xfId="0" applyNumberFormat="1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173" fontId="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0" fillId="0" borderId="0" xfId="0" applyFont="1" applyAlignment="1">
      <alignment horizontal="left"/>
    </xf>
    <xf numFmtId="170" fontId="0" fillId="0" borderId="26" xfId="0" applyNumberFormat="1" applyFont="1" applyBorder="1" applyAlignment="1">
      <alignment horizontal="right" vertical="center"/>
    </xf>
    <xf numFmtId="170" fontId="0" fillId="0" borderId="27" xfId="0" applyNumberFormat="1" applyFont="1" applyBorder="1" applyAlignment="1">
      <alignment horizontal="right" vertical="center"/>
    </xf>
    <xf numFmtId="170" fontId="0" fillId="5" borderId="27" xfId="0" applyNumberFormat="1" applyFont="1" applyFill="1" applyBorder="1" applyAlignment="1">
      <alignment horizontal="right" vertical="center"/>
    </xf>
    <xf numFmtId="49" fontId="0" fillId="0" borderId="0" xfId="0" applyNumberFormat="1" applyFont="1" applyAlignment="1">
      <alignment horizontal="center"/>
    </xf>
    <xf numFmtId="0" fontId="25" fillId="3" borderId="0" xfId="0" applyFont="1" applyFill="1" applyBorder="1" applyAlignment="1">
      <alignment horizontal="center"/>
    </xf>
    <xf numFmtId="168" fontId="25" fillId="3" borderId="0" xfId="0" applyNumberFormat="1" applyFont="1" applyFill="1" applyBorder="1" applyAlignment="1">
      <alignment horizontal="center"/>
    </xf>
    <xf numFmtId="10" fontId="25" fillId="3" borderId="0" xfId="0" applyNumberFormat="1" applyFont="1" applyFill="1" applyBorder="1" applyAlignment="1">
      <alignment horizontal="center"/>
    </xf>
    <xf numFmtId="168" fontId="25" fillId="3" borderId="0" xfId="0" applyNumberFormat="1" applyFont="1" applyFill="1" applyBorder="1" applyAlignment="1">
      <alignment horizontal="right"/>
    </xf>
    <xf numFmtId="170" fontId="25" fillId="3" borderId="0" xfId="0" applyNumberFormat="1" applyFont="1" applyFill="1" applyBorder="1" applyAlignment="1">
      <alignment horizontal="center"/>
    </xf>
    <xf numFmtId="170" fontId="0" fillId="0" borderId="5" xfId="0" applyNumberFormat="1" applyFont="1" applyBorder="1" applyAlignment="1">
      <alignment horizontal="right" vertical="center"/>
    </xf>
    <xf numFmtId="170" fontId="0" fillId="5" borderId="5" xfId="0" applyNumberFormat="1" applyFont="1" applyFill="1" applyBorder="1" applyAlignment="1">
      <alignment horizontal="right" vertical="center"/>
    </xf>
    <xf numFmtId="170" fontId="0" fillId="5" borderId="28" xfId="0" applyNumberFormat="1" applyFont="1" applyFill="1" applyBorder="1" applyAlignment="1">
      <alignment horizontal="right" vertical="center"/>
    </xf>
    <xf numFmtId="168" fontId="0" fillId="0" borderId="39" xfId="0" applyNumberFormat="1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9" fontId="0" fillId="0" borderId="35" xfId="0" applyNumberFormat="1" applyFont="1" applyBorder="1" applyAlignment="1">
      <alignment horizontal="center"/>
    </xf>
    <xf numFmtId="173" fontId="0" fillId="0" borderId="47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73" fontId="0" fillId="0" borderId="13" xfId="0" applyNumberFormat="1" applyFont="1" applyBorder="1" applyAlignment="1">
      <alignment horizontal="center"/>
    </xf>
    <xf numFmtId="173" fontId="0" fillId="0" borderId="48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167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left"/>
    </xf>
    <xf numFmtId="0" fontId="0" fillId="0" borderId="31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/>
    </xf>
    <xf numFmtId="168" fontId="0" fillId="3" borderId="1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168" fontId="11" fillId="3" borderId="1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right"/>
    </xf>
    <xf numFmtId="168" fontId="0" fillId="4" borderId="13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168" fontId="0" fillId="5" borderId="14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168" fontId="0" fillId="3" borderId="11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8" fontId="16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8" fontId="17" fillId="3" borderId="46" xfId="0" applyNumberFormat="1" applyFont="1" applyFill="1" applyBorder="1" applyAlignment="1">
      <alignment horizontal="left"/>
    </xf>
    <xf numFmtId="170" fontId="0" fillId="3" borderId="1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168" fontId="9" fillId="3" borderId="1" xfId="0" applyNumberFormat="1" applyFont="1" applyFill="1" applyBorder="1" applyAlignment="1">
      <alignment horizontal="center"/>
    </xf>
    <xf numFmtId="168" fontId="16" fillId="5" borderId="1" xfId="0" applyNumberFormat="1" applyFont="1" applyFill="1" applyBorder="1" applyAlignment="1">
      <alignment horizontal="center"/>
    </xf>
    <xf numFmtId="170" fontId="0" fillId="3" borderId="13" xfId="0" applyNumberFormat="1" applyFont="1" applyFill="1" applyBorder="1" applyAlignment="1">
      <alignment horizontal="left"/>
    </xf>
    <xf numFmtId="0" fontId="10" fillId="3" borderId="1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/>
    </xf>
    <xf numFmtId="170" fontId="0" fillId="4" borderId="13" xfId="0" applyNumberFormat="1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8" fontId="17" fillId="3" borderId="1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0" fontId="15" fillId="3" borderId="5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26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8" fontId="0" fillId="0" borderId="12" xfId="0" applyNumberFormat="1" applyFont="1" applyBorder="1" applyAlignment="1">
      <alignment horizontal="center" vertical="center"/>
    </xf>
    <xf numFmtId="168" fontId="0" fillId="0" borderId="13" xfId="0" applyNumberFormat="1" applyFont="1" applyBorder="1" applyAlignment="1">
      <alignment horizontal="center" vertical="center"/>
    </xf>
    <xf numFmtId="168" fontId="0" fillId="0" borderId="12" xfId="0" applyNumberFormat="1" applyFont="1" applyBorder="1" applyAlignment="1">
      <alignment horizontal="center"/>
    </xf>
    <xf numFmtId="168" fontId="0" fillId="0" borderId="13" xfId="0" applyNumberFormat="1" applyFont="1" applyBorder="1" applyAlignment="1">
      <alignment horizontal="center"/>
    </xf>
    <xf numFmtId="174" fontId="0" fillId="9" borderId="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8" fontId="18" fillId="0" borderId="1" xfId="0" applyNumberFormat="1" applyFont="1" applyBorder="1" applyAlignment="1">
      <alignment horizontal="center"/>
    </xf>
    <xf numFmtId="168" fontId="23" fillId="0" borderId="1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8" fontId="21" fillId="0" borderId="0" xfId="0" applyNumberFormat="1" applyFont="1" applyBorder="1" applyAlignment="1">
      <alignment horizontal="center"/>
    </xf>
    <xf numFmtId="0" fontId="0" fillId="0" borderId="56" xfId="0" applyBorder="1" applyAlignment="1">
      <alignment horizontal="left"/>
    </xf>
    <xf numFmtId="0" fontId="0" fillId="0" borderId="56" xfId="0" applyFont="1" applyBorder="1" applyAlignment="1">
      <alignment horizontal="left"/>
    </xf>
    <xf numFmtId="168" fontId="0" fillId="0" borderId="24" xfId="0" applyNumberFormat="1" applyFont="1" applyBorder="1" applyAlignment="1">
      <alignment horizontal="center"/>
    </xf>
    <xf numFmtId="168" fontId="0" fillId="0" borderId="48" xfId="0" applyNumberFormat="1" applyFont="1" applyBorder="1" applyAlignment="1">
      <alignment horizontal="center"/>
    </xf>
    <xf numFmtId="168" fontId="20" fillId="0" borderId="1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 vertical="center" textRotation="255"/>
    </xf>
    <xf numFmtId="0" fontId="10" fillId="0" borderId="36" xfId="0" applyFont="1" applyBorder="1" applyAlignment="1">
      <alignment horizontal="center" vertical="center" textRotation="255"/>
    </xf>
    <xf numFmtId="0" fontId="0" fillId="0" borderId="47" xfId="0" applyFont="1" applyBorder="1" applyAlignment="1">
      <alignment horizontal="left"/>
    </xf>
    <xf numFmtId="168" fontId="0" fillId="0" borderId="22" xfId="0" applyNumberFormat="1" applyFont="1" applyBorder="1" applyAlignment="1">
      <alignment horizontal="center"/>
    </xf>
    <xf numFmtId="168" fontId="0" fillId="0" borderId="47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0" fillId="0" borderId="3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textRotation="255"/>
    </xf>
    <xf numFmtId="0" fontId="0" fillId="0" borderId="11" xfId="0" applyFont="1" applyBorder="1" applyAlignment="1">
      <alignment horizontal="left"/>
    </xf>
    <xf numFmtId="168" fontId="0" fillId="0" borderId="53" xfId="0" applyNumberFormat="1" applyFont="1" applyBorder="1" applyAlignment="1">
      <alignment horizontal="center"/>
    </xf>
    <xf numFmtId="168" fontId="0" fillId="0" borderId="15" xfId="0" applyNumberFormat="1" applyFont="1" applyBorder="1" applyAlignment="1">
      <alignment horizontal="center"/>
    </xf>
    <xf numFmtId="168" fontId="0" fillId="0" borderId="44" xfId="0" applyNumberFormat="1" applyFont="1" applyBorder="1" applyAlignment="1">
      <alignment horizontal="center"/>
    </xf>
    <xf numFmtId="168" fontId="0" fillId="0" borderId="27" xfId="0" applyNumberFormat="1" applyFont="1" applyBorder="1" applyAlignment="1">
      <alignment horizontal="center"/>
    </xf>
    <xf numFmtId="168" fontId="0" fillId="0" borderId="57" xfId="0" applyNumberFormat="1" applyFont="1" applyBorder="1" applyAlignment="1">
      <alignment horizontal="center"/>
    </xf>
    <xf numFmtId="168" fontId="0" fillId="0" borderId="58" xfId="0" applyNumberFormat="1" applyFont="1" applyBorder="1" applyAlignment="1">
      <alignment horizontal="center"/>
    </xf>
    <xf numFmtId="168" fontId="0" fillId="0" borderId="28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8" borderId="5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9" fontId="10" fillId="0" borderId="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0" fontId="0" fillId="3" borderId="49" xfId="0" applyFont="1" applyFill="1" applyBorder="1" applyAlignment="1">
      <alignment horizontal="center"/>
    </xf>
    <xf numFmtId="9" fontId="0" fillId="1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0000"/>
        <name val="Arial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16920</xdr:colOff>
      <xdr:row>17</xdr:row>
      <xdr:rowOff>99000</xdr:rowOff>
    </xdr:from>
    <xdr:to>
      <xdr:col>6</xdr:col>
      <xdr:colOff>838080</xdr:colOff>
      <xdr:row>17</xdr:row>
      <xdr:rowOff>113040</xdr:rowOff>
    </xdr:to>
    <xdr:sp macro="" textlink="">
      <xdr:nvSpPr>
        <xdr:cNvPr id="2" name="CustomShape 1"/>
        <xdr:cNvSpPr/>
      </xdr:nvSpPr>
      <xdr:spPr>
        <a:xfrm flipV="1">
          <a:off x="4239000" y="3504240"/>
          <a:ext cx="821160" cy="14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5560">
          <a:solidFill>
            <a:srgbClr val="FF0000"/>
          </a:solidFill>
          <a:miter/>
          <a:tailEnd type="stealth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9360</xdr:colOff>
      <xdr:row>8</xdr:row>
      <xdr:rowOff>86760</xdr:rowOff>
    </xdr:from>
    <xdr:to>
      <xdr:col>7</xdr:col>
      <xdr:colOff>196560</xdr:colOff>
      <xdr:row>8</xdr:row>
      <xdr:rowOff>104040</xdr:rowOff>
    </xdr:to>
    <xdr:sp macro="" textlink="">
      <xdr:nvSpPr>
        <xdr:cNvPr id="3" name="CustomShape 1"/>
        <xdr:cNvSpPr/>
      </xdr:nvSpPr>
      <xdr:spPr>
        <a:xfrm flipV="1">
          <a:off x="4231440" y="1679040"/>
          <a:ext cx="1076760" cy="17280"/>
        </a:xfrm>
        <a:custGeom>
          <a:avLst/>
          <a:gdLst/>
          <a:ahLst/>
          <a:cxnLst/>
          <a:rect l="l" t="t" r="r" b="b"/>
          <a:pathLst>
            <a:path w="33" h="1">
              <a:moveTo>
                <a:pt x="0" y="0"/>
              </a:moveTo>
              <a:lnTo>
                <a:pt x="33" y="0"/>
              </a:lnTo>
            </a:path>
          </a:pathLst>
        </a:custGeom>
        <a:solidFill>
          <a:srgbClr val="FF0000"/>
        </a:solidFill>
        <a:ln w="25560">
          <a:solidFill>
            <a:srgbClr val="FF0000"/>
          </a:solidFill>
          <a:round/>
          <a:tailEnd type="stealth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10</xdr:row>
      <xdr:rowOff>87840</xdr:rowOff>
    </xdr:from>
    <xdr:to>
      <xdr:col>7</xdr:col>
      <xdr:colOff>164160</xdr:colOff>
      <xdr:row>10</xdr:row>
      <xdr:rowOff>98280</xdr:rowOff>
    </xdr:to>
    <xdr:sp macro="" textlink="">
      <xdr:nvSpPr>
        <xdr:cNvPr id="4" name="CustomShape 1"/>
        <xdr:cNvSpPr/>
      </xdr:nvSpPr>
      <xdr:spPr>
        <a:xfrm>
          <a:off x="4222080" y="2097360"/>
          <a:ext cx="1053720" cy="10440"/>
        </a:xfrm>
        <a:custGeom>
          <a:avLst/>
          <a:gdLst/>
          <a:ahLst/>
          <a:cxnLst/>
          <a:rect l="l" t="t" r="r" b="b"/>
          <a:pathLst>
            <a:path w="33" h="1">
              <a:moveTo>
                <a:pt x="0" y="0"/>
              </a:moveTo>
              <a:lnTo>
                <a:pt x="33" y="0"/>
              </a:lnTo>
            </a:path>
          </a:pathLst>
        </a:custGeom>
        <a:solidFill>
          <a:srgbClr val="FF0000"/>
        </a:solidFill>
        <a:ln w="25560">
          <a:solidFill>
            <a:srgbClr val="FF0000"/>
          </a:solidFill>
          <a:round/>
          <a:tailEnd type="stealth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454680</xdr:colOff>
      <xdr:row>10</xdr:row>
      <xdr:rowOff>86400</xdr:rowOff>
    </xdr:from>
    <xdr:to>
      <xdr:col>9</xdr:col>
      <xdr:colOff>271080</xdr:colOff>
      <xdr:row>10</xdr:row>
      <xdr:rowOff>148320</xdr:rowOff>
    </xdr:to>
    <xdr:sp macro="" textlink="">
      <xdr:nvSpPr>
        <xdr:cNvPr id="5" name="CustomShape 1"/>
        <xdr:cNvSpPr/>
      </xdr:nvSpPr>
      <xdr:spPr>
        <a:xfrm>
          <a:off x="6352560" y="2095920"/>
          <a:ext cx="279720" cy="61920"/>
        </a:xfrm>
        <a:custGeom>
          <a:avLst/>
          <a:gdLst/>
          <a:ahLst/>
          <a:cxnLst/>
          <a:rect l="l" t="t" r="r" b="b"/>
          <a:pathLst>
            <a:path w="33" h="1">
              <a:moveTo>
                <a:pt x="0" y="0"/>
              </a:moveTo>
              <a:lnTo>
                <a:pt x="33" y="0"/>
              </a:lnTo>
            </a:path>
          </a:pathLst>
        </a:custGeom>
        <a:solidFill>
          <a:srgbClr val="FF0000"/>
        </a:solidFill>
        <a:ln w="25560">
          <a:solidFill>
            <a:srgbClr val="FF0000"/>
          </a:solidFill>
          <a:round/>
          <a:tailEnd type="stealth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257175</xdr:colOff>
      <xdr:row>59</xdr:row>
      <xdr:rowOff>133350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257175</xdr:colOff>
      <xdr:row>59</xdr:row>
      <xdr:rowOff>133350</xdr:rowOff>
    </xdr:to>
    <xdr:sp macro="" textlink="">
      <xdr:nvSpPr>
        <xdr:cNvPr id="1028" name="Text Box 4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257175</xdr:colOff>
      <xdr:row>59</xdr:row>
      <xdr:rowOff>133350</xdr:rowOff>
    </xdr:to>
    <xdr:sp macro="" textlink="">
      <xdr:nvSpPr>
        <xdr:cNvPr id="1026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90" zoomScaleNormal="90" workbookViewId="0">
      <selection activeCell="G3" sqref="G3"/>
    </sheetView>
  </sheetViews>
  <sheetFormatPr defaultRowHeight="12.75" x14ac:dyDescent="0.2"/>
  <cols>
    <col min="1" max="1" width="11.140625" customWidth="1"/>
    <col min="2" max="2" width="11.5703125"/>
    <col min="3" max="3" width="10.85546875" customWidth="1"/>
    <col min="4" max="4" width="9.85546875" customWidth="1"/>
    <col min="5" max="5" width="8.7109375" customWidth="1"/>
    <col min="6" max="6" width="18" customWidth="1"/>
    <col min="7" max="7" width="17.140625" customWidth="1"/>
    <col min="8" max="8" width="11.5703125"/>
    <col min="9" max="9" width="12" customWidth="1"/>
    <col min="10" max="10" width="8.42578125" customWidth="1"/>
    <col min="11" max="11" width="8.7109375" customWidth="1"/>
    <col min="12" max="26" width="8" customWidth="1"/>
    <col min="27" max="1025" width="12.5703125" customWidth="1"/>
  </cols>
  <sheetData>
    <row r="1" spans="1:26" ht="27.75" customHeight="1" x14ac:dyDescent="0.5">
      <c r="A1" s="232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1"/>
    </row>
    <row r="2" spans="1:26" ht="20.25" customHeight="1" x14ac:dyDescent="0.3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customHeight="1" x14ac:dyDescent="0.3">
      <c r="A3" s="226" t="s">
        <v>1</v>
      </c>
      <c r="B3" s="226"/>
      <c r="C3" s="234">
        <v>961755362</v>
      </c>
      <c r="D3" s="234"/>
      <c r="E3" s="3"/>
      <c r="F3" s="4" t="s">
        <v>2</v>
      </c>
      <c r="G3" s="5"/>
      <c r="H3" s="221"/>
      <c r="I3" s="221"/>
      <c r="J3" s="221"/>
    </row>
    <row r="4" spans="1:26" ht="20.25" customHeight="1" x14ac:dyDescent="0.3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 x14ac:dyDescent="0.3">
      <c r="A5" s="226" t="s">
        <v>4</v>
      </c>
      <c r="B5" s="226"/>
      <c r="C5" s="229" t="s">
        <v>226</v>
      </c>
      <c r="D5" s="229"/>
      <c r="E5" s="229"/>
      <c r="F5" s="229"/>
      <c r="G5" s="229"/>
      <c r="H5" s="229"/>
      <c r="I5" s="229"/>
      <c r="J5" s="6"/>
    </row>
    <row r="6" spans="1:26" ht="20.25" customHeight="1" x14ac:dyDescent="0.3">
      <c r="A6" s="221"/>
      <c r="B6" s="221"/>
      <c r="C6" s="221"/>
      <c r="D6" s="221"/>
      <c r="E6" s="221"/>
      <c r="F6" s="221"/>
      <c r="G6" s="221"/>
      <c r="H6" s="221"/>
      <c r="I6" s="221"/>
      <c r="J6" s="2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 x14ac:dyDescent="0.3">
      <c r="A7" s="226" t="s">
        <v>5</v>
      </c>
      <c r="B7" s="226"/>
      <c r="C7" s="230"/>
      <c r="D7" s="230"/>
      <c r="E7" s="3"/>
      <c r="F7" s="4" t="s">
        <v>6</v>
      </c>
      <c r="G7" s="231" t="s">
        <v>227</v>
      </c>
      <c r="H7" s="231"/>
      <c r="I7" s="221"/>
      <c r="J7" s="221"/>
    </row>
    <row r="8" spans="1:26" ht="20.25" customHeight="1" x14ac:dyDescent="0.3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3">
      <c r="A9" s="226" t="s">
        <v>7</v>
      </c>
      <c r="B9" s="226"/>
      <c r="C9" s="226"/>
      <c r="D9" s="227"/>
      <c r="E9" s="227"/>
      <c r="F9" s="3"/>
      <c r="G9" s="4"/>
      <c r="H9" s="3"/>
      <c r="I9" s="3"/>
      <c r="J9" s="6"/>
    </row>
    <row r="10" spans="1:26" ht="18" customHeight="1" x14ac:dyDescent="0.3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3">
      <c r="A11" s="222" t="s">
        <v>8</v>
      </c>
      <c r="B11" s="222"/>
      <c r="C11" s="222"/>
      <c r="D11" s="222"/>
      <c r="E11" s="222"/>
      <c r="F11" s="222"/>
      <c r="G11" s="228" t="s">
        <v>225</v>
      </c>
      <c r="H11" s="228"/>
      <c r="I11" s="221"/>
      <c r="J11" s="221"/>
    </row>
    <row r="12" spans="1:26" ht="20.25" customHeight="1" x14ac:dyDescent="0.3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x14ac:dyDescent="0.3">
      <c r="A13" s="222" t="s">
        <v>9</v>
      </c>
      <c r="B13" s="222"/>
      <c r="C13" s="223">
        <f ca="1">TODAY()</f>
        <v>45226</v>
      </c>
      <c r="D13" s="223"/>
      <c r="E13" s="221"/>
      <c r="F13" s="221"/>
      <c r="G13" s="221"/>
      <c r="H13" s="221"/>
      <c r="I13" s="221"/>
      <c r="J13" s="221"/>
    </row>
    <row r="14" spans="1:26" ht="23.25" customHeight="1" x14ac:dyDescent="0.35">
      <c r="A14" s="224"/>
      <c r="B14" s="224"/>
      <c r="C14" s="224"/>
      <c r="D14" s="224"/>
      <c r="E14" s="224"/>
      <c r="F14" s="224"/>
      <c r="G14" s="224"/>
      <c r="H14" s="224"/>
      <c r="I14" s="224"/>
      <c r="J14" s="22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/>
    <row r="16" spans="1:26" ht="12.75" customHeight="1" x14ac:dyDescent="0.2"/>
    <row r="17" spans="6:6" ht="12.75" customHeight="1" x14ac:dyDescent="0.2">
      <c r="F17" s="7" t="s">
        <v>10</v>
      </c>
    </row>
    <row r="18" spans="6:6" ht="12.75" customHeight="1" x14ac:dyDescent="0.2">
      <c r="F18" s="8" t="s">
        <v>11</v>
      </c>
    </row>
    <row r="19" spans="6:6" ht="12.75" customHeight="1" x14ac:dyDescent="0.2">
      <c r="F19" s="9" t="s">
        <v>12</v>
      </c>
    </row>
    <row r="20" spans="6:6" ht="12.75" customHeight="1" x14ac:dyDescent="0.2">
      <c r="F20" s="9" t="s">
        <v>13</v>
      </c>
    </row>
    <row r="21" spans="6:6" ht="12.75" customHeight="1" x14ac:dyDescent="0.2">
      <c r="F21" s="9" t="s">
        <v>14</v>
      </c>
    </row>
    <row r="22" spans="6:6" ht="12.75" customHeight="1" x14ac:dyDescent="0.2">
      <c r="F22" s="9" t="s">
        <v>15</v>
      </c>
    </row>
    <row r="23" spans="6:6" ht="12.75" customHeight="1" x14ac:dyDescent="0.2">
      <c r="F23" s="9" t="s">
        <v>16</v>
      </c>
    </row>
    <row r="24" spans="6:6" ht="12.75" customHeight="1" x14ac:dyDescent="0.2">
      <c r="F24" s="9" t="s">
        <v>17</v>
      </c>
    </row>
    <row r="25" spans="6:6" ht="12.75" customHeight="1" x14ac:dyDescent="0.2">
      <c r="F25" s="9" t="s">
        <v>18</v>
      </c>
    </row>
    <row r="26" spans="6:6" ht="12.75" customHeight="1" x14ac:dyDescent="0.2">
      <c r="F26" s="9" t="s">
        <v>19</v>
      </c>
    </row>
    <row r="27" spans="6:6" ht="12.75" customHeight="1" x14ac:dyDescent="0.2">
      <c r="F27" s="9" t="s">
        <v>20</v>
      </c>
    </row>
    <row r="28" spans="6:6" ht="12.75" customHeight="1" x14ac:dyDescent="0.2">
      <c r="F28" s="9" t="s">
        <v>21</v>
      </c>
    </row>
    <row r="29" spans="6:6" ht="12.75" customHeight="1" x14ac:dyDescent="0.2">
      <c r="F29" s="9" t="s">
        <v>22</v>
      </c>
    </row>
    <row r="30" spans="6:6" ht="12.75" customHeight="1" x14ac:dyDescent="0.2">
      <c r="F30" s="9" t="s">
        <v>23</v>
      </c>
    </row>
    <row r="31" spans="6:6" ht="12.75" customHeight="1" x14ac:dyDescent="0.2">
      <c r="F31" s="9" t="s">
        <v>24</v>
      </c>
    </row>
    <row r="32" spans="6:6" ht="12.75" customHeight="1" x14ac:dyDescent="0.2">
      <c r="F32" s="9" t="s">
        <v>25</v>
      </c>
    </row>
    <row r="33" spans="6:6" ht="12.75" customHeight="1" x14ac:dyDescent="0.2">
      <c r="F33" s="9" t="s">
        <v>26</v>
      </c>
    </row>
    <row r="34" spans="6:6" ht="12.75" customHeight="1" x14ac:dyDescent="0.2">
      <c r="F34" s="9" t="s">
        <v>27</v>
      </c>
    </row>
    <row r="35" spans="6:6" ht="12.75" customHeight="1" x14ac:dyDescent="0.2">
      <c r="F35" s="9" t="s">
        <v>3</v>
      </c>
    </row>
    <row r="36" spans="6:6" ht="12.75" customHeight="1" x14ac:dyDescent="0.2">
      <c r="F36" s="9" t="s">
        <v>28</v>
      </c>
    </row>
    <row r="37" spans="6:6" ht="12.75" customHeight="1" x14ac:dyDescent="0.2">
      <c r="F37" s="9" t="s">
        <v>29</v>
      </c>
    </row>
    <row r="38" spans="6:6" ht="12.75" customHeight="1" x14ac:dyDescent="0.2">
      <c r="F38" s="9" t="s">
        <v>30</v>
      </c>
    </row>
    <row r="39" spans="6:6" ht="12.75" customHeight="1" x14ac:dyDescent="0.2">
      <c r="F39" s="9" t="s">
        <v>31</v>
      </c>
    </row>
    <row r="40" spans="6:6" ht="12.75" customHeight="1" x14ac:dyDescent="0.2">
      <c r="F40" s="9" t="s">
        <v>32</v>
      </c>
    </row>
    <row r="41" spans="6:6" ht="12.75" customHeight="1" x14ac:dyDescent="0.2">
      <c r="F41" s="9" t="s">
        <v>33</v>
      </c>
    </row>
    <row r="42" spans="6:6" ht="12.75" customHeight="1" x14ac:dyDescent="0.2">
      <c r="F42" s="9" t="s">
        <v>34</v>
      </c>
    </row>
    <row r="43" spans="6:6" ht="12.75" customHeight="1" x14ac:dyDescent="0.2">
      <c r="F43" s="9" t="s">
        <v>35</v>
      </c>
    </row>
    <row r="44" spans="6:6" ht="12.75" customHeight="1" x14ac:dyDescent="0.2">
      <c r="F44" s="9" t="s">
        <v>36</v>
      </c>
    </row>
    <row r="45" spans="6:6" ht="12.75" customHeight="1" x14ac:dyDescent="0.2">
      <c r="F45" s="9" t="s">
        <v>37</v>
      </c>
    </row>
    <row r="46" spans="6:6" ht="12.75" customHeight="1" x14ac:dyDescent="0.2">
      <c r="F46" s="9" t="s">
        <v>38</v>
      </c>
    </row>
    <row r="47" spans="6:6" ht="12.75" customHeight="1" x14ac:dyDescent="0.2">
      <c r="F47" s="9" t="s">
        <v>39</v>
      </c>
    </row>
    <row r="48" spans="6:6" ht="12.75" customHeight="1" x14ac:dyDescent="0.2">
      <c r="F48" s="9" t="s">
        <v>40</v>
      </c>
    </row>
    <row r="49" spans="6:6" ht="12.75" customHeight="1" x14ac:dyDescent="0.2">
      <c r="F49" s="9" t="s">
        <v>41</v>
      </c>
    </row>
    <row r="50" spans="6:6" ht="12.75" customHeight="1" x14ac:dyDescent="0.2">
      <c r="F50" s="9" t="s">
        <v>42</v>
      </c>
    </row>
    <row r="51" spans="6:6" ht="12.75" customHeight="1" x14ac:dyDescent="0.2">
      <c r="F51" s="9" t="s">
        <v>43</v>
      </c>
    </row>
    <row r="52" spans="6:6" ht="12.75" customHeight="1" x14ac:dyDescent="0.2"/>
    <row r="53" spans="6:6" ht="12.75" customHeight="1" x14ac:dyDescent="0.2"/>
    <row r="54" spans="6:6" ht="12.75" customHeight="1" x14ac:dyDescent="0.2"/>
    <row r="55" spans="6:6" ht="12.75" customHeight="1" x14ac:dyDescent="0.2"/>
    <row r="56" spans="6:6" ht="12.75" customHeight="1" x14ac:dyDescent="0.2"/>
    <row r="57" spans="6:6" ht="12.75" customHeight="1" x14ac:dyDescent="0.2"/>
    <row r="58" spans="6:6" ht="12.75" customHeight="1" x14ac:dyDescent="0.2"/>
    <row r="59" spans="6:6" ht="12.75" customHeight="1" x14ac:dyDescent="0.2"/>
    <row r="60" spans="6:6" ht="12.75" customHeight="1" x14ac:dyDescent="0.2"/>
    <row r="61" spans="6:6" ht="12.75" customHeight="1" x14ac:dyDescent="0.2"/>
    <row r="62" spans="6:6" ht="12.75" customHeight="1" x14ac:dyDescent="0.2"/>
    <row r="63" spans="6:6" ht="12.75" customHeight="1" x14ac:dyDescent="0.2"/>
    <row r="64" spans="6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5">
    <mergeCell ref="A1:J1"/>
    <mergeCell ref="A2:J2"/>
    <mergeCell ref="A3:B3"/>
    <mergeCell ref="C3:D3"/>
    <mergeCell ref="H3:J3"/>
    <mergeCell ref="A4:J4"/>
    <mergeCell ref="A5:B5"/>
    <mergeCell ref="C5:I5"/>
    <mergeCell ref="A6:J6"/>
    <mergeCell ref="A7:B7"/>
    <mergeCell ref="C7:D7"/>
    <mergeCell ref="G7:H7"/>
    <mergeCell ref="I7:J7"/>
    <mergeCell ref="A8:J8"/>
    <mergeCell ref="A9:C9"/>
    <mergeCell ref="D9:E9"/>
    <mergeCell ref="A10:J10"/>
    <mergeCell ref="A11:F11"/>
    <mergeCell ref="G11:H11"/>
    <mergeCell ref="I11:J11"/>
    <mergeCell ref="A12:J12"/>
    <mergeCell ref="A13:B13"/>
    <mergeCell ref="C13:D13"/>
    <mergeCell ref="E13:J13"/>
    <mergeCell ref="A14:J14"/>
  </mergeCells>
  <dataValidations count="2">
    <dataValidation type="list" allowBlank="1" showInputMessage="1" showErrorMessage="1" prompt=" - " sqref="G3">
      <formula1>$F$18:$F$5149</formula1>
      <formula2>0</formula2>
    </dataValidation>
    <dataValidation type="list" operator="equal" allowBlank="1" showErrorMessage="1" sqref="G11">
      <formula1>"Jan/2023,Fev/2023,Mar/2023,Abr/2023,Mai/2023,Jun/2023,Jul/2023,Ago/2023,Set/2023,Out/2023,Nov/2023,Dez/2023"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16" zoomScaleNormal="100" workbookViewId="0">
      <selection activeCell="J12" sqref="J12"/>
    </sheetView>
  </sheetViews>
  <sheetFormatPr defaultRowHeight="12.75" x14ac:dyDescent="0.2"/>
  <cols>
    <col min="1" max="1" width="11.42578125" customWidth="1"/>
    <col min="2" max="3" width="8.7109375" customWidth="1"/>
    <col min="4" max="4" width="6.5703125" customWidth="1"/>
    <col min="5" max="5" width="8.7109375" customWidth="1"/>
    <col min="6" max="6" width="15.7109375" customWidth="1"/>
    <col min="7" max="7" width="12.5703125" customWidth="1"/>
    <col min="8" max="8" width="11.140625" customWidth="1"/>
    <col min="9" max="9" width="6.5703125" customWidth="1"/>
    <col min="10" max="10" width="10.5703125" customWidth="1"/>
    <col min="11" max="11" width="16.42578125" customWidth="1"/>
    <col min="12" max="12" width="8.7109375" customWidth="1"/>
    <col min="13" max="13" width="18" customWidth="1"/>
    <col min="14" max="14" width="11.7109375" customWidth="1"/>
    <col min="15" max="16" width="8.7109375" customWidth="1"/>
    <col min="17" max="26" width="8" customWidth="1"/>
    <col min="27" max="1025" width="12.5703125" customWidth="1"/>
  </cols>
  <sheetData>
    <row r="1" spans="1:13" ht="22.5" customHeight="1" x14ac:dyDescent="0.45">
      <c r="A1" s="10"/>
      <c r="B1" s="262" t="s">
        <v>44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10"/>
    </row>
    <row r="2" spans="1:13" ht="12.75" customHeight="1" x14ac:dyDescent="0.2">
      <c r="A2" s="10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10"/>
    </row>
    <row r="3" spans="1:13" ht="12.75" customHeight="1" x14ac:dyDescent="0.2">
      <c r="A3" s="10"/>
      <c r="B3" s="264" t="s">
        <v>45</v>
      </c>
      <c r="C3" s="264"/>
      <c r="D3" s="264"/>
      <c r="E3" s="265" t="s">
        <v>46</v>
      </c>
      <c r="F3" s="265"/>
      <c r="G3" s="266"/>
      <c r="H3" s="11" t="s">
        <v>47</v>
      </c>
      <c r="I3" s="13"/>
      <c r="J3" s="13"/>
      <c r="K3" s="12"/>
      <c r="L3" s="14"/>
      <c r="M3" s="10"/>
    </row>
    <row r="4" spans="1:13" ht="15.75" customHeight="1" x14ac:dyDescent="0.25">
      <c r="A4" s="10"/>
      <c r="B4" s="267" t="s">
        <v>48</v>
      </c>
      <c r="C4" s="267"/>
      <c r="D4" s="267"/>
      <c r="E4" s="268">
        <f>(K4*H4)*(H16/J16)</f>
        <v>3825</v>
      </c>
      <c r="F4" s="268"/>
      <c r="G4" s="266"/>
      <c r="H4" s="349">
        <v>1</v>
      </c>
      <c r="I4" s="10"/>
      <c r="J4" s="15" t="s">
        <v>49</v>
      </c>
      <c r="K4" s="16">
        <v>3825</v>
      </c>
      <c r="L4" s="17"/>
      <c r="M4" s="10"/>
    </row>
    <row r="5" spans="1:13" ht="15.75" customHeight="1" x14ac:dyDescent="0.25">
      <c r="A5" s="10"/>
      <c r="B5" s="269" t="s">
        <v>50</v>
      </c>
      <c r="C5" s="269"/>
      <c r="D5" s="269"/>
      <c r="E5" s="251">
        <f>E4*H5</f>
        <v>1224</v>
      </c>
      <c r="F5" s="251"/>
      <c r="G5" s="266"/>
      <c r="H5" s="18">
        <v>0.32</v>
      </c>
      <c r="I5" s="10"/>
      <c r="J5" s="10"/>
      <c r="K5" s="10"/>
      <c r="L5" s="17"/>
      <c r="M5" s="10"/>
    </row>
    <row r="6" spans="1:13" ht="15.75" customHeight="1" x14ac:dyDescent="0.25">
      <c r="A6" s="10"/>
      <c r="B6" s="257" t="s">
        <v>51</v>
      </c>
      <c r="C6" s="257"/>
      <c r="D6" s="257"/>
      <c r="E6" s="251">
        <f>E4*H6</f>
        <v>2601</v>
      </c>
      <c r="F6" s="251"/>
      <c r="G6" s="266"/>
      <c r="H6" s="18">
        <v>0.68</v>
      </c>
      <c r="I6" s="10"/>
      <c r="J6" s="10"/>
      <c r="K6" s="10"/>
      <c r="L6" s="17"/>
      <c r="M6" s="10"/>
    </row>
    <row r="7" spans="1:13" ht="15.75" customHeight="1" x14ac:dyDescent="0.25">
      <c r="A7" s="10"/>
      <c r="B7" s="257" t="s">
        <v>52</v>
      </c>
      <c r="C7" s="257"/>
      <c r="D7" s="257"/>
      <c r="E7" s="251">
        <f>E4*H7</f>
        <v>191.25</v>
      </c>
      <c r="F7" s="251"/>
      <c r="G7" s="266"/>
      <c r="H7" s="18">
        <v>0.05</v>
      </c>
      <c r="I7" s="10"/>
      <c r="J7" s="10"/>
      <c r="K7" s="10"/>
      <c r="L7" s="17"/>
      <c r="M7" s="10"/>
    </row>
    <row r="8" spans="1:13" ht="15.75" customHeight="1" x14ac:dyDescent="0.25">
      <c r="A8" s="10"/>
      <c r="B8" s="257" t="s">
        <v>53</v>
      </c>
      <c r="C8" s="257"/>
      <c r="D8" s="257"/>
      <c r="E8" s="251">
        <f>E4*H8</f>
        <v>956.25</v>
      </c>
      <c r="F8" s="251"/>
      <c r="G8" s="266"/>
      <c r="H8" s="18">
        <v>0.25</v>
      </c>
      <c r="I8" s="10"/>
      <c r="J8" s="10"/>
      <c r="K8" s="10"/>
      <c r="L8" s="17"/>
      <c r="M8" s="10"/>
    </row>
    <row r="9" spans="1:13" ht="15.75" customHeight="1" x14ac:dyDescent="0.25">
      <c r="A9" s="10"/>
      <c r="B9" s="257" t="s">
        <v>54</v>
      </c>
      <c r="C9" s="257"/>
      <c r="D9" s="257"/>
      <c r="E9" s="251">
        <f>K9*0.16</f>
        <v>0.32</v>
      </c>
      <c r="F9" s="251"/>
      <c r="G9" s="10"/>
      <c r="H9" s="258" t="s">
        <v>55</v>
      </c>
      <c r="I9" s="258"/>
      <c r="J9" s="258"/>
      <c r="K9" s="19">
        <v>2</v>
      </c>
      <c r="L9" s="17"/>
      <c r="M9" s="10"/>
    </row>
    <row r="10" spans="1:13" ht="15.75" customHeight="1" x14ac:dyDescent="0.25">
      <c r="A10" s="10"/>
      <c r="B10" s="257" t="s">
        <v>224</v>
      </c>
      <c r="C10" s="257"/>
      <c r="D10" s="257"/>
      <c r="E10" s="259">
        <v>0</v>
      </c>
      <c r="F10" s="259"/>
      <c r="G10" s="10"/>
      <c r="H10" s="20"/>
      <c r="I10" s="10"/>
      <c r="J10" s="10"/>
      <c r="K10" s="10"/>
      <c r="L10" s="17"/>
      <c r="M10" s="10"/>
    </row>
    <row r="11" spans="1:13" ht="15.75" customHeight="1" x14ac:dyDescent="0.25">
      <c r="A11" s="10"/>
      <c r="B11" s="257" t="s">
        <v>56</v>
      </c>
      <c r="C11" s="257"/>
      <c r="D11" s="257"/>
      <c r="E11" s="251">
        <f>((K11*20%)/20)*I11*H16</f>
        <v>0</v>
      </c>
      <c r="F11" s="251"/>
      <c r="G11" s="10"/>
      <c r="H11" s="15" t="s">
        <v>57</v>
      </c>
      <c r="I11" s="19">
        <v>0</v>
      </c>
      <c r="J11" s="15" t="s">
        <v>49</v>
      </c>
      <c r="K11" s="16">
        <v>1765</v>
      </c>
      <c r="L11" s="17"/>
      <c r="M11" s="10"/>
    </row>
    <row r="12" spans="1:13" ht="15.75" customHeight="1" x14ac:dyDescent="0.25">
      <c r="A12" s="10"/>
      <c r="B12" s="260" t="s">
        <v>223</v>
      </c>
      <c r="C12" s="260"/>
      <c r="D12" s="260"/>
      <c r="E12" s="261">
        <f>IF(G12="(Sim)",(E4+E5+E6+E7+E8+E11)*0.3,0)</f>
        <v>0</v>
      </c>
      <c r="F12" s="261"/>
      <c r="G12" s="21" t="s">
        <v>59</v>
      </c>
      <c r="H12" s="20"/>
      <c r="I12" s="10"/>
      <c r="J12" s="10"/>
      <c r="K12" s="10"/>
      <c r="L12" s="17"/>
      <c r="M12" s="10"/>
    </row>
    <row r="13" spans="1:13" ht="15.75" customHeight="1" x14ac:dyDescent="0.25">
      <c r="A13" s="10"/>
      <c r="B13" s="250" t="s">
        <v>58</v>
      </c>
      <c r="C13" s="250"/>
      <c r="D13" s="250"/>
      <c r="E13" s="251">
        <f>IF(G13="(Sim)",(SUM(E4:F12)-E9),0)</f>
        <v>0</v>
      </c>
      <c r="F13" s="251"/>
      <c r="G13" s="21" t="s">
        <v>59</v>
      </c>
      <c r="H13" s="20"/>
      <c r="I13" s="10"/>
      <c r="J13" s="10"/>
      <c r="K13" s="10"/>
      <c r="L13" s="17"/>
      <c r="M13" s="10"/>
    </row>
    <row r="14" spans="1:13" ht="15.75" customHeight="1" x14ac:dyDescent="0.25">
      <c r="A14" s="10"/>
      <c r="B14" s="22"/>
      <c r="C14" s="23"/>
      <c r="D14" s="23"/>
      <c r="E14" s="24"/>
      <c r="F14" s="24"/>
      <c r="G14" s="10"/>
      <c r="H14" s="20"/>
      <c r="I14" s="10"/>
      <c r="J14" s="10"/>
      <c r="K14" s="10"/>
      <c r="L14" s="17"/>
      <c r="M14" s="10"/>
    </row>
    <row r="15" spans="1:13" ht="15.75" customHeight="1" x14ac:dyDescent="0.25">
      <c r="A15" s="10"/>
      <c r="B15" s="25"/>
      <c r="C15" s="26"/>
      <c r="D15" s="26"/>
      <c r="E15" s="27"/>
      <c r="F15" s="27"/>
      <c r="G15" s="26"/>
      <c r="H15" s="26"/>
      <c r="I15" s="12" t="s">
        <v>60</v>
      </c>
      <c r="J15" s="26"/>
      <c r="K15" s="26"/>
      <c r="L15" s="28"/>
      <c r="M15" s="10"/>
    </row>
    <row r="16" spans="1:13" ht="16.5" customHeight="1" x14ac:dyDescent="0.25">
      <c r="A16" s="10"/>
      <c r="B16" s="252" t="s">
        <v>61</v>
      </c>
      <c r="C16" s="252"/>
      <c r="D16" s="252"/>
      <c r="E16" s="253">
        <f>(E4+E5+E6+E7+E8+E9+E10+E11+E12+E13)</f>
        <v>8797.82</v>
      </c>
      <c r="F16" s="253"/>
      <c r="G16" s="10"/>
      <c r="H16" s="19">
        <v>1</v>
      </c>
      <c r="I16" s="29" t="s">
        <v>62</v>
      </c>
      <c r="J16" s="19">
        <v>1</v>
      </c>
      <c r="K16" s="10"/>
      <c r="L16" s="17"/>
      <c r="M16" s="10"/>
    </row>
    <row r="17" spans="1:16" ht="15.75" customHeight="1" x14ac:dyDescent="0.25">
      <c r="A17" s="10"/>
      <c r="B17" s="22"/>
      <c r="C17" s="23"/>
      <c r="D17" s="23"/>
      <c r="E17" s="24"/>
      <c r="F17" s="24"/>
      <c r="G17" s="10"/>
      <c r="H17" s="10"/>
      <c r="I17" s="10"/>
      <c r="J17" s="10"/>
      <c r="K17" s="10"/>
      <c r="L17" s="17"/>
      <c r="M17" s="10"/>
    </row>
    <row r="18" spans="1:16" ht="15.75" customHeight="1" x14ac:dyDescent="0.25">
      <c r="A18" s="10"/>
      <c r="B18" s="254" t="s">
        <v>63</v>
      </c>
      <c r="C18" s="254"/>
      <c r="D18" s="254"/>
      <c r="E18" s="253">
        <f>IF(H18="Sim",(E16-E9-E13)/2,0)</f>
        <v>0</v>
      </c>
      <c r="F18" s="253"/>
      <c r="G18" s="10"/>
      <c r="H18" s="30" t="s">
        <v>64</v>
      </c>
      <c r="I18" s="10"/>
      <c r="J18" s="10"/>
      <c r="K18" s="10"/>
      <c r="L18" s="17"/>
      <c r="M18" s="10"/>
    </row>
    <row r="19" spans="1:16" ht="12.75" customHeight="1" x14ac:dyDescent="0.2">
      <c r="A19" s="10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10"/>
    </row>
    <row r="20" spans="1:1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5" spans="1:16" ht="12.75" customHeight="1" x14ac:dyDescent="0.2">
      <c r="O25" s="255"/>
      <c r="P25" s="255"/>
    </row>
    <row r="26" spans="1:16" ht="15.75" customHeight="1" x14ac:dyDescent="0.25">
      <c r="A26" s="245" t="s">
        <v>65</v>
      </c>
      <c r="B26" s="245"/>
      <c r="C26" s="245"/>
      <c r="E26" s="256" t="s">
        <v>50</v>
      </c>
      <c r="F26" s="256"/>
      <c r="G26" s="256"/>
    </row>
    <row r="27" spans="1:16" ht="12.75" customHeight="1" x14ac:dyDescent="0.2">
      <c r="A27" s="242" t="s">
        <v>66</v>
      </c>
      <c r="B27" s="242"/>
      <c r="C27" s="34">
        <v>0.28000000000000003</v>
      </c>
      <c r="E27" s="244" t="s">
        <v>67</v>
      </c>
      <c r="F27" s="244"/>
      <c r="G27" s="35">
        <v>0.41</v>
      </c>
      <c r="I27" s="249" t="s">
        <v>10</v>
      </c>
      <c r="J27" s="249"/>
      <c r="K27" s="36" t="s">
        <v>48</v>
      </c>
    </row>
    <row r="28" spans="1:16" ht="12.75" customHeight="1" x14ac:dyDescent="0.2">
      <c r="A28" s="242" t="s">
        <v>68</v>
      </c>
      <c r="B28" s="242"/>
      <c r="C28" s="34">
        <v>0.25</v>
      </c>
      <c r="E28" s="244" t="s">
        <v>69</v>
      </c>
      <c r="F28" s="244"/>
      <c r="G28" s="35">
        <v>0.38</v>
      </c>
      <c r="I28" s="238" t="s">
        <v>70</v>
      </c>
      <c r="J28" s="238"/>
      <c r="K28" s="38">
        <f>Tabelas!C4</f>
        <v>14030</v>
      </c>
    </row>
    <row r="29" spans="1:16" ht="12.75" customHeight="1" x14ac:dyDescent="0.2">
      <c r="A29" s="242" t="s">
        <v>71</v>
      </c>
      <c r="B29" s="242"/>
      <c r="C29" s="34">
        <v>0.22</v>
      </c>
      <c r="E29" s="244" t="s">
        <v>72</v>
      </c>
      <c r="F29" s="244"/>
      <c r="G29" s="35">
        <v>0.35</v>
      </c>
      <c r="I29" s="238" t="s">
        <v>12</v>
      </c>
      <c r="J29" s="238"/>
      <c r="K29" s="38">
        <f>Tabelas!C5</f>
        <v>13471</v>
      </c>
    </row>
    <row r="30" spans="1:16" ht="12.75" customHeight="1" x14ac:dyDescent="0.2">
      <c r="A30" s="242" t="s">
        <v>73</v>
      </c>
      <c r="B30" s="242"/>
      <c r="C30" s="34">
        <v>0.19</v>
      </c>
      <c r="E30" s="247" t="s">
        <v>74</v>
      </c>
      <c r="F30" s="247"/>
      <c r="G30" s="35">
        <v>0.32</v>
      </c>
      <c r="I30" s="37" t="s">
        <v>13</v>
      </c>
      <c r="J30" s="40"/>
      <c r="K30" s="41">
        <f>Tabelas!C6</f>
        <v>12912</v>
      </c>
    </row>
    <row r="31" spans="1:16" ht="12.75" customHeight="1" x14ac:dyDescent="0.2">
      <c r="A31" s="242" t="s">
        <v>75</v>
      </c>
      <c r="B31" s="242"/>
      <c r="C31" s="34">
        <v>0.16</v>
      </c>
      <c r="E31" s="247" t="s">
        <v>76</v>
      </c>
      <c r="F31" s="247"/>
      <c r="G31" s="35">
        <v>0.26</v>
      </c>
      <c r="I31" s="238" t="s">
        <v>14</v>
      </c>
      <c r="J31" s="238"/>
      <c r="K31" s="41">
        <f>Tabelas!C7</f>
        <v>12490</v>
      </c>
    </row>
    <row r="32" spans="1:16" ht="12.75" customHeight="1" x14ac:dyDescent="0.2">
      <c r="A32" s="242" t="s">
        <v>77</v>
      </c>
      <c r="B32" s="242"/>
      <c r="C32" s="34">
        <v>0.13</v>
      </c>
      <c r="E32" s="247" t="s">
        <v>78</v>
      </c>
      <c r="F32" s="247"/>
      <c r="G32" s="35">
        <v>0.2</v>
      </c>
      <c r="I32" s="238" t="s">
        <v>15</v>
      </c>
      <c r="J32" s="238"/>
      <c r="K32" s="41">
        <f>Tabelas!C8</f>
        <v>11451</v>
      </c>
    </row>
    <row r="33" spans="1:14" ht="12.75" customHeight="1" x14ac:dyDescent="0.2">
      <c r="A33" s="243" t="s">
        <v>79</v>
      </c>
      <c r="B33" s="243"/>
      <c r="C33" s="42">
        <v>0</v>
      </c>
      <c r="E33" s="247" t="s">
        <v>80</v>
      </c>
      <c r="F33" s="247"/>
      <c r="G33" s="35">
        <v>0.12</v>
      </c>
      <c r="I33" s="238" t="s">
        <v>16</v>
      </c>
      <c r="J33" s="238"/>
      <c r="K33" s="41">
        <f>Tabelas!C9</f>
        <v>11250</v>
      </c>
      <c r="N33" s="43"/>
    </row>
    <row r="34" spans="1:14" ht="12.75" customHeight="1" x14ac:dyDescent="0.2">
      <c r="B34" s="246"/>
      <c r="C34" s="246"/>
      <c r="E34" s="247" t="s">
        <v>81</v>
      </c>
      <c r="F34" s="247"/>
      <c r="G34" s="35">
        <v>0.06</v>
      </c>
      <c r="I34" s="238" t="s">
        <v>17</v>
      </c>
      <c r="J34" s="238"/>
      <c r="K34" s="41">
        <f>Tabelas!C10</f>
        <v>11088</v>
      </c>
      <c r="N34" s="43"/>
    </row>
    <row r="35" spans="1:14" ht="12.75" customHeight="1" x14ac:dyDescent="0.2">
      <c r="B35" s="2"/>
      <c r="C35" s="2"/>
      <c r="E35" s="244" t="s">
        <v>82</v>
      </c>
      <c r="F35" s="244"/>
      <c r="G35" s="35">
        <v>0.05</v>
      </c>
      <c r="I35" s="238" t="s">
        <v>18</v>
      </c>
      <c r="J35" s="238"/>
      <c r="K35" s="41">
        <f>Tabelas!C11</f>
        <v>9135</v>
      </c>
      <c r="N35" s="43"/>
    </row>
    <row r="36" spans="1:14" ht="12.75" customHeight="1" x14ac:dyDescent="0.2">
      <c r="E36" s="244" t="s">
        <v>83</v>
      </c>
      <c r="F36" s="244"/>
      <c r="G36" s="35">
        <v>0.05</v>
      </c>
      <c r="I36" s="238" t="s">
        <v>19</v>
      </c>
      <c r="J36" s="238"/>
      <c r="K36" s="41">
        <f>Tabelas!C12</f>
        <v>8245</v>
      </c>
      <c r="N36" s="43"/>
    </row>
    <row r="37" spans="1:14" ht="12.75" customHeight="1" x14ac:dyDescent="0.2">
      <c r="A37" s="248" t="s">
        <v>84</v>
      </c>
      <c r="B37" s="248"/>
      <c r="C37" s="248"/>
      <c r="E37" s="247" t="s">
        <v>85</v>
      </c>
      <c r="F37" s="247"/>
      <c r="G37" s="35">
        <v>0.32</v>
      </c>
      <c r="I37" s="238" t="s">
        <v>20</v>
      </c>
      <c r="J37" s="238"/>
      <c r="K37" s="41">
        <f>Tabelas!C13</f>
        <v>7490</v>
      </c>
      <c r="N37" s="43"/>
    </row>
    <row r="38" spans="1:14" ht="12.75" customHeight="1" x14ac:dyDescent="0.2">
      <c r="A38" s="242" t="s">
        <v>86</v>
      </c>
      <c r="B38" s="242"/>
      <c r="C38" s="44">
        <v>0.73</v>
      </c>
      <c r="E38" s="244" t="s">
        <v>87</v>
      </c>
      <c r="F38" s="244"/>
      <c r="G38" s="35">
        <v>0.2</v>
      </c>
      <c r="I38" s="238" t="s">
        <v>21</v>
      </c>
      <c r="J38" s="238"/>
      <c r="K38" s="41">
        <f>Tabelas!C14</f>
        <v>7315</v>
      </c>
    </row>
    <row r="39" spans="1:14" ht="12.75" customHeight="1" x14ac:dyDescent="0.2">
      <c r="A39" s="242" t="s">
        <v>88</v>
      </c>
      <c r="B39" s="242"/>
      <c r="C39" s="45">
        <v>0.68</v>
      </c>
      <c r="E39" s="244" t="s">
        <v>89</v>
      </c>
      <c r="F39" s="244"/>
      <c r="G39" s="35">
        <v>0.12</v>
      </c>
      <c r="I39" s="238" t="s">
        <v>90</v>
      </c>
      <c r="J39" s="238"/>
      <c r="K39" s="41">
        <f>Tabelas!C15</f>
        <v>1630</v>
      </c>
    </row>
    <row r="40" spans="1:14" ht="12.75" customHeight="1" x14ac:dyDescent="0.2">
      <c r="A40" s="242" t="s">
        <v>91</v>
      </c>
      <c r="B40" s="242"/>
      <c r="C40" s="45">
        <v>0.45</v>
      </c>
      <c r="E40" s="244" t="s">
        <v>92</v>
      </c>
      <c r="F40" s="244"/>
      <c r="G40" s="35">
        <v>0.26</v>
      </c>
      <c r="I40" s="238" t="s">
        <v>23</v>
      </c>
      <c r="J40" s="238"/>
      <c r="K40" s="41">
        <f>Tabelas!C16</f>
        <v>1334</v>
      </c>
    </row>
    <row r="41" spans="1:14" ht="12.75" customHeight="1" x14ac:dyDescent="0.2">
      <c r="A41" s="242" t="s">
        <v>93</v>
      </c>
      <c r="B41" s="242"/>
      <c r="C41" s="45">
        <v>0.27</v>
      </c>
      <c r="E41" s="244" t="s">
        <v>94</v>
      </c>
      <c r="F41" s="244"/>
      <c r="G41" s="35">
        <v>0.06</v>
      </c>
      <c r="I41" s="238" t="s">
        <v>24</v>
      </c>
      <c r="J41" s="238"/>
      <c r="K41" s="41">
        <f>Tabelas!C17</f>
        <v>1334</v>
      </c>
    </row>
    <row r="42" spans="1:14" ht="12.75" customHeight="1" x14ac:dyDescent="0.2">
      <c r="A42" s="242" t="s">
        <v>95</v>
      </c>
      <c r="B42" s="242"/>
      <c r="C42" s="45">
        <v>0.12</v>
      </c>
      <c r="E42" s="244" t="s">
        <v>96</v>
      </c>
      <c r="F42" s="244"/>
      <c r="G42" s="35">
        <v>0.16</v>
      </c>
      <c r="I42" s="238" t="s">
        <v>25</v>
      </c>
      <c r="J42" s="238"/>
      <c r="K42" s="41">
        <f>Tabelas!C18</f>
        <v>1199</v>
      </c>
    </row>
    <row r="43" spans="1:14" ht="12.75" customHeight="1" x14ac:dyDescent="0.2">
      <c r="A43" s="243" t="s">
        <v>79</v>
      </c>
      <c r="B43" s="243"/>
      <c r="C43" s="46">
        <v>0</v>
      </c>
      <c r="E43" s="244" t="s">
        <v>97</v>
      </c>
      <c r="F43" s="244"/>
      <c r="G43" s="35">
        <v>0.06</v>
      </c>
      <c r="I43" s="238" t="s">
        <v>26</v>
      </c>
      <c r="J43" s="238"/>
      <c r="K43" s="41">
        <f>Tabelas!C19</f>
        <v>1199</v>
      </c>
    </row>
    <row r="44" spans="1:14" ht="12.75" customHeight="1" x14ac:dyDescent="0.2">
      <c r="E44" s="244" t="s">
        <v>98</v>
      </c>
      <c r="F44" s="244"/>
      <c r="G44" s="35">
        <v>0.05</v>
      </c>
      <c r="I44" s="238" t="s">
        <v>27</v>
      </c>
      <c r="J44" s="238"/>
      <c r="K44" s="41">
        <f>Tabelas!C20</f>
        <v>1185</v>
      </c>
    </row>
    <row r="45" spans="1:14" ht="12.75" customHeight="1" x14ac:dyDescent="0.2">
      <c r="G45" s="47">
        <v>0</v>
      </c>
      <c r="I45" s="238" t="s">
        <v>3</v>
      </c>
      <c r="J45" s="238"/>
      <c r="K45" s="41">
        <f>Tabelas!C21</f>
        <v>6169</v>
      </c>
    </row>
    <row r="46" spans="1:14" ht="12.75" customHeight="1" x14ac:dyDescent="0.2">
      <c r="I46" s="238" t="s">
        <v>28</v>
      </c>
      <c r="J46" s="238"/>
      <c r="K46" s="41">
        <f>Tabelas!C22</f>
        <v>5483</v>
      </c>
    </row>
    <row r="47" spans="1:14" ht="12.75" customHeight="1" x14ac:dyDescent="0.2">
      <c r="A47" s="245" t="s">
        <v>99</v>
      </c>
      <c r="B47" s="245"/>
      <c r="C47" s="245"/>
      <c r="I47" s="238" t="s">
        <v>29</v>
      </c>
      <c r="J47" s="238"/>
      <c r="K47" s="41">
        <f>Tabelas!C23</f>
        <v>4770</v>
      </c>
    </row>
    <row r="48" spans="1:14" ht="12.75" customHeight="1" x14ac:dyDescent="0.2">
      <c r="A48" s="242" t="s">
        <v>100</v>
      </c>
      <c r="B48" s="242"/>
      <c r="C48" s="34">
        <v>0.05</v>
      </c>
      <c r="I48" s="238" t="s">
        <v>30</v>
      </c>
      <c r="J48" s="238"/>
      <c r="K48" s="41">
        <f>Tabelas!C24</f>
        <v>3825</v>
      </c>
    </row>
    <row r="49" spans="1:11" ht="12.75" customHeight="1" x14ac:dyDescent="0.2">
      <c r="A49" s="242" t="s">
        <v>101</v>
      </c>
      <c r="B49" s="242"/>
      <c r="C49" s="34">
        <v>0.1</v>
      </c>
      <c r="I49" s="238" t="s">
        <v>31</v>
      </c>
      <c r="J49" s="238"/>
      <c r="K49" s="41">
        <f>Tabelas!C25</f>
        <v>2627</v>
      </c>
    </row>
    <row r="50" spans="1:11" ht="12.75" customHeight="1" x14ac:dyDescent="0.2">
      <c r="A50" s="242" t="s">
        <v>102</v>
      </c>
      <c r="B50" s="242"/>
      <c r="C50" s="34">
        <v>0.15</v>
      </c>
      <c r="I50" s="238" t="s">
        <v>103</v>
      </c>
      <c r="J50" s="238"/>
      <c r="K50" s="41">
        <f>Tabelas!C26</f>
        <v>1078</v>
      </c>
    </row>
    <row r="51" spans="1:11" ht="12.75" customHeight="1" x14ac:dyDescent="0.2">
      <c r="A51" s="242" t="s">
        <v>104</v>
      </c>
      <c r="B51" s="242"/>
      <c r="C51" s="34">
        <v>0.2</v>
      </c>
      <c r="I51" s="238" t="s">
        <v>105</v>
      </c>
      <c r="J51" s="238"/>
      <c r="K51" s="41">
        <f>Tabelas!C27</f>
        <v>1926</v>
      </c>
    </row>
    <row r="52" spans="1:11" ht="12.75" customHeight="1" x14ac:dyDescent="0.2">
      <c r="A52" s="242" t="s">
        <v>106</v>
      </c>
      <c r="B52" s="242"/>
      <c r="C52" s="34">
        <v>0.25</v>
      </c>
      <c r="I52" s="238" t="s">
        <v>34</v>
      </c>
      <c r="J52" s="238"/>
      <c r="K52" s="41">
        <f>Tabelas!C28</f>
        <v>1765</v>
      </c>
    </row>
    <row r="53" spans="1:11" ht="12.75" customHeight="1" x14ac:dyDescent="0.2">
      <c r="A53" s="243" t="s">
        <v>79</v>
      </c>
      <c r="B53" s="243"/>
      <c r="C53" s="42">
        <v>0</v>
      </c>
      <c r="I53" s="238" t="s">
        <v>35</v>
      </c>
      <c r="J53" s="238"/>
      <c r="K53" s="41">
        <f>Tabelas!C29</f>
        <v>1078</v>
      </c>
    </row>
    <row r="54" spans="1:11" ht="12.75" customHeight="1" x14ac:dyDescent="0.2">
      <c r="I54" s="238" t="s">
        <v>36</v>
      </c>
      <c r="J54" s="238"/>
      <c r="K54" s="41">
        <f>Tabelas!C30</f>
        <v>1765</v>
      </c>
    </row>
    <row r="55" spans="1:11" ht="12.75" customHeight="1" x14ac:dyDescent="0.2">
      <c r="I55" s="238" t="s">
        <v>37</v>
      </c>
      <c r="J55" s="238"/>
      <c r="K55" s="41">
        <f>Tabelas!C31</f>
        <v>1078</v>
      </c>
    </row>
    <row r="56" spans="1:11" ht="12.75" customHeight="1" x14ac:dyDescent="0.2">
      <c r="I56" s="238" t="s">
        <v>38</v>
      </c>
      <c r="J56" s="238"/>
      <c r="K56" s="41">
        <f>Tabelas!C32</f>
        <v>2627</v>
      </c>
    </row>
    <row r="57" spans="1:11" ht="12.75" customHeight="1" x14ac:dyDescent="0.2">
      <c r="A57" s="239" t="s">
        <v>107</v>
      </c>
      <c r="B57" s="239"/>
      <c r="C57" s="239"/>
      <c r="D57" s="239"/>
      <c r="E57" s="239"/>
      <c r="F57" s="239"/>
      <c r="G57" s="239"/>
      <c r="I57" s="238" t="s">
        <v>39</v>
      </c>
      <c r="J57" s="238"/>
      <c r="K57" s="41">
        <f>Tabelas!C33</f>
        <v>2325</v>
      </c>
    </row>
    <row r="58" spans="1:11" x14ac:dyDescent="0.2">
      <c r="A58" s="240" t="s">
        <v>108</v>
      </c>
      <c r="B58" s="240"/>
      <c r="C58" s="240"/>
      <c r="D58" s="240"/>
      <c r="E58" s="240"/>
      <c r="F58" s="240"/>
      <c r="G58" s="240"/>
      <c r="I58" s="238" t="s">
        <v>40</v>
      </c>
      <c r="J58" s="238"/>
      <c r="K58" s="41">
        <f>Tabelas!C34</f>
        <v>2210</v>
      </c>
    </row>
    <row r="59" spans="1:11" x14ac:dyDescent="0.2">
      <c r="A59" s="236" t="s">
        <v>109</v>
      </c>
      <c r="B59" s="236"/>
      <c r="C59" s="236"/>
      <c r="D59" s="236"/>
      <c r="E59" s="236"/>
      <c r="F59" s="236"/>
      <c r="G59" s="236"/>
      <c r="I59" s="241" t="s">
        <v>41</v>
      </c>
      <c r="J59" s="241"/>
      <c r="K59" s="49">
        <f>Tabelas!C35</f>
        <v>1765</v>
      </c>
    </row>
    <row r="60" spans="1:11" x14ac:dyDescent="0.2">
      <c r="A60" s="236" t="s">
        <v>110</v>
      </c>
      <c r="B60" s="236"/>
      <c r="C60" s="236"/>
      <c r="D60" s="236"/>
      <c r="E60" s="236"/>
      <c r="F60" s="236"/>
      <c r="G60" s="236"/>
      <c r="K60" s="50"/>
    </row>
    <row r="61" spans="1:11" s="51" customFormat="1" ht="24.95" customHeight="1" x14ac:dyDescent="0.2">
      <c r="A61" s="235" t="s">
        <v>111</v>
      </c>
      <c r="B61" s="235"/>
      <c r="C61" s="235"/>
      <c r="D61" s="235"/>
      <c r="E61" s="235"/>
      <c r="F61" s="235"/>
      <c r="G61" s="235"/>
    </row>
    <row r="62" spans="1:11" s="51" customFormat="1" ht="24.95" customHeight="1" x14ac:dyDescent="0.2">
      <c r="A62" s="235" t="s">
        <v>112</v>
      </c>
      <c r="B62" s="235"/>
      <c r="C62" s="235"/>
      <c r="D62" s="235"/>
      <c r="E62" s="235"/>
      <c r="F62" s="235"/>
      <c r="G62" s="235"/>
    </row>
    <row r="63" spans="1:11" ht="12.75" customHeight="1" x14ac:dyDescent="0.2">
      <c r="A63" s="236" t="s">
        <v>113</v>
      </c>
      <c r="B63" s="236"/>
      <c r="C63" s="236"/>
      <c r="D63" s="236"/>
      <c r="E63" s="236"/>
      <c r="F63" s="236"/>
      <c r="G63" s="236"/>
    </row>
    <row r="64" spans="1:11" ht="23.65" customHeight="1" x14ac:dyDescent="0.2">
      <c r="A64" s="237" t="s">
        <v>114</v>
      </c>
      <c r="B64" s="237"/>
      <c r="C64" s="237"/>
      <c r="D64" s="237"/>
      <c r="E64" s="237"/>
      <c r="F64" s="237"/>
      <c r="G64" s="237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3">
    <mergeCell ref="B1:L1"/>
    <mergeCell ref="B2:L2"/>
    <mergeCell ref="B3:D3"/>
    <mergeCell ref="E3:F3"/>
    <mergeCell ref="G3:G8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H9:J9"/>
    <mergeCell ref="B10:D10"/>
    <mergeCell ref="E10:F10"/>
    <mergeCell ref="B11:D11"/>
    <mergeCell ref="E11:F11"/>
    <mergeCell ref="B12:D12"/>
    <mergeCell ref="E12:F12"/>
    <mergeCell ref="B13:D13"/>
    <mergeCell ref="E13:F13"/>
    <mergeCell ref="B16:D16"/>
    <mergeCell ref="E16:F16"/>
    <mergeCell ref="B18:D18"/>
    <mergeCell ref="E18:F18"/>
    <mergeCell ref="O25:P25"/>
    <mergeCell ref="A26:C26"/>
    <mergeCell ref="E26:G26"/>
    <mergeCell ref="A27:B27"/>
    <mergeCell ref="E27:F27"/>
    <mergeCell ref="I27:J27"/>
    <mergeCell ref="A28:B28"/>
    <mergeCell ref="E28:F28"/>
    <mergeCell ref="I28:J28"/>
    <mergeCell ref="A29:B29"/>
    <mergeCell ref="E29:F29"/>
    <mergeCell ref="I29:J29"/>
    <mergeCell ref="A30:B30"/>
    <mergeCell ref="E30:F30"/>
    <mergeCell ref="A31:B31"/>
    <mergeCell ref="E31:F31"/>
    <mergeCell ref="I31:J31"/>
    <mergeCell ref="A32:B32"/>
    <mergeCell ref="E32:F32"/>
    <mergeCell ref="I32:J32"/>
    <mergeCell ref="A33:B33"/>
    <mergeCell ref="E33:F33"/>
    <mergeCell ref="I33:J33"/>
    <mergeCell ref="B34:C34"/>
    <mergeCell ref="E34:F34"/>
    <mergeCell ref="I34:J34"/>
    <mergeCell ref="E35:F35"/>
    <mergeCell ref="I35:J35"/>
    <mergeCell ref="E36:F36"/>
    <mergeCell ref="I36:J36"/>
    <mergeCell ref="A37:C37"/>
    <mergeCell ref="E37:F37"/>
    <mergeCell ref="I37:J37"/>
    <mergeCell ref="A38:B38"/>
    <mergeCell ref="E38:F38"/>
    <mergeCell ref="I38:J38"/>
    <mergeCell ref="A39:B39"/>
    <mergeCell ref="E39:F39"/>
    <mergeCell ref="I39:J39"/>
    <mergeCell ref="A40:B40"/>
    <mergeCell ref="E40:F40"/>
    <mergeCell ref="I40:J40"/>
    <mergeCell ref="A41:B41"/>
    <mergeCell ref="E41:F41"/>
    <mergeCell ref="I41:J41"/>
    <mergeCell ref="A42:B42"/>
    <mergeCell ref="E42:F42"/>
    <mergeCell ref="I42:J42"/>
    <mergeCell ref="A43:B43"/>
    <mergeCell ref="E43:F43"/>
    <mergeCell ref="I43:J43"/>
    <mergeCell ref="E44:F44"/>
    <mergeCell ref="I44:J44"/>
    <mergeCell ref="I45:J45"/>
    <mergeCell ref="I46:J46"/>
    <mergeCell ref="A47:C47"/>
    <mergeCell ref="I47:J47"/>
    <mergeCell ref="A48:B48"/>
    <mergeCell ref="I48:J48"/>
    <mergeCell ref="A49:B49"/>
    <mergeCell ref="I49:J49"/>
    <mergeCell ref="A50:B50"/>
    <mergeCell ref="I50:J50"/>
    <mergeCell ref="A51:B51"/>
    <mergeCell ref="I51:J51"/>
    <mergeCell ref="A52:B52"/>
    <mergeCell ref="I52:J52"/>
    <mergeCell ref="A53:B53"/>
    <mergeCell ref="I53:J53"/>
    <mergeCell ref="I54:J54"/>
    <mergeCell ref="A61:G61"/>
    <mergeCell ref="A62:G62"/>
    <mergeCell ref="A63:G63"/>
    <mergeCell ref="A64:G64"/>
    <mergeCell ref="I55:J55"/>
    <mergeCell ref="I56:J56"/>
    <mergeCell ref="A57:G57"/>
    <mergeCell ref="I57:J57"/>
    <mergeCell ref="A58:G58"/>
    <mergeCell ref="I58:J58"/>
    <mergeCell ref="A59:G59"/>
    <mergeCell ref="I59:J59"/>
    <mergeCell ref="A60:G60"/>
  </mergeCells>
  <dataValidations count="5">
    <dataValidation type="list" allowBlank="1" showInputMessage="1" showErrorMessage="1" prompt=" - " sqref="G12:G13">
      <formula1>"(Sim),(Não)"</formula1>
      <formula2>0</formula2>
    </dataValidation>
    <dataValidation type="list" allowBlank="1" showInputMessage="1" showErrorMessage="1" prompt=" - " sqref="K11">
      <formula1>$K$28:$K$59</formula1>
      <formula2>0</formula2>
    </dataValidation>
    <dataValidation type="list" allowBlank="1" showInputMessage="1" showErrorMessage="1" prompt=" - " sqref="B5">
      <formula1>"ADIC TEMPO SV,ADIC DISPO MILITAR"</formula1>
      <formula2>0</formula2>
    </dataValidation>
    <dataValidation type="list" allowBlank="1" showInputMessage="1" showErrorMessage="1" prompt=" - " sqref="H18">
      <formula1>"Sim,Não"</formula1>
      <formula2>0</formula2>
    </dataValidation>
    <dataValidation type="list" allowBlank="1" showInputMessage="1" showErrorMessage="1" prompt=" - " sqref="K4">
      <formula1>$K$28:$K$60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opLeftCell="A25" zoomScale="120" zoomScaleNormal="120" workbookViewId="0">
      <selection activeCell="K11" sqref="K11"/>
    </sheetView>
  </sheetViews>
  <sheetFormatPr defaultRowHeight="12.75" x14ac:dyDescent="0.2"/>
  <cols>
    <col min="1" max="1" width="0.5703125" customWidth="1"/>
    <col min="2" max="2" width="16.85546875" customWidth="1"/>
    <col min="3" max="3" width="7.85546875" customWidth="1"/>
    <col min="4" max="4" width="7" customWidth="1"/>
    <col min="5" max="5" width="8.7109375" customWidth="1"/>
    <col min="6" max="6" width="9" customWidth="1"/>
    <col min="7" max="7" width="2" customWidth="1"/>
    <col min="8" max="8" width="10.85546875" customWidth="1"/>
    <col min="9" max="9" width="8.7109375" customWidth="1"/>
    <col min="10" max="10" width="16.85546875" customWidth="1"/>
    <col min="11" max="11" width="13.7109375" customWidth="1"/>
    <col min="12" max="12" width="13" customWidth="1"/>
    <col min="13" max="26" width="8" customWidth="1"/>
    <col min="27" max="1025" width="12.5703125" customWidth="1"/>
  </cols>
  <sheetData>
    <row r="1" spans="2:12" ht="24.75" customHeight="1" x14ac:dyDescent="0.5">
      <c r="B1" s="275" t="s">
        <v>115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2:12" ht="20.25" customHeight="1" x14ac:dyDescent="0.3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</row>
    <row r="3" spans="2:12" ht="12.75" customHeight="1" x14ac:dyDescent="0.2">
      <c r="B3" s="264" t="s">
        <v>45</v>
      </c>
      <c r="C3" s="264"/>
      <c r="D3" s="264"/>
      <c r="E3" s="265" t="s">
        <v>46</v>
      </c>
      <c r="F3" s="265"/>
      <c r="G3" s="266"/>
      <c r="H3" s="11" t="s">
        <v>116</v>
      </c>
      <c r="I3" s="276"/>
      <c r="J3" s="274" t="s">
        <v>117</v>
      </c>
      <c r="K3" s="274"/>
      <c r="L3" s="277"/>
    </row>
    <row r="4" spans="2:12" ht="15.75" customHeight="1" x14ac:dyDescent="0.25">
      <c r="B4" s="267" t="s">
        <v>118</v>
      </c>
      <c r="C4" s="267"/>
      <c r="D4" s="267"/>
      <c r="E4" s="268">
        <f>(Receitas!E16-Receitas!E9-Receitas!E10-Receitas!E13-Receitas!E12)*Despesas!H4</f>
        <v>263.92500000000001</v>
      </c>
      <c r="F4" s="268"/>
      <c r="G4" s="266"/>
      <c r="H4" s="18">
        <v>0.03</v>
      </c>
      <c r="I4" s="276"/>
      <c r="J4" s="52" t="s">
        <v>119</v>
      </c>
      <c r="K4" s="53" t="s">
        <v>120</v>
      </c>
      <c r="L4" s="277"/>
    </row>
    <row r="5" spans="2:12" ht="15.75" customHeight="1" x14ac:dyDescent="0.25">
      <c r="B5" s="257" t="s">
        <v>121</v>
      </c>
      <c r="C5" s="257"/>
      <c r="D5" s="257"/>
      <c r="E5" s="251">
        <v>105.35</v>
      </c>
      <c r="F5" s="251"/>
      <c r="G5" s="266"/>
      <c r="H5" s="54">
        <v>4.0000000000000001E-3</v>
      </c>
      <c r="I5" s="276"/>
      <c r="J5" s="19">
        <f>Receitas!K9</f>
        <v>2</v>
      </c>
      <c r="K5" s="19"/>
      <c r="L5" s="277"/>
    </row>
    <row r="6" spans="2:12" ht="15.75" customHeight="1" x14ac:dyDescent="0.25">
      <c r="B6" s="257" t="s">
        <v>122</v>
      </c>
      <c r="C6" s="257"/>
      <c r="D6" s="257"/>
      <c r="E6" s="251">
        <f>(((K9*Receitas!H5)+(K9*Receitas!H6)+(K9*Receitas!H7)+(K9*K10)+K9)*Receitas!H16+Receitas!E11)*H6</f>
        <v>887.59124999999995</v>
      </c>
      <c r="F6" s="251"/>
      <c r="G6" s="266"/>
      <c r="H6" s="55">
        <v>0.105</v>
      </c>
      <c r="I6" s="276"/>
      <c r="J6" s="278"/>
      <c r="K6" s="278"/>
      <c r="L6" s="277"/>
    </row>
    <row r="7" spans="2:12" ht="15.75" customHeight="1" x14ac:dyDescent="0.25">
      <c r="B7" s="257" t="s">
        <v>123</v>
      </c>
      <c r="C7" s="257"/>
      <c r="D7" s="257"/>
      <c r="E7" s="251">
        <f>Receitas!E16*H7</f>
        <v>0</v>
      </c>
      <c r="F7" s="251"/>
      <c r="G7" s="266"/>
      <c r="H7" s="56">
        <v>0</v>
      </c>
      <c r="I7" s="10"/>
      <c r="J7" s="274" t="s">
        <v>124</v>
      </c>
      <c r="K7" s="274"/>
      <c r="L7" s="277"/>
    </row>
    <row r="8" spans="2:12" ht="15.75" customHeight="1" x14ac:dyDescent="0.25">
      <c r="B8" s="257" t="s">
        <v>125</v>
      </c>
      <c r="C8" s="257"/>
      <c r="D8" s="257"/>
      <c r="E8" s="259">
        <v>0</v>
      </c>
      <c r="F8" s="259"/>
      <c r="G8" s="57"/>
      <c r="H8" s="58"/>
      <c r="I8" s="58"/>
      <c r="J8" s="59" t="s">
        <v>126</v>
      </c>
      <c r="K8" s="19">
        <f>Identificação!G3</f>
        <v>0</v>
      </c>
      <c r="L8" s="60"/>
    </row>
    <row r="9" spans="2:12" ht="15.75" customHeight="1" x14ac:dyDescent="0.25">
      <c r="B9" s="257" t="s">
        <v>127</v>
      </c>
      <c r="C9" s="257"/>
      <c r="D9" s="257"/>
      <c r="E9" s="259">
        <v>0</v>
      </c>
      <c r="F9" s="259"/>
      <c r="G9" s="10"/>
      <c r="H9" s="61"/>
      <c r="I9" s="61"/>
      <c r="J9" s="62" t="s">
        <v>128</v>
      </c>
      <c r="K9" s="16">
        <f>Receitas!E4</f>
        <v>3825</v>
      </c>
      <c r="L9" s="63"/>
    </row>
    <row r="10" spans="2:12" ht="15.75" customHeight="1" x14ac:dyDescent="0.25">
      <c r="B10" s="257" t="s">
        <v>129</v>
      </c>
      <c r="C10" s="257"/>
      <c r="D10" s="257"/>
      <c r="E10" s="259">
        <v>0</v>
      </c>
      <c r="F10" s="259"/>
      <c r="G10" s="10"/>
      <c r="H10" s="61"/>
      <c r="I10" s="61"/>
      <c r="J10" s="64" t="s">
        <v>130</v>
      </c>
      <c r="K10" s="18">
        <v>0.16</v>
      </c>
      <c r="L10" s="63"/>
    </row>
    <row r="11" spans="2:12" ht="15.75" customHeight="1" x14ac:dyDescent="0.25">
      <c r="B11" s="260"/>
      <c r="C11" s="260"/>
      <c r="D11" s="260"/>
      <c r="E11" s="259">
        <v>0</v>
      </c>
      <c r="F11" s="259"/>
      <c r="G11" s="10"/>
      <c r="H11" s="61"/>
      <c r="I11" s="61"/>
      <c r="J11" s="61"/>
      <c r="K11" s="61"/>
      <c r="L11" s="63"/>
    </row>
    <row r="12" spans="2:12" ht="15.75" customHeight="1" x14ac:dyDescent="0.25">
      <c r="B12" s="260"/>
      <c r="C12" s="260"/>
      <c r="D12" s="260"/>
      <c r="E12" s="259">
        <v>0</v>
      </c>
      <c r="F12" s="259"/>
      <c r="G12" s="10"/>
      <c r="H12" s="65" t="s">
        <v>131</v>
      </c>
      <c r="I12" s="61"/>
      <c r="J12" s="61"/>
      <c r="K12" s="66" t="s">
        <v>64</v>
      </c>
      <c r="L12" s="63"/>
    </row>
    <row r="13" spans="2:12" ht="15.75" customHeight="1" x14ac:dyDescent="0.25">
      <c r="B13" s="260"/>
      <c r="C13" s="260"/>
      <c r="D13" s="260"/>
      <c r="E13" s="259">
        <v>0</v>
      </c>
      <c r="F13" s="259"/>
      <c r="G13" s="10"/>
      <c r="H13" s="61"/>
      <c r="I13" s="61"/>
      <c r="J13" s="61"/>
      <c r="K13" s="61"/>
      <c r="L13" s="63"/>
    </row>
    <row r="14" spans="2:12" ht="15.75" customHeight="1" x14ac:dyDescent="0.25">
      <c r="B14" s="25"/>
      <c r="C14" s="26"/>
      <c r="D14" s="26"/>
      <c r="E14" s="26"/>
      <c r="F14" s="26"/>
      <c r="G14" s="26"/>
      <c r="H14" s="65" t="s">
        <v>132</v>
      </c>
      <c r="I14" s="26"/>
      <c r="J14" s="61"/>
      <c r="K14" s="61"/>
      <c r="L14" s="28"/>
    </row>
    <row r="15" spans="2:12" ht="15.75" customHeight="1" x14ac:dyDescent="0.25">
      <c r="B15" s="252" t="s">
        <v>61</v>
      </c>
      <c r="C15" s="252"/>
      <c r="D15" s="252"/>
      <c r="E15" s="273">
        <f>(E4+E5+E6+E7+E8+E9+E10+E11+E12+E13)</f>
        <v>1256.86625</v>
      </c>
      <c r="F15" s="273"/>
      <c r="G15" s="10"/>
      <c r="H15" s="61"/>
      <c r="I15" s="61"/>
      <c r="J15" s="66" t="s">
        <v>64</v>
      </c>
      <c r="K15" s="61"/>
      <c r="L15" s="63"/>
    </row>
    <row r="16" spans="2:12" ht="15.75" customHeight="1" x14ac:dyDescent="0.2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8"/>
    </row>
    <row r="17" spans="2:12" ht="12.75" customHeight="1" x14ac:dyDescent="0.25">
      <c r="B17" s="25"/>
      <c r="C17" s="26"/>
      <c r="D17" s="26"/>
      <c r="E17" s="26"/>
      <c r="F17" s="26"/>
      <c r="G17" s="26"/>
      <c r="H17" s="26"/>
      <c r="I17" s="26"/>
      <c r="J17" s="61"/>
      <c r="K17" s="61"/>
      <c r="L17" s="28"/>
    </row>
    <row r="18" spans="2:12" ht="13.5" customHeight="1" x14ac:dyDescent="0.25">
      <c r="B18" s="67"/>
      <c r="C18" s="27"/>
      <c r="D18" s="27"/>
      <c r="E18" s="27"/>
      <c r="F18" s="27"/>
      <c r="G18" s="27"/>
      <c r="H18" s="27"/>
      <c r="I18" s="27"/>
      <c r="J18" s="27"/>
      <c r="K18" s="27"/>
      <c r="L18" s="68"/>
    </row>
    <row r="19" spans="2:12" ht="15.75" customHeight="1" x14ac:dyDescent="0.25">
      <c r="J19" s="69"/>
      <c r="K19" s="69"/>
    </row>
    <row r="20" spans="2:12" ht="15.75" customHeight="1" x14ac:dyDescent="0.25">
      <c r="J20" s="69"/>
      <c r="K20" s="69"/>
    </row>
    <row r="21" spans="2:12" ht="12.75" customHeight="1" x14ac:dyDescent="0.2"/>
    <row r="22" spans="2:12" ht="12.75" customHeight="1" x14ac:dyDescent="0.2"/>
    <row r="23" spans="2:12" ht="12.75" customHeight="1" x14ac:dyDescent="0.2"/>
    <row r="24" spans="2:12" ht="12.75" customHeight="1" x14ac:dyDescent="0.2"/>
    <row r="25" spans="2:12" ht="12.75" customHeight="1" x14ac:dyDescent="0.2">
      <c r="B25" s="272" t="s">
        <v>65</v>
      </c>
      <c r="C25" s="272"/>
      <c r="E25" s="245" t="s">
        <v>123</v>
      </c>
      <c r="F25" s="245"/>
      <c r="J25" s="70" t="s">
        <v>10</v>
      </c>
      <c r="K25" s="71" t="s">
        <v>48</v>
      </c>
    </row>
    <row r="26" spans="2:12" ht="12.75" customHeight="1" x14ac:dyDescent="0.2">
      <c r="B26" s="72" t="s">
        <v>66</v>
      </c>
      <c r="C26" s="73">
        <v>0.28000000000000003</v>
      </c>
      <c r="E26" s="270" t="s">
        <v>133</v>
      </c>
      <c r="F26" s="270"/>
      <c r="J26" s="74" t="s">
        <v>11</v>
      </c>
      <c r="K26" s="75">
        <f>Tabelas!C4</f>
        <v>14030</v>
      </c>
    </row>
    <row r="27" spans="2:12" ht="12.75" customHeight="1" x14ac:dyDescent="0.2">
      <c r="B27" s="76" t="s">
        <v>68</v>
      </c>
      <c r="C27" s="34">
        <v>0.25</v>
      </c>
      <c r="E27" s="271" t="s">
        <v>64</v>
      </c>
      <c r="F27" s="271"/>
      <c r="J27" s="37" t="s">
        <v>12</v>
      </c>
      <c r="K27" s="38">
        <f>Tabelas!C5</f>
        <v>13471</v>
      </c>
    </row>
    <row r="28" spans="2:12" ht="12.75" customHeight="1" x14ac:dyDescent="0.2">
      <c r="B28" s="76" t="s">
        <v>71</v>
      </c>
      <c r="C28" s="34">
        <v>0.22</v>
      </c>
      <c r="J28" s="37" t="s">
        <v>13</v>
      </c>
      <c r="K28" s="41">
        <f>Tabelas!C6</f>
        <v>12912</v>
      </c>
    </row>
    <row r="29" spans="2:12" ht="12.75" customHeight="1" x14ac:dyDescent="0.2">
      <c r="B29" s="78" t="s">
        <v>73</v>
      </c>
      <c r="C29" s="42">
        <v>0.19</v>
      </c>
      <c r="J29" s="37" t="s">
        <v>14</v>
      </c>
      <c r="K29" s="41">
        <f>Tabelas!C7</f>
        <v>12490</v>
      </c>
    </row>
    <row r="30" spans="2:12" ht="12.75" customHeight="1" x14ac:dyDescent="0.2">
      <c r="B30" s="78" t="s">
        <v>75</v>
      </c>
      <c r="C30" s="42">
        <v>0.16</v>
      </c>
      <c r="J30" s="37" t="s">
        <v>15</v>
      </c>
      <c r="K30" s="41">
        <f>Tabelas!C8</f>
        <v>11451</v>
      </c>
    </row>
    <row r="31" spans="2:12" ht="12.75" customHeight="1" x14ac:dyDescent="0.2">
      <c r="B31" s="78" t="s">
        <v>77</v>
      </c>
      <c r="C31" s="42">
        <v>0.13</v>
      </c>
      <c r="J31" s="37" t="s">
        <v>16</v>
      </c>
      <c r="K31" s="41">
        <f>Tabelas!C9</f>
        <v>11250</v>
      </c>
    </row>
    <row r="32" spans="2:12" ht="12.75" customHeight="1" x14ac:dyDescent="0.2">
      <c r="B32" s="78"/>
      <c r="C32" s="42">
        <v>0</v>
      </c>
      <c r="J32" s="37" t="s">
        <v>17</v>
      </c>
      <c r="K32" s="41">
        <f>Tabelas!C10</f>
        <v>11088</v>
      </c>
    </row>
    <row r="33" spans="2:11" ht="12.75" customHeight="1" x14ac:dyDescent="0.2">
      <c r="J33" s="37" t="s">
        <v>18</v>
      </c>
      <c r="K33" s="41">
        <f>Tabelas!C11</f>
        <v>9135</v>
      </c>
    </row>
    <row r="34" spans="2:11" ht="12.75" customHeight="1" x14ac:dyDescent="0.2">
      <c r="J34" s="37" t="s">
        <v>19</v>
      </c>
      <c r="K34" s="41">
        <f>Tabelas!C12</f>
        <v>8245</v>
      </c>
    </row>
    <row r="35" spans="2:11" ht="12.75" customHeight="1" x14ac:dyDescent="0.2">
      <c r="J35" s="37" t="s">
        <v>20</v>
      </c>
      <c r="K35" s="41">
        <f>Tabelas!C13</f>
        <v>7490</v>
      </c>
    </row>
    <row r="36" spans="2:11" ht="12.75" customHeight="1" x14ac:dyDescent="0.2">
      <c r="J36" s="37" t="s">
        <v>21</v>
      </c>
      <c r="K36" s="41">
        <f>Tabelas!C14</f>
        <v>7315</v>
      </c>
    </row>
    <row r="37" spans="2:11" ht="12.75" customHeight="1" x14ac:dyDescent="0.2">
      <c r="J37" s="37" t="s">
        <v>22</v>
      </c>
      <c r="K37" s="41">
        <f>Tabelas!C15</f>
        <v>1630</v>
      </c>
    </row>
    <row r="38" spans="2:11" ht="12.75" customHeight="1" x14ac:dyDescent="0.2">
      <c r="B38" s="272" t="s">
        <v>134</v>
      </c>
      <c r="C38" s="272"/>
      <c r="J38" s="37" t="s">
        <v>23</v>
      </c>
      <c r="K38" s="41">
        <f>Tabelas!C16</f>
        <v>1334</v>
      </c>
    </row>
    <row r="39" spans="2:11" ht="12.75" customHeight="1" x14ac:dyDescent="0.2">
      <c r="B39" s="72" t="s">
        <v>135</v>
      </c>
      <c r="C39" s="79">
        <v>0.03</v>
      </c>
      <c r="J39" s="37" t="s">
        <v>24</v>
      </c>
      <c r="K39" s="41">
        <f>Tabelas!C17</f>
        <v>1334</v>
      </c>
    </row>
    <row r="40" spans="2:11" ht="12.75" customHeight="1" x14ac:dyDescent="0.2">
      <c r="B40" s="76" t="s">
        <v>136</v>
      </c>
      <c r="C40" s="80">
        <v>4.0000000000000001E-3</v>
      </c>
      <c r="J40" s="37" t="s">
        <v>25</v>
      </c>
      <c r="K40" s="41">
        <f>Tabelas!C18</f>
        <v>1199</v>
      </c>
    </row>
    <row r="41" spans="2:11" ht="12.75" customHeight="1" x14ac:dyDescent="0.2">
      <c r="B41" s="81" t="s">
        <v>137</v>
      </c>
      <c r="C41" s="82">
        <v>5.0000000000000001E-3</v>
      </c>
      <c r="J41" s="37" t="s">
        <v>26</v>
      </c>
      <c r="K41" s="41">
        <f>Tabelas!C19</f>
        <v>1199</v>
      </c>
    </row>
    <row r="42" spans="2:11" ht="12.75" customHeight="1" x14ac:dyDescent="0.2">
      <c r="B42" s="76" t="s">
        <v>138</v>
      </c>
      <c r="C42" s="80">
        <v>5.0000000000000001E-3</v>
      </c>
      <c r="J42" s="37" t="s">
        <v>27</v>
      </c>
      <c r="K42" s="41">
        <f>Tabelas!C20</f>
        <v>1185</v>
      </c>
    </row>
    <row r="43" spans="2:11" ht="12.75" customHeight="1" x14ac:dyDescent="0.2">
      <c r="B43" s="78" t="s">
        <v>139</v>
      </c>
      <c r="C43" s="83">
        <v>0</v>
      </c>
      <c r="J43" s="84" t="s">
        <v>3</v>
      </c>
      <c r="K43" s="85">
        <f>Tabelas!C21</f>
        <v>6169</v>
      </c>
    </row>
    <row r="44" spans="2:11" ht="12.75" customHeight="1" x14ac:dyDescent="0.2">
      <c r="J44" s="84" t="s">
        <v>28</v>
      </c>
      <c r="K44" s="41">
        <f>Tabelas!C22</f>
        <v>5483</v>
      </c>
    </row>
    <row r="45" spans="2:11" ht="12.75" customHeight="1" x14ac:dyDescent="0.2">
      <c r="J45" s="84" t="s">
        <v>29</v>
      </c>
      <c r="K45" s="86">
        <f>Tabelas!C23</f>
        <v>4770</v>
      </c>
    </row>
    <row r="46" spans="2:11" ht="12.75" customHeight="1" x14ac:dyDescent="0.2">
      <c r="J46" s="84" t="s">
        <v>30</v>
      </c>
      <c r="K46" s="85">
        <f>Tabelas!C24</f>
        <v>3825</v>
      </c>
    </row>
    <row r="47" spans="2:11" ht="12.75" customHeight="1" x14ac:dyDescent="0.2">
      <c r="J47" s="37" t="s">
        <v>31</v>
      </c>
      <c r="K47" s="85">
        <f>Tabelas!C25</f>
        <v>2627</v>
      </c>
    </row>
    <row r="48" spans="2:11" ht="12.75" customHeight="1" x14ac:dyDescent="0.2">
      <c r="J48" s="37" t="s">
        <v>32</v>
      </c>
      <c r="K48" s="85">
        <f>Tabelas!C26</f>
        <v>1078</v>
      </c>
    </row>
    <row r="49" spans="10:11" ht="12.75" customHeight="1" x14ac:dyDescent="0.2">
      <c r="J49" s="37" t="s">
        <v>33</v>
      </c>
      <c r="K49" s="85">
        <f>Tabelas!C27</f>
        <v>1926</v>
      </c>
    </row>
    <row r="50" spans="10:11" ht="12.75" customHeight="1" x14ac:dyDescent="0.2">
      <c r="J50" s="37" t="s">
        <v>34</v>
      </c>
      <c r="K50" s="85">
        <f>Tabelas!C28</f>
        <v>1765</v>
      </c>
    </row>
    <row r="51" spans="10:11" ht="12.75" customHeight="1" x14ac:dyDescent="0.2">
      <c r="J51" s="37" t="s">
        <v>35</v>
      </c>
      <c r="K51" s="85">
        <f>Tabelas!C29</f>
        <v>1078</v>
      </c>
    </row>
    <row r="52" spans="10:11" ht="12.75" customHeight="1" x14ac:dyDescent="0.2">
      <c r="J52" s="37" t="s">
        <v>36</v>
      </c>
      <c r="K52" s="85">
        <f>Tabelas!C30</f>
        <v>1765</v>
      </c>
    </row>
    <row r="53" spans="10:11" ht="12.75" customHeight="1" x14ac:dyDescent="0.2">
      <c r="J53" s="37" t="s">
        <v>37</v>
      </c>
      <c r="K53" s="85">
        <f>Tabelas!C31</f>
        <v>1078</v>
      </c>
    </row>
    <row r="54" spans="10:11" ht="12.75" customHeight="1" x14ac:dyDescent="0.2">
      <c r="J54" s="37" t="s">
        <v>38</v>
      </c>
      <c r="K54" s="85">
        <f>Tabelas!C32</f>
        <v>2627</v>
      </c>
    </row>
    <row r="55" spans="10:11" ht="12.75" customHeight="1" x14ac:dyDescent="0.2">
      <c r="J55" s="37" t="s">
        <v>39</v>
      </c>
      <c r="K55" s="85">
        <f>Tabelas!C33</f>
        <v>2325</v>
      </c>
    </row>
    <row r="56" spans="10:11" ht="12.75" customHeight="1" x14ac:dyDescent="0.2">
      <c r="J56" s="37" t="s">
        <v>40</v>
      </c>
      <c r="K56" s="85">
        <f>Tabelas!C34</f>
        <v>2210</v>
      </c>
    </row>
    <row r="57" spans="10:11" ht="12.75" customHeight="1" x14ac:dyDescent="0.2">
      <c r="J57" s="48" t="s">
        <v>41</v>
      </c>
      <c r="K57" s="49">
        <f>Tabelas!C35</f>
        <v>1765</v>
      </c>
    </row>
    <row r="58" spans="10:11" ht="12.75" customHeight="1" x14ac:dyDescent="0.2"/>
    <row r="59" spans="10:11" ht="12.75" customHeight="1" x14ac:dyDescent="0.2"/>
    <row r="60" spans="10:11" ht="12.75" customHeight="1" x14ac:dyDescent="0.2"/>
    <row r="61" spans="10:11" ht="12.75" customHeight="1" x14ac:dyDescent="0.2"/>
    <row r="62" spans="10:11" ht="12.75" customHeight="1" x14ac:dyDescent="0.2"/>
    <row r="63" spans="10:11" ht="12.75" customHeight="1" x14ac:dyDescent="0.2"/>
    <row r="64" spans="10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7">
    <mergeCell ref="B1:L1"/>
    <mergeCell ref="B2:L2"/>
    <mergeCell ref="B3:D3"/>
    <mergeCell ref="E3:F3"/>
    <mergeCell ref="G3:G7"/>
    <mergeCell ref="I3:I6"/>
    <mergeCell ref="J3:K3"/>
    <mergeCell ref="L3:L7"/>
    <mergeCell ref="B4:D4"/>
    <mergeCell ref="E4:F4"/>
    <mergeCell ref="B5:D5"/>
    <mergeCell ref="E5:F5"/>
    <mergeCell ref="B6:D6"/>
    <mergeCell ref="E6:F6"/>
    <mergeCell ref="J6:K6"/>
    <mergeCell ref="B7:D7"/>
    <mergeCell ref="E7:F7"/>
    <mergeCell ref="J7:K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E26:F26"/>
    <mergeCell ref="E27:F27"/>
    <mergeCell ref="B38:C38"/>
    <mergeCell ref="B13:D13"/>
    <mergeCell ref="E13:F13"/>
    <mergeCell ref="B15:D15"/>
    <mergeCell ref="E15:F15"/>
    <mergeCell ref="B25:C25"/>
    <mergeCell ref="E25:F25"/>
  </mergeCells>
  <dataValidations count="1">
    <dataValidation type="list" allowBlank="1" showInputMessage="1" showErrorMessage="1" prompt=" - " sqref="K12 J15">
      <formula1>$E$26:$E$27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selection activeCell="I32" sqref="I32"/>
    </sheetView>
  </sheetViews>
  <sheetFormatPr defaultRowHeight="12.75" x14ac:dyDescent="0.2"/>
  <cols>
    <col min="1" max="1" width="0.7109375" customWidth="1"/>
    <col min="2" max="2" width="8.7109375" customWidth="1"/>
    <col min="3" max="3" width="14.42578125" customWidth="1"/>
    <col min="4" max="4" width="7.140625" customWidth="1"/>
    <col min="5" max="5" width="19.5703125" customWidth="1"/>
    <col min="6" max="6" width="1.140625" customWidth="1"/>
    <col min="7" max="7" width="4.85546875" customWidth="1"/>
    <col min="8" max="8" width="6.7109375" customWidth="1"/>
    <col min="9" max="9" width="26.5703125" customWidth="1"/>
    <col min="10" max="10" width="8.140625" customWidth="1"/>
    <col min="11" max="11" width="10.42578125" customWidth="1"/>
    <col min="12" max="12" width="6" customWidth="1"/>
    <col min="13" max="13" width="11.42578125" customWidth="1"/>
    <col min="14" max="14" width="10.7109375" customWidth="1"/>
    <col min="15" max="15" width="11.42578125" customWidth="1"/>
    <col min="16" max="17" width="12.140625" customWidth="1"/>
    <col min="18" max="18" width="8.7109375" customWidth="1"/>
    <col min="19" max="19" width="11" customWidth="1"/>
    <col min="20" max="20" width="4.140625" customWidth="1"/>
    <col min="21" max="21" width="11" customWidth="1"/>
    <col min="22" max="22" width="8.7109375" customWidth="1"/>
    <col min="23" max="23" width="9.5703125" customWidth="1"/>
    <col min="24" max="25" width="8.7109375" customWidth="1"/>
    <col min="26" max="26" width="8" customWidth="1"/>
    <col min="27" max="1025" width="12.5703125" customWidth="1"/>
  </cols>
  <sheetData>
    <row r="1" spans="2:23" ht="22.5" customHeight="1" x14ac:dyDescent="0.45">
      <c r="B1" s="262" t="s">
        <v>140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2" spans="2:23" ht="12.75" customHeight="1" x14ac:dyDescent="0.2"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</row>
    <row r="3" spans="2:23" ht="15.75" customHeight="1" x14ac:dyDescent="0.25">
      <c r="B3" s="300" t="s">
        <v>141</v>
      </c>
      <c r="C3" s="300"/>
      <c r="D3" s="253">
        <f>Receitas!E16</f>
        <v>8797.82</v>
      </c>
      <c r="E3" s="253"/>
      <c r="F3" s="10"/>
      <c r="G3" s="258"/>
      <c r="H3" s="258"/>
      <c r="I3" s="301" t="s">
        <v>142</v>
      </c>
      <c r="J3" s="301"/>
      <c r="K3" s="66" t="s">
        <v>64</v>
      </c>
      <c r="L3" s="17"/>
      <c r="R3" s="291" t="s">
        <v>143</v>
      </c>
      <c r="S3" s="291"/>
      <c r="T3" s="291"/>
      <c r="U3" s="291"/>
      <c r="V3" s="291"/>
      <c r="W3" s="291"/>
    </row>
    <row r="4" spans="2:23" ht="12.75" customHeight="1" x14ac:dyDescent="0.2">
      <c r="B4" s="292"/>
      <c r="C4" s="292"/>
      <c r="D4" s="292"/>
      <c r="E4" s="292"/>
      <c r="F4" s="292"/>
      <c r="G4" s="61"/>
      <c r="H4" s="61"/>
      <c r="I4" s="61"/>
      <c r="J4" s="61"/>
      <c r="K4" s="61"/>
      <c r="L4" s="63"/>
      <c r="R4" s="291" t="s">
        <v>144</v>
      </c>
      <c r="S4" s="291"/>
      <c r="T4" s="291"/>
      <c r="U4" s="291"/>
      <c r="V4" s="87" t="s">
        <v>145</v>
      </c>
      <c r="W4" s="87" t="s">
        <v>146</v>
      </c>
    </row>
    <row r="5" spans="2:23" ht="15.75" customHeight="1" x14ac:dyDescent="0.25">
      <c r="B5" s="293" t="s">
        <v>147</v>
      </c>
      <c r="C5" s="293"/>
      <c r="D5" s="293"/>
      <c r="E5" s="293"/>
      <c r="F5" s="292"/>
      <c r="G5" s="61"/>
      <c r="H5" s="61"/>
      <c r="I5" s="294" t="s">
        <v>148</v>
      </c>
      <c r="J5" s="294"/>
      <c r="K5" s="66" t="s">
        <v>64</v>
      </c>
      <c r="L5" s="63"/>
      <c r="R5" s="88" t="s">
        <v>149</v>
      </c>
      <c r="S5" s="295">
        <v>2112</v>
      </c>
      <c r="T5" s="295"/>
      <c r="U5" s="295"/>
      <c r="V5" s="90" t="s">
        <v>150</v>
      </c>
      <c r="W5" s="90" t="s">
        <v>79</v>
      </c>
    </row>
    <row r="6" spans="2:23" ht="12.75" customHeight="1" x14ac:dyDescent="0.2">
      <c r="B6" s="293"/>
      <c r="C6" s="293"/>
      <c r="D6" s="293"/>
      <c r="E6" s="293"/>
      <c r="F6" s="292"/>
      <c r="G6" s="61"/>
      <c r="H6" s="61"/>
      <c r="I6" s="61"/>
      <c r="J6" s="61"/>
      <c r="K6" s="61"/>
      <c r="L6" s="63"/>
      <c r="R6" s="88" t="s">
        <v>151</v>
      </c>
      <c r="S6" s="91">
        <v>2112.0100000000002</v>
      </c>
      <c r="T6" s="92" t="s">
        <v>152</v>
      </c>
      <c r="U6" s="93">
        <v>2826.65</v>
      </c>
      <c r="V6" s="94">
        <v>7.4999999999999997E-2</v>
      </c>
      <c r="W6" s="89">
        <v>158.4</v>
      </c>
    </row>
    <row r="7" spans="2:23" ht="12.75" customHeight="1" x14ac:dyDescent="0.2">
      <c r="B7" s="283" t="s">
        <v>153</v>
      </c>
      <c r="C7" s="283"/>
      <c r="D7" s="284">
        <f>Receitas!E9</f>
        <v>0.32</v>
      </c>
      <c r="E7" s="284"/>
      <c r="F7" s="292"/>
      <c r="G7" s="286"/>
      <c r="H7" s="286"/>
      <c r="I7" s="296" t="s">
        <v>154</v>
      </c>
      <c r="J7" s="296"/>
      <c r="K7" s="296"/>
      <c r="L7" s="297"/>
      <c r="R7" s="88" t="s">
        <v>151</v>
      </c>
      <c r="S7" s="91">
        <v>2826.66</v>
      </c>
      <c r="T7" s="92" t="s">
        <v>152</v>
      </c>
      <c r="U7" s="93">
        <v>3751.05</v>
      </c>
      <c r="V7" s="95">
        <v>0.15</v>
      </c>
      <c r="W7" s="89">
        <v>370.4</v>
      </c>
    </row>
    <row r="8" spans="2:23" ht="12.75" customHeight="1" x14ac:dyDescent="0.2">
      <c r="B8" s="283" t="s">
        <v>155</v>
      </c>
      <c r="C8" s="283"/>
      <c r="D8" s="298">
        <f>Receitas!E13</f>
        <v>0</v>
      </c>
      <c r="E8" s="298"/>
      <c r="F8" s="292"/>
      <c r="G8" s="286"/>
      <c r="H8" s="286"/>
      <c r="I8" s="96" t="s">
        <v>144</v>
      </c>
      <c r="J8" s="97" t="s">
        <v>145</v>
      </c>
      <c r="K8" s="98" t="s">
        <v>156</v>
      </c>
      <c r="L8" s="297"/>
      <c r="R8" s="88" t="s">
        <v>151</v>
      </c>
      <c r="S8" s="91">
        <v>3751.06</v>
      </c>
      <c r="T8" s="92" t="s">
        <v>152</v>
      </c>
      <c r="U8" s="93">
        <v>4664.68</v>
      </c>
      <c r="V8" s="94">
        <v>0.22500000000000001</v>
      </c>
      <c r="W8" s="89">
        <v>651.73</v>
      </c>
    </row>
    <row r="9" spans="2:23" ht="12.75" customHeight="1" x14ac:dyDescent="0.2">
      <c r="B9" s="283" t="s">
        <v>157</v>
      </c>
      <c r="C9" s="283"/>
      <c r="D9" s="284">
        <f>Despesas!E15-Despesas!E11-Despesas!E12-Despesas!E13</f>
        <v>1256.86625</v>
      </c>
      <c r="E9" s="284"/>
      <c r="F9" s="292"/>
      <c r="G9" s="286"/>
      <c r="H9" s="286"/>
      <c r="I9" s="99" t="str">
        <f>CONCATENATE("Até R$ ",S5,",","00")</f>
        <v>Até R$ 2112,00</v>
      </c>
      <c r="J9" s="90" t="s">
        <v>150</v>
      </c>
      <c r="K9" s="100" t="s">
        <v>79</v>
      </c>
      <c r="L9" s="297"/>
      <c r="R9" s="101" t="s">
        <v>158</v>
      </c>
      <c r="S9" s="290">
        <v>4664.68</v>
      </c>
      <c r="T9" s="290"/>
      <c r="U9" s="290"/>
      <c r="V9" s="94">
        <v>0.27500000000000002</v>
      </c>
      <c r="W9" s="89">
        <v>884.96</v>
      </c>
    </row>
    <row r="10" spans="2:23" ht="12.75" customHeight="1" x14ac:dyDescent="0.2">
      <c r="B10" s="282"/>
      <c r="C10" s="282"/>
      <c r="D10" s="282"/>
      <c r="E10" s="282"/>
      <c r="F10" s="292"/>
      <c r="G10" s="286"/>
      <c r="H10" s="286"/>
      <c r="I10" s="99" t="str">
        <f>CONCATENATE("De R$ ",S6," até R$ ",U6)</f>
        <v>De R$ 2112,01 até R$ 2826,65</v>
      </c>
      <c r="J10" s="94">
        <v>7.4999999999999997E-2</v>
      </c>
      <c r="K10" s="102">
        <f>W6</f>
        <v>158.4</v>
      </c>
      <c r="L10" s="297"/>
      <c r="T10" s="103"/>
    </row>
    <row r="11" spans="2:23" ht="15" customHeight="1" x14ac:dyDescent="0.2">
      <c r="B11" s="104"/>
      <c r="C11" s="105"/>
      <c r="D11" s="105"/>
      <c r="E11" s="106"/>
      <c r="F11" s="292"/>
      <c r="G11" s="61"/>
      <c r="H11" s="61"/>
      <c r="I11" s="107" t="str">
        <f>CONCATENATE("De R$ ",S7," até R$ ",U7)</f>
        <v>De R$ 2826,66 até R$ 3751,05</v>
      </c>
      <c r="J11" s="108">
        <v>0.15</v>
      </c>
      <c r="K11" s="109">
        <f>W7</f>
        <v>370.4</v>
      </c>
      <c r="L11" s="297"/>
      <c r="R11" s="110"/>
      <c r="S11" s="110"/>
      <c r="T11" s="110"/>
      <c r="U11" s="110"/>
      <c r="V11" s="110"/>
      <c r="W11" s="110"/>
    </row>
    <row r="12" spans="2:23" ht="12.75" customHeight="1" x14ac:dyDescent="0.2">
      <c r="B12" s="104"/>
      <c r="C12" s="105"/>
      <c r="D12" s="105"/>
      <c r="E12" s="106"/>
      <c r="F12" s="292"/>
      <c r="G12" s="61"/>
      <c r="H12" s="61"/>
      <c r="I12" s="107" t="str">
        <f>CONCATENATE("De R$ ",S8," até R$ ",U8)</f>
        <v>De R$ 3751,06 até R$ 4664,68</v>
      </c>
      <c r="J12" s="111">
        <v>0.22500000000000001</v>
      </c>
      <c r="K12" s="112">
        <f>W8</f>
        <v>651.73</v>
      </c>
      <c r="L12" s="297"/>
      <c r="R12" s="291" t="s">
        <v>159</v>
      </c>
      <c r="S12" s="291"/>
      <c r="T12" s="291"/>
      <c r="U12" s="113">
        <v>189.59</v>
      </c>
    </row>
    <row r="13" spans="2:23" ht="12.75" customHeight="1" x14ac:dyDescent="0.2">
      <c r="B13" s="283" t="s">
        <v>117</v>
      </c>
      <c r="C13" s="283"/>
      <c r="D13" s="284">
        <f>J15*G13</f>
        <v>0</v>
      </c>
      <c r="E13" s="284"/>
      <c r="F13" s="292"/>
      <c r="G13" s="30">
        <v>0</v>
      </c>
      <c r="H13" s="10" t="s">
        <v>160</v>
      </c>
      <c r="I13" s="114" t="str">
        <f>CONCATENATE("Acima de R$ ",S9)</f>
        <v>Acima de R$ 4664,68</v>
      </c>
      <c r="J13" s="115">
        <v>0.27500000000000002</v>
      </c>
      <c r="K13" s="116">
        <f>W9</f>
        <v>884.96</v>
      </c>
      <c r="L13" s="297"/>
    </row>
    <row r="14" spans="2:23" ht="12.75" customHeight="1" x14ac:dyDescent="0.2">
      <c r="B14" s="282"/>
      <c r="C14" s="282"/>
      <c r="D14" s="282"/>
      <c r="E14" s="282"/>
      <c r="F14" s="292"/>
      <c r="G14" s="10"/>
      <c r="H14" s="10"/>
      <c r="I14" s="117"/>
      <c r="J14" s="61"/>
      <c r="K14" s="117"/>
      <c r="L14" s="297"/>
    </row>
    <row r="15" spans="2:23" ht="12.75" customHeight="1" x14ac:dyDescent="0.2">
      <c r="B15" s="283"/>
      <c r="C15" s="283"/>
      <c r="D15" s="284"/>
      <c r="E15" s="284"/>
      <c r="F15" s="292"/>
      <c r="G15" s="118"/>
      <c r="H15" s="10"/>
      <c r="I15" s="119" t="s">
        <v>159</v>
      </c>
      <c r="J15" s="285">
        <f>U12</f>
        <v>189.59</v>
      </c>
      <c r="K15" s="285"/>
      <c r="L15" s="297"/>
    </row>
    <row r="16" spans="2:23" ht="12.75" customHeight="1" x14ac:dyDescent="0.2">
      <c r="B16" s="120"/>
      <c r="C16" s="10"/>
      <c r="D16" s="10"/>
      <c r="E16" s="17"/>
      <c r="F16" s="292"/>
      <c r="G16" s="286"/>
      <c r="H16" s="286"/>
      <c r="I16" s="61"/>
      <c r="J16" s="61"/>
      <c r="K16" s="61"/>
      <c r="L16" s="297"/>
    </row>
    <row r="17" spans="1:26" ht="15.75" customHeight="1" x14ac:dyDescent="0.25">
      <c r="A17" s="110"/>
      <c r="B17" s="287" t="s">
        <v>161</v>
      </c>
      <c r="C17" s="287"/>
      <c r="D17" s="273">
        <f>D7+D8+D9+D13</f>
        <v>1257.18625</v>
      </c>
      <c r="E17" s="273"/>
      <c r="F17" s="292"/>
      <c r="G17" s="286"/>
      <c r="H17" s="286"/>
      <c r="I17" s="121" t="s">
        <v>162</v>
      </c>
      <c r="J17" s="122" t="str">
        <f>IF(D21&lt;=S5,"",IF(AND(D21&gt;S5,D21&lt;=U6),"7,5%",IF(AND(D21&gt;U6,D21&lt;=U7),"15%",IF(AND(D21&gt;U7,D21&lt;=U8),"22,5%",IF(D21&gt;U8,"27,5%")))))</f>
        <v>27,5%</v>
      </c>
      <c r="K17" s="123"/>
      <c r="L17" s="297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ht="12.75" customHeight="1" x14ac:dyDescent="0.2">
      <c r="B18" s="120"/>
      <c r="C18" s="10"/>
      <c r="D18" s="10"/>
      <c r="E18" s="17"/>
      <c r="F18" s="292"/>
      <c r="G18" s="286"/>
      <c r="H18" s="286"/>
      <c r="I18" s="286"/>
      <c r="J18" s="286"/>
      <c r="K18" s="286"/>
      <c r="L18" s="297"/>
    </row>
    <row r="19" spans="1:26" ht="15.75" customHeight="1" x14ac:dyDescent="0.25">
      <c r="A19" s="110"/>
      <c r="B19" s="287" t="s">
        <v>163</v>
      </c>
      <c r="C19" s="287"/>
      <c r="D19" s="288">
        <f>D3-D17</f>
        <v>7540.63375</v>
      </c>
      <c r="E19" s="288"/>
      <c r="F19" s="292"/>
      <c r="G19" s="286"/>
      <c r="H19" s="286"/>
      <c r="I19" s="121" t="s">
        <v>164</v>
      </c>
      <c r="J19" s="289">
        <f>IF(D21&lt;=S5,"ISENTO",IF(AND(D21&gt;S5,D21&lt;=U6),SUM(D21*7.5%)-W6,IF(AND(D21&gt;U6,D21&lt;=U7),SUM(D21*15%)-W7,IF(AND(D21&gt;U7,D21&lt;=U8),SUM(D21*22.5%)-W8,IF(AND(D21&gt;U8),SUM(D21*27.5%)-W9)))))</f>
        <v>1188.7142812500001</v>
      </c>
      <c r="K19" s="289"/>
      <c r="L19" s="297"/>
      <c r="M19" s="110"/>
      <c r="N19" s="110"/>
      <c r="O19" s="110"/>
      <c r="P19" s="110"/>
      <c r="Q19" s="110"/>
      <c r="R19" s="110"/>
      <c r="Z19" s="110"/>
    </row>
    <row r="20" spans="1:26" ht="12.75" customHeight="1" x14ac:dyDescent="0.2">
      <c r="B20" s="120"/>
      <c r="C20" s="10"/>
      <c r="D20" s="10"/>
      <c r="E20" s="17"/>
      <c r="F20" s="292"/>
      <c r="G20" s="61"/>
      <c r="H20" s="61"/>
      <c r="I20" s="61"/>
      <c r="J20" s="61"/>
      <c r="K20" s="61"/>
      <c r="L20" s="63"/>
    </row>
    <row r="21" spans="1:26" ht="15.75" customHeight="1" x14ac:dyDescent="0.25">
      <c r="A21" s="110"/>
      <c r="B21" s="279" t="s">
        <v>165</v>
      </c>
      <c r="C21" s="279"/>
      <c r="D21" s="253">
        <f>IF(K3="Não",D19,0)</f>
        <v>7540.63375</v>
      </c>
      <c r="E21" s="253"/>
      <c r="F21" s="292"/>
      <c r="G21" s="61"/>
      <c r="H21" s="61"/>
      <c r="I21" s="124"/>
      <c r="J21" s="124"/>
      <c r="K21" s="124"/>
      <c r="L21" s="125"/>
      <c r="M21" s="110"/>
      <c r="N21" s="110"/>
      <c r="O21" s="110"/>
      <c r="P21" s="110"/>
      <c r="Q21" s="110"/>
      <c r="R21" s="110"/>
      <c r="Z21" s="110"/>
    </row>
    <row r="22" spans="1:26" ht="15.75" customHeight="1" x14ac:dyDescent="0.25">
      <c r="B22" s="120"/>
      <c r="C22" s="10"/>
      <c r="D22" s="10"/>
      <c r="E22" s="10"/>
      <c r="F22" s="10"/>
      <c r="G22" s="61"/>
      <c r="H22" s="61"/>
      <c r="I22" s="126" t="s">
        <v>166</v>
      </c>
      <c r="J22" s="127" t="str">
        <f>IF(D24&lt;=S5,"",IF(AND(D24&gt;S5,D24&lt;=U6),"7,5%",IF(AND(D24&gt;U6,D24&lt;=U7),"15%",IF(AND(D24&gt;U7,D21&lt;=U8),"22,5%",IF(D24&gt;U8,"27,5%")))))</f>
        <v>27,5%</v>
      </c>
      <c r="K22" s="124"/>
      <c r="L22" s="125"/>
    </row>
    <row r="23" spans="1:26" ht="12.75" customHeight="1" x14ac:dyDescent="0.2">
      <c r="B23" s="128"/>
      <c r="C23" s="129"/>
      <c r="D23" s="129"/>
      <c r="E23" s="129"/>
      <c r="F23" s="130"/>
      <c r="G23" s="124"/>
      <c r="H23" s="124"/>
      <c r="I23" s="124"/>
      <c r="J23" s="124"/>
      <c r="K23" s="124"/>
      <c r="L23" s="125"/>
    </row>
    <row r="24" spans="1:26" ht="15.75" customHeight="1" x14ac:dyDescent="0.25">
      <c r="B24" s="280" t="s">
        <v>167</v>
      </c>
      <c r="C24" s="280"/>
      <c r="D24" s="281">
        <f>IF(D21-S5&gt;0,D21-S5,0)</f>
        <v>5428.63375</v>
      </c>
      <c r="E24" s="281"/>
      <c r="F24" s="130"/>
      <c r="G24" s="124"/>
      <c r="H24" s="124"/>
      <c r="I24" s="126" t="s">
        <v>164</v>
      </c>
      <c r="J24" s="281">
        <f>IF(D24&lt;=S5,"ISENTO",IF(AND(D24&gt;S5,D24&lt;=U6),SUM(D24*7.5%)-W6,IF(AND(D24&gt;U6,D24&lt;=U7),SUM(D24*15%)-W7,IF(AND(D24&gt;U7,D24&lt;=U8),SUM(D24*22.5%)-W8,IF(AND(D24&gt;U8),SUM(D24*27.5%)-W9)))))</f>
        <v>607.91428125000016</v>
      </c>
      <c r="K24" s="281"/>
      <c r="L24" s="125"/>
    </row>
    <row r="25" spans="1:26" ht="15.75" customHeight="1" x14ac:dyDescent="0.25">
      <c r="B25" s="131"/>
      <c r="C25" s="130"/>
      <c r="D25" s="130"/>
      <c r="E25" s="130"/>
      <c r="F25" s="130"/>
      <c r="G25" s="124"/>
      <c r="H25" s="124"/>
      <c r="I25" s="126"/>
      <c r="J25" s="132"/>
      <c r="K25" s="132"/>
      <c r="L25" s="125"/>
    </row>
    <row r="26" spans="1:26" ht="12.75" customHeight="1" x14ac:dyDescent="0.2">
      <c r="B26" s="133"/>
      <c r="C26" s="134"/>
      <c r="D26" s="134"/>
      <c r="E26" s="134"/>
      <c r="F26" s="134"/>
      <c r="G26" s="134"/>
      <c r="H26" s="134"/>
      <c r="I26" s="134"/>
      <c r="J26" s="134"/>
      <c r="K26" s="134"/>
      <c r="L26" s="135"/>
    </row>
    <row r="29" spans="1:26" ht="12.75" customHeight="1" x14ac:dyDescent="0.2">
      <c r="D29" s="136"/>
      <c r="E29" s="137"/>
      <c r="F29" s="137"/>
      <c r="G29" s="138"/>
      <c r="H29" s="138"/>
      <c r="I29" s="138"/>
      <c r="J29" s="139"/>
    </row>
    <row r="30" spans="1:26" ht="15.75" customHeight="1" x14ac:dyDescent="0.25">
      <c r="D30" s="140"/>
      <c r="E30" s="141" t="s">
        <v>168</v>
      </c>
      <c r="F30" s="142"/>
      <c r="G30" s="142"/>
      <c r="H30" s="142"/>
      <c r="I30" s="127" t="str">
        <f>IF(K5="Sim",J22,J17)</f>
        <v>27,5%</v>
      </c>
      <c r="J30" s="143"/>
    </row>
    <row r="31" spans="1:26" ht="12.75" customHeight="1" x14ac:dyDescent="0.2">
      <c r="D31" s="140"/>
      <c r="E31" s="142"/>
      <c r="F31" s="142"/>
      <c r="G31" s="144"/>
      <c r="H31" s="144"/>
      <c r="I31" s="144"/>
      <c r="J31" s="143"/>
    </row>
    <row r="32" spans="1:26" ht="15.75" customHeight="1" x14ac:dyDescent="0.25">
      <c r="D32" s="140"/>
      <c r="E32" s="141" t="s">
        <v>164</v>
      </c>
      <c r="F32" s="142"/>
      <c r="G32" s="142"/>
      <c r="H32" s="142"/>
      <c r="I32" s="145">
        <v>7367.47</v>
      </c>
      <c r="J32" s="143"/>
    </row>
    <row r="33" spans="4:12" ht="15.75" customHeight="1" x14ac:dyDescent="0.25">
      <c r="D33" s="146"/>
      <c r="E33" s="147"/>
      <c r="F33" s="147"/>
      <c r="G33" s="148"/>
      <c r="H33" s="149"/>
      <c r="I33" s="149"/>
      <c r="J33" s="150"/>
    </row>
    <row r="34" spans="4:12" ht="12.75" customHeight="1" x14ac:dyDescent="0.2">
      <c r="F34" s="151"/>
      <c r="G34" s="151"/>
    </row>
    <row r="40" spans="4:12" ht="12.75" hidden="1" customHeight="1" x14ac:dyDescent="0.2">
      <c r="K40" s="245" t="s">
        <v>169</v>
      </c>
      <c r="L40" s="245"/>
    </row>
    <row r="41" spans="4:12" ht="12.75" hidden="1" customHeight="1" x14ac:dyDescent="0.2">
      <c r="K41" s="270" t="s">
        <v>133</v>
      </c>
      <c r="L41" s="270"/>
    </row>
    <row r="42" spans="4:12" ht="13.5" hidden="1" customHeight="1" x14ac:dyDescent="0.2">
      <c r="K42" s="271" t="s">
        <v>64</v>
      </c>
      <c r="L42" s="271"/>
    </row>
    <row r="43" spans="4:12" ht="12.75" customHeight="1" x14ac:dyDescent="0.2"/>
    <row r="44" spans="4:12" ht="12.75" customHeight="1" x14ac:dyDescent="0.2"/>
    <row r="45" spans="4:12" ht="12.75" customHeight="1" x14ac:dyDescent="0.2"/>
    <row r="46" spans="4:12" ht="12.75" customHeight="1" x14ac:dyDescent="0.2"/>
    <row r="47" spans="4:12" ht="12.75" customHeight="1" x14ac:dyDescent="0.2"/>
    <row r="48" spans="4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6">
    <mergeCell ref="B1:L1"/>
    <mergeCell ref="B2:L2"/>
    <mergeCell ref="B3:C3"/>
    <mergeCell ref="D3:E3"/>
    <mergeCell ref="G3:H3"/>
    <mergeCell ref="I3:J3"/>
    <mergeCell ref="R3:W3"/>
    <mergeCell ref="B4:F4"/>
    <mergeCell ref="R4:U4"/>
    <mergeCell ref="B5:E6"/>
    <mergeCell ref="F5:F21"/>
    <mergeCell ref="I5:J5"/>
    <mergeCell ref="S5:U5"/>
    <mergeCell ref="B7:C7"/>
    <mergeCell ref="D7:E7"/>
    <mergeCell ref="G7:H10"/>
    <mergeCell ref="I7:K7"/>
    <mergeCell ref="L7:L19"/>
    <mergeCell ref="B8:C8"/>
    <mergeCell ref="D8:E8"/>
    <mergeCell ref="B9:C9"/>
    <mergeCell ref="D9:E9"/>
    <mergeCell ref="S9:U9"/>
    <mergeCell ref="B10:E10"/>
    <mergeCell ref="R12:T12"/>
    <mergeCell ref="B13:C13"/>
    <mergeCell ref="D13:E13"/>
    <mergeCell ref="B14:E14"/>
    <mergeCell ref="B15:C15"/>
    <mergeCell ref="D15:E15"/>
    <mergeCell ref="J15:K15"/>
    <mergeCell ref="G16:H19"/>
    <mergeCell ref="B17:C17"/>
    <mergeCell ref="D17:E17"/>
    <mergeCell ref="I18:K18"/>
    <mergeCell ref="B19:C19"/>
    <mergeCell ref="D19:E19"/>
    <mergeCell ref="J19:K19"/>
    <mergeCell ref="K40:L40"/>
    <mergeCell ref="K41:L41"/>
    <mergeCell ref="K42:L42"/>
    <mergeCell ref="B21:C21"/>
    <mergeCell ref="D21:E21"/>
    <mergeCell ref="B24:C24"/>
    <mergeCell ref="D24:E24"/>
    <mergeCell ref="J24:K24"/>
  </mergeCells>
  <dataValidations count="1">
    <dataValidation type="list" allowBlank="1" showInputMessage="1" showErrorMessage="1" prompt=" - " sqref="K3 K5">
      <formula1>$K$41:$K$42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zoomScale="120" zoomScaleNormal="120" workbookViewId="0">
      <selection activeCell="P6" sqref="P6"/>
    </sheetView>
  </sheetViews>
  <sheetFormatPr defaultRowHeight="12.75" x14ac:dyDescent="0.2"/>
  <cols>
    <col min="1" max="1" width="1" customWidth="1"/>
    <col min="2" max="2" width="8.7109375" customWidth="1"/>
    <col min="3" max="3" width="11" customWidth="1"/>
    <col min="4" max="4" width="6.7109375" customWidth="1"/>
    <col min="5" max="5" width="13.85546875" customWidth="1"/>
    <col min="6" max="6" width="2" customWidth="1"/>
    <col min="7" max="7" width="10.7109375" customWidth="1"/>
    <col min="8" max="8" width="8.7109375" customWidth="1"/>
    <col min="9" max="9" width="1.85546875" customWidth="1"/>
    <col min="10" max="10" width="12.140625" customWidth="1"/>
    <col min="11" max="11" width="6.140625" customWidth="1"/>
    <col min="12" max="12" width="6.5703125" customWidth="1"/>
    <col min="13" max="13" width="12.7109375" customWidth="1"/>
    <col min="14" max="14" width="0.85546875" customWidth="1"/>
    <col min="15" max="26" width="8" customWidth="1"/>
    <col min="27" max="1025" width="12.5703125" customWidth="1"/>
  </cols>
  <sheetData>
    <row r="1" spans="2:14" ht="22.5" customHeight="1" x14ac:dyDescent="0.45">
      <c r="B1" s="303" t="s">
        <v>170</v>
      </c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</row>
    <row r="2" spans="2:14" ht="12.75" customHeight="1" x14ac:dyDescent="0.2">
      <c r="B2" s="286" t="s">
        <v>171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</row>
    <row r="3" spans="2:14" ht="12.75" customHeight="1" x14ac:dyDescent="0.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ht="12.75" customHeight="1" x14ac:dyDescent="0.2">
      <c r="B4" s="302" t="s">
        <v>172</v>
      </c>
      <c r="C4" s="302"/>
      <c r="D4" s="152" t="s">
        <v>173</v>
      </c>
      <c r="E4" s="153">
        <f>IF(D4="Sim",Receitas!E4,0)</f>
        <v>3825</v>
      </c>
      <c r="F4" s="10"/>
      <c r="G4" s="10"/>
      <c r="H4" s="10"/>
      <c r="I4" s="10"/>
      <c r="J4" s="302" t="s">
        <v>174</v>
      </c>
      <c r="K4" s="302"/>
      <c r="L4" s="152" t="s">
        <v>173</v>
      </c>
      <c r="M4" s="153">
        <f>IF(L4="sim",Despesas!E4,0)</f>
        <v>263.92500000000001</v>
      </c>
      <c r="N4" s="10"/>
    </row>
    <row r="5" spans="2:14" ht="12.75" customHeight="1" x14ac:dyDescent="0.2">
      <c r="B5" s="302" t="s">
        <v>175</v>
      </c>
      <c r="C5" s="302"/>
      <c r="D5" s="152" t="s">
        <v>173</v>
      </c>
      <c r="E5" s="153">
        <f>IF(D5="Sim",Receitas!E5,0)</f>
        <v>1224</v>
      </c>
      <c r="F5" s="10"/>
      <c r="G5" s="10"/>
      <c r="H5" s="10"/>
      <c r="I5" s="10"/>
      <c r="J5" s="302" t="s">
        <v>176</v>
      </c>
      <c r="K5" s="302"/>
      <c r="L5" s="152" t="s">
        <v>177</v>
      </c>
      <c r="M5" s="153">
        <f>IF(L5="sim",Despesas!E5,0)</f>
        <v>0</v>
      </c>
      <c r="N5" s="10"/>
    </row>
    <row r="6" spans="2:14" ht="12.75" customHeight="1" x14ac:dyDescent="0.2">
      <c r="B6" s="302" t="s">
        <v>178</v>
      </c>
      <c r="C6" s="302"/>
      <c r="D6" s="152" t="s">
        <v>173</v>
      </c>
      <c r="E6" s="153">
        <f>IF(D6="Sim",Receitas!E6,0)</f>
        <v>2601</v>
      </c>
      <c r="F6" s="10"/>
      <c r="G6" s="10"/>
      <c r="H6" s="10"/>
      <c r="I6" s="10"/>
      <c r="J6" s="302" t="s">
        <v>179</v>
      </c>
      <c r="K6" s="302"/>
      <c r="L6" s="152" t="s">
        <v>173</v>
      </c>
      <c r="M6" s="153">
        <f>IF(L6="sim",Despesas!E6,0)</f>
        <v>887.59124999999995</v>
      </c>
      <c r="N6" s="10"/>
    </row>
    <row r="7" spans="2:14" ht="12.75" customHeight="1" x14ac:dyDescent="0.2">
      <c r="B7" s="302" t="s">
        <v>180</v>
      </c>
      <c r="C7" s="302"/>
      <c r="D7" s="152" t="s">
        <v>173</v>
      </c>
      <c r="E7" s="153">
        <f>IF(D7="Sim",Receitas!E7,0)</f>
        <v>191.25</v>
      </c>
      <c r="F7" s="10"/>
      <c r="G7" s="10"/>
      <c r="H7" s="10"/>
      <c r="I7" s="10"/>
      <c r="J7" s="302" t="s">
        <v>181</v>
      </c>
      <c r="K7" s="302"/>
      <c r="L7" s="152" t="s">
        <v>177</v>
      </c>
      <c r="M7" s="153">
        <f>IF(L7="sim",Despesas!E7,0)</f>
        <v>0</v>
      </c>
      <c r="N7" s="10"/>
    </row>
    <row r="8" spans="2:14" ht="12.75" customHeight="1" x14ac:dyDescent="0.2">
      <c r="B8" s="302" t="s">
        <v>182</v>
      </c>
      <c r="C8" s="302"/>
      <c r="D8" s="152" t="s">
        <v>173</v>
      </c>
      <c r="E8" s="153">
        <f>IF(D8="Sim",Receitas!E8,0)</f>
        <v>956.25</v>
      </c>
      <c r="F8" s="10"/>
      <c r="G8" s="10"/>
      <c r="H8" s="10"/>
      <c r="I8" s="10"/>
      <c r="J8" s="302" t="s">
        <v>183</v>
      </c>
      <c r="K8" s="302"/>
      <c r="L8" s="152" t="s">
        <v>177</v>
      </c>
      <c r="M8" s="153">
        <f>IF(L8="sim",Despesas!E8,0)</f>
        <v>0</v>
      </c>
      <c r="N8" s="10"/>
    </row>
    <row r="9" spans="2:14" ht="12.75" customHeight="1" x14ac:dyDescent="0.2">
      <c r="B9" s="302" t="s">
        <v>153</v>
      </c>
      <c r="C9" s="302"/>
      <c r="D9" s="152" t="s">
        <v>173</v>
      </c>
      <c r="E9" s="153">
        <f>IF(D9="Sim",Receitas!E9,0)</f>
        <v>0.32</v>
      </c>
      <c r="F9" s="10"/>
      <c r="G9" s="10"/>
      <c r="H9" s="10"/>
      <c r="I9" s="10"/>
      <c r="J9" s="302" t="s">
        <v>184</v>
      </c>
      <c r="K9" s="302"/>
      <c r="L9" s="152" t="s">
        <v>177</v>
      </c>
      <c r="M9" s="153">
        <f>IF(L9="sim",Despesas!E9,0)</f>
        <v>0</v>
      </c>
      <c r="N9" s="10"/>
    </row>
    <row r="10" spans="2:14" ht="12.75" customHeight="1" x14ac:dyDescent="0.2">
      <c r="B10" s="302" t="s">
        <v>185</v>
      </c>
      <c r="C10" s="302"/>
      <c r="D10" s="152" t="s">
        <v>177</v>
      </c>
      <c r="E10" s="153">
        <f>IF(D10="Sim",Receitas!E10,0)</f>
        <v>0</v>
      </c>
      <c r="F10" s="10"/>
      <c r="G10" s="10"/>
      <c r="H10" s="10"/>
      <c r="I10" s="10"/>
      <c r="J10" s="302" t="s">
        <v>186</v>
      </c>
      <c r="K10" s="302"/>
      <c r="L10" s="152" t="s">
        <v>177</v>
      </c>
      <c r="M10" s="153">
        <f>IF(L10="sim",Despesas!E10,0)</f>
        <v>0</v>
      </c>
      <c r="N10" s="10"/>
    </row>
    <row r="11" spans="2:14" ht="12.75" customHeight="1" x14ac:dyDescent="0.2">
      <c r="B11" s="302" t="s">
        <v>187</v>
      </c>
      <c r="C11" s="302"/>
      <c r="D11" s="152" t="s">
        <v>177</v>
      </c>
      <c r="E11" s="153">
        <f>IF(D11="Sim",Receitas!E11,0)</f>
        <v>0</v>
      </c>
      <c r="F11" s="10"/>
      <c r="G11" s="10"/>
      <c r="H11" s="10"/>
      <c r="I11" s="10"/>
      <c r="J11" s="302" t="str">
        <f>IF(Despesas!E11&gt;0,Despesas!B11,"")</f>
        <v/>
      </c>
      <c r="K11" s="302"/>
      <c r="L11" s="152" t="s">
        <v>177</v>
      </c>
      <c r="M11" s="153">
        <f>IF(L11="sim",Despesas!E11,0)</f>
        <v>0</v>
      </c>
      <c r="N11" s="10"/>
    </row>
    <row r="12" spans="2:14" ht="12.75" customHeight="1" x14ac:dyDescent="0.2">
      <c r="B12" s="302" t="s">
        <v>188</v>
      </c>
      <c r="C12" s="302"/>
      <c r="D12" s="152" t="s">
        <v>177</v>
      </c>
      <c r="E12" s="153">
        <f>IF(D12="Sim",Receitas!E12,0)</f>
        <v>0</v>
      </c>
      <c r="F12" s="10"/>
      <c r="G12" s="10"/>
      <c r="H12" s="10"/>
      <c r="I12" s="10"/>
      <c r="J12" s="302" t="str">
        <f>IF(Despesas!E12&gt;0,Despesas!B12,"")</f>
        <v/>
      </c>
      <c r="K12" s="302"/>
      <c r="L12" s="152" t="s">
        <v>177</v>
      </c>
      <c r="M12" s="153">
        <f>IF(L12="sim",Despesas!E12,0)</f>
        <v>0</v>
      </c>
      <c r="N12" s="10"/>
    </row>
    <row r="13" spans="2:14" ht="12.75" customHeight="1" x14ac:dyDescent="0.2">
      <c r="B13" s="302" t="str">
        <f>IF(Receitas!E13&gt;0,Receitas!B13,"")</f>
        <v/>
      </c>
      <c r="C13" s="302"/>
      <c r="D13" s="152" t="s">
        <v>173</v>
      </c>
      <c r="E13" s="153">
        <f>IF(D13="Sim",Receitas!E13,0)</f>
        <v>0</v>
      </c>
      <c r="F13" s="10"/>
      <c r="G13" s="10"/>
      <c r="H13" s="10"/>
      <c r="I13" s="10"/>
      <c r="J13" s="302" t="str">
        <f>IF(Despesas!E13&gt;0,Despesas!B13,"")</f>
        <v/>
      </c>
      <c r="K13" s="302"/>
      <c r="L13" s="152" t="s">
        <v>177</v>
      </c>
      <c r="M13" s="153">
        <f>IF(L13="sim",Despesas!E13,0)</f>
        <v>0</v>
      </c>
      <c r="N13" s="10"/>
    </row>
    <row r="14" spans="2:14" ht="12.75" customHeight="1" x14ac:dyDescent="0.2">
      <c r="B14" s="105"/>
      <c r="C14" s="105"/>
      <c r="D14" s="154"/>
      <c r="E14" s="155"/>
      <c r="F14" s="10"/>
      <c r="G14" s="156" t="s">
        <v>189</v>
      </c>
      <c r="H14" s="157" t="s">
        <v>190</v>
      </c>
      <c r="I14" s="61"/>
      <c r="J14" s="302" t="s">
        <v>191</v>
      </c>
      <c r="K14" s="302"/>
      <c r="L14" s="152" t="s">
        <v>173</v>
      </c>
      <c r="M14" s="153">
        <f>IF(L14="sim",'I R'!I32,0)</f>
        <v>7367.47</v>
      </c>
      <c r="N14" s="10"/>
    </row>
    <row r="15" spans="2:14" ht="12.75" customHeight="1" x14ac:dyDescent="0.2">
      <c r="B15" s="302" t="s">
        <v>192</v>
      </c>
      <c r="C15" s="302"/>
      <c r="D15" s="152" t="s">
        <v>177</v>
      </c>
      <c r="E15" s="153">
        <f>IF(D15="Sim",SUM(G15*H15),0)</f>
        <v>0</v>
      </c>
      <c r="F15" s="10"/>
      <c r="G15" s="158">
        <v>998</v>
      </c>
      <c r="H15" s="159">
        <v>4</v>
      </c>
      <c r="I15" s="61"/>
      <c r="J15" s="286"/>
      <c r="K15" s="286"/>
      <c r="L15" s="10"/>
      <c r="M15" s="10"/>
      <c r="N15" s="10"/>
    </row>
    <row r="16" spans="2:14" ht="12.75" customHeight="1" x14ac:dyDescent="0.2">
      <c r="B16" s="286"/>
      <c r="C16" s="28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ht="12.75" customHeight="1" x14ac:dyDescent="0.2">
      <c r="B17" s="258" t="s">
        <v>193</v>
      </c>
      <c r="C17" s="258"/>
      <c r="D17" s="258"/>
      <c r="E17" s="160">
        <f>SUM(E4:E16)</f>
        <v>8797.82</v>
      </c>
      <c r="F17" s="10"/>
      <c r="G17" s="10"/>
      <c r="H17" s="10"/>
      <c r="I17" s="10"/>
      <c r="J17" s="10"/>
      <c r="K17" s="258" t="s">
        <v>194</v>
      </c>
      <c r="L17" s="258"/>
      <c r="M17" s="160">
        <f>SUM(M4:M14)</f>
        <v>8518.9862499999999</v>
      </c>
      <c r="N17" s="10"/>
    </row>
    <row r="18" spans="2:14" ht="12.75" customHeight="1" x14ac:dyDescent="0.2">
      <c r="B18" s="286"/>
      <c r="C18" s="286"/>
      <c r="D18" s="10"/>
      <c r="E18" s="10"/>
      <c r="F18" s="10"/>
      <c r="G18" s="258" t="s">
        <v>195</v>
      </c>
      <c r="H18" s="258"/>
      <c r="I18" s="105"/>
      <c r="J18" s="161">
        <v>0.32600000000000001</v>
      </c>
      <c r="K18" s="10"/>
      <c r="L18" s="10"/>
      <c r="M18" s="10"/>
      <c r="N18" s="10"/>
    </row>
    <row r="19" spans="2:14" ht="12.75" customHeight="1" x14ac:dyDescent="0.2">
      <c r="B19" s="258" t="s">
        <v>196</v>
      </c>
      <c r="C19" s="258"/>
      <c r="D19" s="258"/>
      <c r="E19" s="162">
        <f>E17-M17</f>
        <v>278.83374999999978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 ht="12.75" customHeight="1" x14ac:dyDescent="0.2">
      <c r="B20" s="61"/>
      <c r="C20" s="61"/>
      <c r="D20" s="10"/>
      <c r="E20" s="10"/>
      <c r="F20" s="10"/>
      <c r="G20" s="258" t="s">
        <v>197</v>
      </c>
      <c r="H20" s="258"/>
      <c r="I20" s="10"/>
      <c r="J20" s="163">
        <f>E19*J18</f>
        <v>90.899802499999936</v>
      </c>
      <c r="K20" s="164"/>
      <c r="L20" s="10"/>
      <c r="M20" s="10"/>
      <c r="N20" s="10"/>
    </row>
    <row r="21" spans="2:14" ht="12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ht="12.75" customHeight="1" x14ac:dyDescent="0.2">
      <c r="B22" s="286"/>
      <c r="C22" s="28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2.75" customHeight="1" x14ac:dyDescent="0.2">
      <c r="B23" s="286"/>
      <c r="C23" s="286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ht="12.75" customHeight="1" x14ac:dyDescent="0.2">
      <c r="B24" s="286"/>
      <c r="C24" s="286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ht="12.75" customHeight="1" x14ac:dyDescent="0.2">
      <c r="B25" s="286"/>
      <c r="C25" s="286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ht="12.75" customHeight="1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31" spans="2:14" ht="12.75" customHeight="1" x14ac:dyDescent="0.2">
      <c r="J31" s="7" t="s">
        <v>198</v>
      </c>
    </row>
    <row r="32" spans="2:14" ht="12.75" customHeight="1" x14ac:dyDescent="0.2">
      <c r="J32" s="165" t="s">
        <v>173</v>
      </c>
    </row>
    <row r="33" spans="10:10" ht="12.75" customHeight="1" x14ac:dyDescent="0.2">
      <c r="J33" s="77" t="s">
        <v>177</v>
      </c>
    </row>
    <row r="34" spans="10:10" ht="12.75" customHeight="1" x14ac:dyDescent="0.2"/>
    <row r="35" spans="10:10" ht="12.75" customHeight="1" x14ac:dyDescent="0.2"/>
    <row r="36" spans="10:10" ht="12.75" customHeight="1" x14ac:dyDescent="0.2"/>
    <row r="37" spans="10:10" ht="12.75" customHeight="1" x14ac:dyDescent="0.2"/>
    <row r="38" spans="10:10" ht="12.75" customHeight="1" x14ac:dyDescent="0.2"/>
    <row r="39" spans="10:10" ht="12.75" customHeight="1" x14ac:dyDescent="0.2"/>
    <row r="40" spans="10:10" ht="12.75" customHeight="1" x14ac:dyDescent="0.2"/>
    <row r="41" spans="10:10" ht="12.75" customHeight="1" x14ac:dyDescent="0.2"/>
    <row r="42" spans="10:10" ht="12.75" customHeight="1" x14ac:dyDescent="0.2"/>
    <row r="43" spans="10:10" ht="12.75" customHeight="1" x14ac:dyDescent="0.2"/>
    <row r="44" spans="10:10" ht="12.75" customHeight="1" x14ac:dyDescent="0.2"/>
    <row r="45" spans="10:10" ht="12.75" customHeight="1" x14ac:dyDescent="0.2"/>
    <row r="46" spans="10:10" ht="12.75" customHeight="1" x14ac:dyDescent="0.2"/>
    <row r="47" spans="10:10" ht="12.75" customHeight="1" x14ac:dyDescent="0.2"/>
    <row r="48" spans="10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6">
    <mergeCell ref="B1:N1"/>
    <mergeCell ref="B2:N2"/>
    <mergeCell ref="B4:C4"/>
    <mergeCell ref="J4:K4"/>
    <mergeCell ref="B5:C5"/>
    <mergeCell ref="J5:K5"/>
    <mergeCell ref="B6:C6"/>
    <mergeCell ref="J6:K6"/>
    <mergeCell ref="B7:C7"/>
    <mergeCell ref="J7:K7"/>
    <mergeCell ref="B8:C8"/>
    <mergeCell ref="J8:K8"/>
    <mergeCell ref="B9:C9"/>
    <mergeCell ref="J9:K9"/>
    <mergeCell ref="B10:C10"/>
    <mergeCell ref="J10:K10"/>
    <mergeCell ref="B11:C11"/>
    <mergeCell ref="J11:K11"/>
    <mergeCell ref="B12:C12"/>
    <mergeCell ref="J12:K12"/>
    <mergeCell ref="B13:C13"/>
    <mergeCell ref="J13:K13"/>
    <mergeCell ref="J14:K14"/>
    <mergeCell ref="B15:C15"/>
    <mergeCell ref="J15:K15"/>
    <mergeCell ref="B16:C16"/>
    <mergeCell ref="B17:D17"/>
    <mergeCell ref="K17:L17"/>
    <mergeCell ref="B23:C23"/>
    <mergeCell ref="B24:C24"/>
    <mergeCell ref="B25:C25"/>
    <mergeCell ref="B18:C18"/>
    <mergeCell ref="G18:H18"/>
    <mergeCell ref="B19:D19"/>
    <mergeCell ref="G20:H20"/>
    <mergeCell ref="B22:C22"/>
  </mergeCells>
  <dataValidations count="1">
    <dataValidation type="list" allowBlank="1" showInputMessage="1" showErrorMessage="1" prompt=" - " sqref="D4:D15 L4:L14">
      <formula1>$J$32:$J$33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opLeftCell="A7" zoomScaleNormal="100" workbookViewId="0">
      <selection activeCell="J14" sqref="J14"/>
    </sheetView>
  </sheetViews>
  <sheetFormatPr defaultRowHeight="12.75" x14ac:dyDescent="0.2"/>
  <cols>
    <col min="1" max="1" width="2.42578125" customWidth="1"/>
    <col min="2" max="2" width="1" customWidth="1"/>
    <col min="3" max="3" width="4.140625" customWidth="1"/>
    <col min="4" max="4" width="8.7109375" customWidth="1"/>
    <col min="5" max="5" width="13" customWidth="1"/>
    <col min="6" max="6" width="6.42578125" customWidth="1"/>
    <col min="7" max="7" width="12.5703125" customWidth="1"/>
    <col min="8" max="8" width="2.140625" customWidth="1"/>
    <col min="9" max="9" width="5.5703125" customWidth="1"/>
    <col min="10" max="10" width="21.5703125" customWidth="1"/>
    <col min="11" max="11" width="17.85546875" customWidth="1"/>
    <col min="12" max="26" width="8.7109375" customWidth="1"/>
    <col min="27" max="27" width="12.85546875" customWidth="1"/>
    <col min="28" max="1025" width="12.5703125" customWidth="1"/>
  </cols>
  <sheetData>
    <row r="1" spans="1:27" ht="12.75" customHeight="1" x14ac:dyDescent="0.2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AA1" s="103"/>
    </row>
    <row r="2" spans="1:27" ht="12.75" customHeight="1" x14ac:dyDescent="0.2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3" spans="1:27" ht="12.7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1:27" ht="12.75" customHeight="1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1:27" ht="15.75" customHeight="1" x14ac:dyDescent="0.25">
      <c r="A5" s="103"/>
      <c r="B5" s="103"/>
      <c r="C5" s="341" t="s">
        <v>199</v>
      </c>
      <c r="D5" s="341"/>
      <c r="E5" s="341"/>
      <c r="F5" s="341"/>
      <c r="G5" s="341"/>
      <c r="H5" s="341"/>
      <c r="I5" s="341"/>
      <c r="J5" s="341"/>
      <c r="K5" s="341"/>
      <c r="L5" s="103"/>
      <c r="M5" s="103"/>
      <c r="N5" s="103"/>
    </row>
    <row r="6" spans="1:27" ht="8.25" customHeight="1" x14ac:dyDescent="0.2">
      <c r="A6" s="166"/>
      <c r="B6" s="166"/>
      <c r="C6" s="326"/>
      <c r="D6" s="326"/>
      <c r="E6" s="326"/>
      <c r="F6" s="326"/>
      <c r="G6" s="326"/>
      <c r="H6" s="326"/>
      <c r="I6" s="326"/>
      <c r="J6" s="326"/>
      <c r="K6" s="326"/>
      <c r="L6" s="166"/>
      <c r="M6" s="166"/>
      <c r="N6" s="166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</row>
    <row r="7" spans="1:27" ht="12.75" customHeight="1" x14ac:dyDescent="0.2">
      <c r="A7" s="103"/>
      <c r="B7" s="103"/>
      <c r="C7" s="342" t="s">
        <v>200</v>
      </c>
      <c r="D7" s="342"/>
      <c r="E7" s="342"/>
      <c r="F7" s="168" t="s">
        <v>201</v>
      </c>
      <c r="G7" s="169" t="str">
        <f>Identificação!G11</f>
        <v>Ago/2023</v>
      </c>
      <c r="H7" s="343" t="s">
        <v>202</v>
      </c>
      <c r="I7" s="343"/>
      <c r="J7" s="343"/>
      <c r="K7" s="343"/>
      <c r="L7" s="103"/>
      <c r="M7" s="103"/>
      <c r="N7" s="103"/>
    </row>
    <row r="8" spans="1:27" ht="8.25" customHeight="1" x14ac:dyDescent="0.2">
      <c r="A8" s="166"/>
      <c r="B8" s="166"/>
      <c r="C8" s="326"/>
      <c r="D8" s="326"/>
      <c r="E8" s="326"/>
      <c r="F8" s="326"/>
      <c r="G8" s="326"/>
      <c r="H8" s="326"/>
      <c r="I8" s="326"/>
      <c r="J8" s="326"/>
      <c r="K8" s="326"/>
      <c r="L8" s="166"/>
      <c r="M8" s="166"/>
      <c r="N8" s="166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</row>
    <row r="9" spans="1:27" ht="12.75" customHeight="1" x14ac:dyDescent="0.2">
      <c r="A9" s="103"/>
      <c r="B9" s="103"/>
      <c r="C9" s="338" t="s">
        <v>203</v>
      </c>
      <c r="D9" s="338"/>
      <c r="E9" s="338"/>
      <c r="F9" s="339" t="str">
        <f>Identificação!C5</f>
        <v>ANDRE GUSTAVO DE PINHO MONTEIRO</v>
      </c>
      <c r="G9" s="339"/>
      <c r="H9" s="339"/>
      <c r="I9" s="339"/>
      <c r="J9" s="339"/>
      <c r="K9" s="170">
        <f>Identificação!G3</f>
        <v>0</v>
      </c>
      <c r="L9" s="103"/>
      <c r="M9" s="103"/>
      <c r="N9" s="103"/>
    </row>
    <row r="10" spans="1:27" ht="8.25" customHeight="1" x14ac:dyDescent="0.2">
      <c r="A10" s="166"/>
      <c r="B10" s="166"/>
      <c r="C10" s="326"/>
      <c r="D10" s="326"/>
      <c r="E10" s="326"/>
      <c r="F10" s="326"/>
      <c r="G10" s="326"/>
      <c r="H10" s="326"/>
      <c r="I10" s="326"/>
      <c r="J10" s="326"/>
      <c r="K10" s="326"/>
      <c r="L10" s="166"/>
      <c r="M10" s="166"/>
      <c r="N10" s="166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</row>
    <row r="11" spans="1:27" ht="12.75" customHeight="1" x14ac:dyDescent="0.2">
      <c r="A11" s="103"/>
      <c r="B11" s="103"/>
      <c r="C11" s="338" t="s">
        <v>204</v>
      </c>
      <c r="D11" s="338"/>
      <c r="E11" s="171">
        <f>Identificação!C3</f>
        <v>961755362</v>
      </c>
      <c r="F11" s="168" t="s">
        <v>6</v>
      </c>
      <c r="G11" s="340" t="str">
        <f>Identificação!G7</f>
        <v>537.198.754-15</v>
      </c>
      <c r="H11" s="340"/>
      <c r="I11" s="340"/>
      <c r="J11" s="103"/>
      <c r="K11" s="172"/>
      <c r="L11" s="103"/>
      <c r="M11" s="103"/>
      <c r="N11" s="103"/>
    </row>
    <row r="12" spans="1:27" ht="8.25" customHeight="1" x14ac:dyDescent="0.2">
      <c r="A12" s="166"/>
      <c r="B12" s="166"/>
      <c r="C12" s="326"/>
      <c r="D12" s="326"/>
      <c r="E12" s="326"/>
      <c r="F12" s="326"/>
      <c r="G12" s="326"/>
      <c r="H12" s="326"/>
      <c r="I12" s="326"/>
      <c r="J12" s="326"/>
      <c r="K12" s="326"/>
      <c r="L12" s="166"/>
      <c r="M12" s="166"/>
      <c r="N12" s="166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</row>
    <row r="13" spans="1:27" ht="27" customHeight="1" x14ac:dyDescent="0.2">
      <c r="A13" s="103"/>
      <c r="B13" s="103"/>
      <c r="C13" s="327" t="s">
        <v>205</v>
      </c>
      <c r="D13" s="327"/>
      <c r="E13" s="327"/>
      <c r="F13" s="173" t="s">
        <v>145</v>
      </c>
      <c r="G13" s="328" t="s">
        <v>206</v>
      </c>
      <c r="H13" s="328"/>
      <c r="I13" s="328"/>
      <c r="J13" s="174" t="s">
        <v>207</v>
      </c>
      <c r="K13" s="175" t="s">
        <v>208</v>
      </c>
      <c r="L13" s="103"/>
      <c r="M13" s="103"/>
      <c r="N13" s="103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</row>
    <row r="14" spans="1:27" ht="12.75" customHeight="1" x14ac:dyDescent="0.2">
      <c r="A14" s="103"/>
      <c r="B14" s="103"/>
      <c r="C14" s="329" t="s">
        <v>209</v>
      </c>
      <c r="D14" s="330" t="str">
        <f>Receitas!B4</f>
        <v>SOLDO</v>
      </c>
      <c r="E14" s="330"/>
      <c r="F14" s="73"/>
      <c r="G14" s="331">
        <f>Receitas!E4</f>
        <v>3825</v>
      </c>
      <c r="H14" s="331"/>
      <c r="I14" s="331"/>
      <c r="J14" s="178"/>
      <c r="K14" s="179"/>
      <c r="L14" s="103"/>
      <c r="M14" s="103"/>
      <c r="N14" s="103"/>
    </row>
    <row r="15" spans="1:27" ht="12.75" customHeight="1" x14ac:dyDescent="0.2">
      <c r="A15" s="103"/>
      <c r="B15" s="103"/>
      <c r="C15" s="329"/>
      <c r="D15" s="177" t="str">
        <f>Receitas!B5</f>
        <v>ADIC DISPO MILITAR</v>
      </c>
      <c r="E15" s="180"/>
      <c r="F15" s="73"/>
      <c r="G15" s="332">
        <f>Receitas!E5</f>
        <v>1224</v>
      </c>
      <c r="H15" s="333"/>
      <c r="I15" s="334"/>
      <c r="J15" s="193"/>
      <c r="K15" s="181"/>
      <c r="L15" s="103"/>
      <c r="M15" s="103"/>
      <c r="N15" s="103"/>
    </row>
    <row r="16" spans="1:27" ht="12.75" customHeight="1" x14ac:dyDescent="0.2">
      <c r="A16" s="103"/>
      <c r="B16" s="103"/>
      <c r="C16" s="329"/>
      <c r="D16" s="177" t="str">
        <f>Receitas!B6</f>
        <v>ADIC HAB</v>
      </c>
      <c r="E16" s="180"/>
      <c r="F16" s="73"/>
      <c r="G16" s="332">
        <f>Receitas!E6</f>
        <v>2601</v>
      </c>
      <c r="H16" s="333"/>
      <c r="I16" s="334"/>
      <c r="J16" s="193"/>
      <c r="K16" s="181"/>
      <c r="L16" s="103"/>
      <c r="M16" s="103"/>
      <c r="N16" s="103"/>
    </row>
    <row r="17" spans="1:27" ht="12.75" customHeight="1" x14ac:dyDescent="0.2">
      <c r="A17" s="103"/>
      <c r="B17" s="103"/>
      <c r="C17" s="329"/>
      <c r="D17" s="177" t="str">
        <f>Receitas!B7</f>
        <v>ADIC PERM</v>
      </c>
      <c r="E17" s="180"/>
      <c r="F17" s="73"/>
      <c r="G17" s="332">
        <f>Receitas!E7</f>
        <v>191.25</v>
      </c>
      <c r="H17" s="333"/>
      <c r="I17" s="334"/>
      <c r="J17" s="193"/>
      <c r="K17" s="181"/>
      <c r="L17" s="103"/>
      <c r="M17" s="103"/>
      <c r="N17" s="103"/>
    </row>
    <row r="18" spans="1:27" ht="12.75" customHeight="1" x14ac:dyDescent="0.2">
      <c r="A18" s="103"/>
      <c r="B18" s="103"/>
      <c r="C18" s="329"/>
      <c r="D18" s="177" t="str">
        <f>Receitas!B8</f>
        <v>ADIC MIL</v>
      </c>
      <c r="E18" s="180"/>
      <c r="F18" s="73"/>
      <c r="G18" s="332">
        <f>Receitas!E8</f>
        <v>956.25</v>
      </c>
      <c r="H18" s="333"/>
      <c r="I18" s="334"/>
      <c r="J18" s="193"/>
      <c r="K18" s="181"/>
      <c r="L18" s="103"/>
      <c r="M18" s="103"/>
      <c r="N18" s="103"/>
    </row>
    <row r="19" spans="1:27" ht="12.75" customHeight="1" x14ac:dyDescent="0.2">
      <c r="A19" s="103"/>
      <c r="B19" s="103"/>
      <c r="C19" s="329"/>
      <c r="D19" s="177" t="str">
        <f>Receitas!B9</f>
        <v>SALÁRIO FAMÍLIA</v>
      </c>
      <c r="E19" s="180"/>
      <c r="F19" s="182"/>
      <c r="G19" s="332">
        <f>Receitas!E9</f>
        <v>0.32</v>
      </c>
      <c r="H19" s="333"/>
      <c r="I19" s="334"/>
      <c r="J19" s="193"/>
      <c r="K19" s="181"/>
      <c r="L19" s="103"/>
      <c r="M19" s="103"/>
      <c r="N19" s="103"/>
    </row>
    <row r="20" spans="1:27" ht="12.75" customHeight="1" x14ac:dyDescent="0.2">
      <c r="A20" s="103"/>
      <c r="B20" s="103"/>
      <c r="C20" s="329"/>
      <c r="D20" s="177" t="str">
        <f>Receitas!B10</f>
        <v>ADIC INVALIDEZ</v>
      </c>
      <c r="E20" s="180"/>
      <c r="F20" s="34"/>
      <c r="G20" s="332">
        <f>Receitas!E10</f>
        <v>0</v>
      </c>
      <c r="H20" s="333"/>
      <c r="I20" s="334"/>
      <c r="J20" s="193"/>
      <c r="K20" s="181"/>
      <c r="L20" s="103"/>
      <c r="M20" s="103"/>
      <c r="N20" s="103"/>
    </row>
    <row r="21" spans="1:27" ht="12.75" customHeight="1" x14ac:dyDescent="0.2">
      <c r="A21" s="103"/>
      <c r="B21" s="103"/>
      <c r="C21" s="329"/>
      <c r="D21" s="177" t="str">
        <f>Receitas!B11</f>
        <v>ADIC COMP ORG</v>
      </c>
      <c r="E21" s="180"/>
      <c r="F21" s="182"/>
      <c r="G21" s="332">
        <f>Receitas!E11</f>
        <v>0</v>
      </c>
      <c r="H21" s="333"/>
      <c r="I21" s="334"/>
      <c r="J21" s="193"/>
      <c r="K21" s="181"/>
      <c r="L21" s="103"/>
      <c r="M21" s="103"/>
      <c r="N21" s="103"/>
    </row>
    <row r="22" spans="1:27" ht="12.75" customHeight="1" x14ac:dyDescent="0.2">
      <c r="A22" s="103"/>
      <c r="B22" s="103"/>
      <c r="C22" s="329"/>
      <c r="D22" s="177" t="str">
        <f>Receitas!B12</f>
        <v>PTTC</v>
      </c>
      <c r="E22" s="180"/>
      <c r="F22" s="34"/>
      <c r="G22" s="332">
        <f>Receitas!E12</f>
        <v>0</v>
      </c>
      <c r="H22" s="333"/>
      <c r="I22" s="334"/>
      <c r="J22" s="193"/>
      <c r="K22" s="181"/>
      <c r="L22" s="103"/>
      <c r="M22" s="103"/>
      <c r="N22" s="103"/>
    </row>
    <row r="23" spans="1:27" ht="12.75" customHeight="1" thickBot="1" x14ac:dyDescent="0.25">
      <c r="A23" s="103"/>
      <c r="B23" s="103"/>
      <c r="C23" s="329"/>
      <c r="D23" s="177" t="str">
        <f>Receitas!B13</f>
        <v>13º SALÁRIO</v>
      </c>
      <c r="E23" s="184"/>
      <c r="F23" s="185"/>
      <c r="G23" s="335">
        <f>Receitas!E13</f>
        <v>0</v>
      </c>
      <c r="H23" s="336"/>
      <c r="I23" s="337"/>
      <c r="J23" s="212"/>
      <c r="K23" s="186"/>
      <c r="L23" s="103"/>
      <c r="M23" s="103"/>
      <c r="N23" s="103"/>
    </row>
    <row r="24" spans="1:27" ht="12.75" customHeight="1" thickBot="1" x14ac:dyDescent="0.25">
      <c r="A24" s="103"/>
      <c r="B24" s="103"/>
      <c r="C24" s="311" t="s">
        <v>210</v>
      </c>
      <c r="D24" s="311"/>
      <c r="E24" s="311"/>
      <c r="F24" s="311"/>
      <c r="G24" s="320">
        <f>SUM(G14:G23)</f>
        <v>8797.82</v>
      </c>
      <c r="H24" s="320"/>
      <c r="I24" s="320"/>
      <c r="J24" s="151"/>
      <c r="K24" s="151"/>
      <c r="L24" s="103"/>
      <c r="M24" s="103"/>
      <c r="N24" s="103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</row>
    <row r="25" spans="1:27" ht="8.25" customHeight="1" x14ac:dyDescent="0.2">
      <c r="A25" s="166"/>
      <c r="B25" s="166"/>
      <c r="C25" s="314" t="str">
        <f>IF(G25&lt;&gt;"",Receitas!B18,"")</f>
        <v/>
      </c>
      <c r="D25" s="314"/>
      <c r="E25" s="314"/>
      <c r="F25" s="314"/>
      <c r="G25" s="315" t="str">
        <f>IF(Receitas!E18&gt;0,Receitas!E18,"")</f>
        <v/>
      </c>
      <c r="H25" s="315"/>
      <c r="I25" s="315"/>
      <c r="J25" s="188"/>
      <c r="K25" s="188"/>
      <c r="L25" s="166"/>
      <c r="M25" s="166"/>
      <c r="N25" s="166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 spans="1:27" ht="8.25" customHeight="1" x14ac:dyDescent="0.2">
      <c r="A26" s="166"/>
      <c r="B26" s="166"/>
      <c r="C26" s="314" t="str">
        <f>IF(G25&lt;&gt;"","SOMA C/G NAT-1ª PAR","")</f>
        <v/>
      </c>
      <c r="D26" s="314"/>
      <c r="E26" s="314"/>
      <c r="F26" s="314"/>
      <c r="G26" s="315" t="str">
        <f>IF(G25&lt;&gt;"",G24+G25,"")</f>
        <v/>
      </c>
      <c r="H26" s="315"/>
      <c r="I26" s="315"/>
      <c r="J26" s="188"/>
      <c r="K26" s="188"/>
      <c r="L26" s="166"/>
      <c r="M26" s="166"/>
      <c r="N26" s="166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</row>
    <row r="27" spans="1:27" ht="13.5" customHeight="1" thickBot="1" x14ac:dyDescent="0.25">
      <c r="A27" s="166"/>
      <c r="B27" s="166"/>
      <c r="C27" s="321"/>
      <c r="D27" s="321"/>
      <c r="E27" s="321"/>
      <c r="F27" s="321"/>
      <c r="G27" s="321"/>
      <c r="H27" s="321"/>
      <c r="I27" s="321"/>
      <c r="J27" s="321"/>
      <c r="K27" s="321"/>
      <c r="L27" s="166"/>
      <c r="M27" s="166"/>
      <c r="N27" s="166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</row>
    <row r="28" spans="1:27" ht="13.5" customHeight="1" thickBot="1" x14ac:dyDescent="0.25">
      <c r="A28" s="103"/>
      <c r="B28" s="103"/>
      <c r="C28" s="322" t="s">
        <v>115</v>
      </c>
      <c r="D28" s="323" t="str">
        <f>Despesas!B4</f>
        <v>FUSEX 3 %</v>
      </c>
      <c r="E28" s="323"/>
      <c r="F28" s="190"/>
      <c r="G28" s="324">
        <f>Despesas!E4</f>
        <v>263.92500000000001</v>
      </c>
      <c r="H28" s="325"/>
      <c r="I28" s="325"/>
      <c r="J28" s="216"/>
      <c r="K28" s="217"/>
      <c r="L28" s="103"/>
      <c r="M28" s="103"/>
      <c r="N28" s="103"/>
    </row>
    <row r="29" spans="1:27" ht="13.5" customHeight="1" thickBot="1" x14ac:dyDescent="0.25">
      <c r="A29" s="103"/>
      <c r="B29" s="103"/>
      <c r="C29" s="322"/>
      <c r="D29" s="180" t="str">
        <f>Despesas!B5</f>
        <v>FUSEX DPND</v>
      </c>
      <c r="E29" s="180"/>
      <c r="F29" s="191"/>
      <c r="G29" s="306">
        <f>Despesas!E5</f>
        <v>105.35</v>
      </c>
      <c r="H29" s="307"/>
      <c r="I29" s="307"/>
      <c r="J29" s="218"/>
      <c r="K29" s="182"/>
      <c r="L29" s="103"/>
      <c r="M29" s="103"/>
      <c r="N29" s="103"/>
    </row>
    <row r="30" spans="1:27" ht="13.5" customHeight="1" thickBot="1" x14ac:dyDescent="0.25">
      <c r="A30" s="103"/>
      <c r="B30" s="103"/>
      <c r="C30" s="322"/>
      <c r="D30" s="180" t="str">
        <f>Despesas!B6</f>
        <v>PENS MIL 10,5%</v>
      </c>
      <c r="E30" s="180"/>
      <c r="F30" s="191"/>
      <c r="G30" s="306">
        <f>Despesas!E6</f>
        <v>887.59124999999995</v>
      </c>
      <c r="H30" s="307"/>
      <c r="I30" s="307"/>
      <c r="J30" s="218"/>
      <c r="K30" s="182"/>
      <c r="L30" s="103"/>
      <c r="M30" s="103"/>
      <c r="N30" s="103"/>
    </row>
    <row r="31" spans="1:27" ht="13.5" customHeight="1" thickBot="1" x14ac:dyDescent="0.25">
      <c r="A31" s="103"/>
      <c r="B31" s="103"/>
      <c r="C31" s="322"/>
      <c r="D31" s="180" t="str">
        <f>Despesas!B7</f>
        <v>PENS MIL 1,5%</v>
      </c>
      <c r="E31" s="180"/>
      <c r="F31" s="191"/>
      <c r="G31" s="306">
        <f>Despesas!E7</f>
        <v>0</v>
      </c>
      <c r="H31" s="307"/>
      <c r="I31" s="307"/>
      <c r="J31" s="218"/>
      <c r="K31" s="182"/>
      <c r="L31" s="103"/>
      <c r="M31" s="103"/>
      <c r="N31" s="103"/>
    </row>
    <row r="32" spans="1:27" ht="13.5" customHeight="1" thickBot="1" x14ac:dyDescent="0.25">
      <c r="A32" s="103"/>
      <c r="B32" s="103"/>
      <c r="C32" s="322"/>
      <c r="D32" s="180" t="str">
        <f>Despesas!B8</f>
        <v>PENS JUDIC 1</v>
      </c>
      <c r="E32" s="180"/>
      <c r="F32" s="192"/>
      <c r="G32" s="306">
        <f>Despesas!E8</f>
        <v>0</v>
      </c>
      <c r="H32" s="307"/>
      <c r="I32" s="307"/>
      <c r="J32" s="218"/>
      <c r="K32" s="182"/>
      <c r="L32" s="103"/>
      <c r="M32" s="103"/>
      <c r="N32" s="103"/>
    </row>
    <row r="33" spans="1:27" ht="12.75" customHeight="1" thickBot="1" x14ac:dyDescent="0.25">
      <c r="A33" s="103"/>
      <c r="B33" s="103"/>
      <c r="C33" s="322"/>
      <c r="D33" s="180" t="str">
        <f>Despesas!B9</f>
        <v>PENS JUDIC 2</v>
      </c>
      <c r="E33" s="180"/>
      <c r="F33" s="192"/>
      <c r="G33" s="306">
        <f>Despesas!E9</f>
        <v>0</v>
      </c>
      <c r="H33" s="307"/>
      <c r="I33" s="307"/>
      <c r="J33" s="218"/>
      <c r="K33" s="182"/>
      <c r="L33" s="103"/>
      <c r="M33" s="103"/>
      <c r="N33" s="103"/>
    </row>
    <row r="34" spans="1:27" ht="12.75" customHeight="1" thickBot="1" x14ac:dyDescent="0.25">
      <c r="A34" s="103"/>
      <c r="B34" s="103"/>
      <c r="C34" s="322"/>
      <c r="D34" s="180" t="str">
        <f>Despesas!B10</f>
        <v>PENS JUDIC 3</v>
      </c>
      <c r="E34" s="180"/>
      <c r="F34" s="192"/>
      <c r="G34" s="306">
        <f>Despesas!E10</f>
        <v>0</v>
      </c>
      <c r="H34" s="307"/>
      <c r="I34" s="307"/>
      <c r="J34" s="218"/>
      <c r="K34" s="182"/>
      <c r="L34" s="103"/>
      <c r="M34" s="103"/>
      <c r="N34" s="103"/>
    </row>
    <row r="35" spans="1:27" ht="12.75" customHeight="1" thickBot="1" x14ac:dyDescent="0.25">
      <c r="A35" s="103"/>
      <c r="B35" s="103"/>
      <c r="C35" s="322"/>
      <c r="D35" s="214"/>
      <c r="E35" s="213"/>
      <c r="F35" s="183"/>
      <c r="G35" s="308"/>
      <c r="H35" s="309"/>
      <c r="I35" s="309"/>
      <c r="J35" s="39"/>
      <c r="K35" s="182"/>
      <c r="L35" s="103"/>
      <c r="M35" s="103"/>
      <c r="N35" s="103"/>
    </row>
    <row r="36" spans="1:27" ht="12.75" customHeight="1" thickBot="1" x14ac:dyDescent="0.25">
      <c r="A36" s="103"/>
      <c r="B36" s="103"/>
      <c r="C36" s="322"/>
      <c r="D36" s="214"/>
      <c r="E36" s="213"/>
      <c r="F36" s="194"/>
      <c r="G36" s="308"/>
      <c r="H36" s="309"/>
      <c r="I36" s="309"/>
      <c r="J36" s="39"/>
      <c r="K36" s="182"/>
      <c r="L36" s="103"/>
      <c r="M36" s="103"/>
      <c r="N36" s="103"/>
    </row>
    <row r="37" spans="1:27" ht="13.5" customHeight="1" thickBot="1" x14ac:dyDescent="0.25">
      <c r="A37" s="103"/>
      <c r="B37" s="103"/>
      <c r="C37" s="322"/>
      <c r="D37" s="214"/>
      <c r="E37" s="213"/>
      <c r="F37" s="182"/>
      <c r="G37" s="308"/>
      <c r="H37" s="309"/>
      <c r="I37" s="309"/>
      <c r="J37" s="39"/>
      <c r="K37" s="182"/>
      <c r="L37" s="103"/>
      <c r="M37" s="103"/>
      <c r="N37" s="103"/>
    </row>
    <row r="38" spans="1:27" ht="13.5" customHeight="1" thickBot="1" x14ac:dyDescent="0.25">
      <c r="A38" s="103"/>
      <c r="B38" s="103"/>
      <c r="C38" s="322"/>
      <c r="D38" s="316" t="s">
        <v>230</v>
      </c>
      <c r="E38" s="317"/>
      <c r="F38" s="215"/>
      <c r="G38" s="318">
        <v>7367.47</v>
      </c>
      <c r="H38" s="319"/>
      <c r="I38" s="319"/>
      <c r="J38" s="219"/>
      <c r="K38" s="220"/>
      <c r="L38" s="103"/>
      <c r="M38" s="195"/>
      <c r="N38" s="103"/>
    </row>
    <row r="39" spans="1:27" ht="13.5" customHeight="1" thickBot="1" x14ac:dyDescent="0.25">
      <c r="A39" s="103"/>
      <c r="B39" s="103"/>
      <c r="C39" s="311" t="s">
        <v>210</v>
      </c>
      <c r="D39" s="311"/>
      <c r="E39" s="311"/>
      <c r="F39" s="311"/>
      <c r="G39" s="312">
        <f>SUM(G28:G38)</f>
        <v>8624.3362500000003</v>
      </c>
      <c r="H39" s="312"/>
      <c r="I39" s="312"/>
      <c r="J39" s="187"/>
      <c r="K39" s="187"/>
      <c r="L39" s="103"/>
      <c r="M39" s="103"/>
      <c r="N39" s="103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</row>
    <row r="40" spans="1:27" ht="12.75" customHeight="1" thickBot="1" x14ac:dyDescent="0.25">
      <c r="A40" s="103"/>
      <c r="B40" s="103"/>
      <c r="C40" s="311" t="s">
        <v>211</v>
      </c>
      <c r="D40" s="311"/>
      <c r="E40" s="311"/>
      <c r="F40" s="311"/>
      <c r="G40" s="313">
        <f>(G24-G39)</f>
        <v>173.48374999999942</v>
      </c>
      <c r="H40" s="313"/>
      <c r="I40" s="313"/>
      <c r="J40" s="151"/>
      <c r="K40" s="151"/>
      <c r="L40" s="103"/>
      <c r="M40" s="103"/>
      <c r="N40" s="103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</row>
    <row r="41" spans="1:27" ht="8.25" customHeight="1" x14ac:dyDescent="0.2">
      <c r="A41" s="166"/>
      <c r="B41" s="166"/>
      <c r="C41" s="314" t="str">
        <f>IF(G25&lt;&gt;"","LIQUIDO C/13 SAL-1 PAR","")</f>
        <v/>
      </c>
      <c r="D41" s="314"/>
      <c r="E41" s="314"/>
      <c r="F41" s="314"/>
      <c r="G41" s="315" t="str">
        <f>IF(G25&lt;&gt;"",G25+G40,"")</f>
        <v/>
      </c>
      <c r="H41" s="315"/>
      <c r="I41" s="315"/>
      <c r="J41" s="196"/>
      <c r="K41" s="196"/>
      <c r="L41" s="166"/>
      <c r="M41" s="166"/>
      <c r="N41" s="166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</row>
    <row r="42" spans="1:27" ht="7.5" customHeight="1" x14ac:dyDescent="0.2">
      <c r="A42" s="197"/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</row>
    <row r="43" spans="1:27" ht="12.75" customHeight="1" x14ac:dyDescent="0.2">
      <c r="A43" s="103"/>
      <c r="B43" s="103"/>
      <c r="C43" s="246"/>
      <c r="D43" s="246"/>
      <c r="E43" s="246"/>
      <c r="F43" s="246"/>
      <c r="G43" s="246"/>
      <c r="H43" s="246"/>
      <c r="I43" s="246"/>
      <c r="J43" s="246"/>
      <c r="K43" s="246"/>
      <c r="L43" s="103"/>
      <c r="M43" s="103"/>
      <c r="N43" s="103"/>
    </row>
    <row r="44" spans="1:27" ht="12.75" customHeight="1" x14ac:dyDescent="0.2">
      <c r="A44" s="103"/>
      <c r="B44" s="103"/>
      <c r="C44" s="310">
        <f ca="1">Identificação!C13</f>
        <v>45226</v>
      </c>
      <c r="D44" s="310"/>
      <c r="E44" s="310"/>
      <c r="F44" s="310"/>
      <c r="G44" s="310"/>
      <c r="H44" s="310"/>
      <c r="I44" s="310"/>
      <c r="J44" s="310"/>
      <c r="K44" s="310"/>
      <c r="L44" s="103"/>
      <c r="M44" s="103"/>
      <c r="N44" s="103"/>
    </row>
    <row r="45" spans="1:27" ht="12.75" customHeight="1" x14ac:dyDescent="0.2">
      <c r="A45" s="103"/>
      <c r="B45" s="103"/>
      <c r="C45" s="246"/>
      <c r="D45" s="246"/>
      <c r="E45" s="246"/>
      <c r="F45" s="246"/>
      <c r="G45" s="246"/>
      <c r="H45" s="246"/>
      <c r="I45" s="246"/>
      <c r="J45" s="246"/>
      <c r="K45" s="246"/>
      <c r="L45" s="103"/>
      <c r="M45" s="103"/>
      <c r="N45" s="103"/>
    </row>
    <row r="46" spans="1:27" ht="12.75" customHeight="1" x14ac:dyDescent="0.2">
      <c r="A46" s="103"/>
      <c r="B46" s="103"/>
      <c r="C46" s="246"/>
      <c r="D46" s="246"/>
      <c r="E46" s="246"/>
      <c r="F46" s="246"/>
      <c r="G46" s="246"/>
      <c r="H46" s="246"/>
      <c r="I46" s="246"/>
      <c r="J46" s="246"/>
      <c r="K46" s="246"/>
      <c r="L46" s="103"/>
      <c r="M46" s="103"/>
      <c r="N46" s="103"/>
    </row>
    <row r="47" spans="1:27" ht="12.75" customHeight="1" x14ac:dyDescent="0.2">
      <c r="A47" s="103"/>
      <c r="B47" s="103"/>
      <c r="C47" s="246" t="s">
        <v>212</v>
      </c>
      <c r="D47" s="246"/>
      <c r="E47" s="246"/>
      <c r="F47" s="246"/>
      <c r="G47" s="246"/>
      <c r="H47" s="246"/>
      <c r="I47" s="246"/>
      <c r="J47" s="246"/>
      <c r="K47" s="246"/>
      <c r="L47" s="103"/>
      <c r="M47" s="103"/>
      <c r="N47" s="103"/>
    </row>
    <row r="48" spans="1:27" ht="12.75" customHeight="1" x14ac:dyDescent="0.2">
      <c r="A48" s="103"/>
      <c r="B48" s="103"/>
      <c r="C48" s="304" t="s">
        <v>228</v>
      </c>
      <c r="D48" s="305"/>
      <c r="E48" s="305"/>
      <c r="F48" s="305"/>
      <c r="G48" s="305"/>
      <c r="H48" s="305"/>
      <c r="I48" s="305"/>
      <c r="J48" s="305"/>
      <c r="K48" s="305"/>
      <c r="L48" s="103"/>
      <c r="M48" s="103"/>
      <c r="N48" s="103"/>
    </row>
    <row r="49" spans="1:11" ht="12.75" customHeight="1" x14ac:dyDescent="0.2">
      <c r="A49" s="103"/>
      <c r="B49" s="103"/>
      <c r="C49" s="246" t="s">
        <v>213</v>
      </c>
      <c r="D49" s="246"/>
      <c r="E49" s="246"/>
      <c r="F49" s="246"/>
      <c r="G49" s="246"/>
      <c r="H49" s="246"/>
      <c r="I49" s="246"/>
      <c r="J49" s="246"/>
      <c r="K49" s="246"/>
    </row>
    <row r="50" spans="1:11" ht="12.75" customHeight="1" x14ac:dyDescent="0.2">
      <c r="C50" s="246" t="s">
        <v>212</v>
      </c>
      <c r="D50" s="246"/>
      <c r="E50" s="246"/>
      <c r="F50" s="246"/>
      <c r="G50" s="246"/>
      <c r="H50" s="246"/>
      <c r="I50" s="246"/>
      <c r="J50" s="246"/>
      <c r="K50" s="246"/>
    </row>
    <row r="51" spans="1:11" ht="12.75" customHeight="1" x14ac:dyDescent="0.2">
      <c r="B51" s="103"/>
      <c r="C51" s="304" t="s">
        <v>229</v>
      </c>
      <c r="D51" s="305"/>
      <c r="E51" s="305"/>
      <c r="F51" s="305"/>
      <c r="G51" s="305"/>
      <c r="H51" s="305"/>
      <c r="I51" s="305"/>
      <c r="J51" s="305"/>
      <c r="K51" s="305"/>
    </row>
    <row r="52" spans="1:11" ht="12.75" customHeight="1" x14ac:dyDescent="0.2">
      <c r="B52" s="103"/>
      <c r="C52" s="246" t="s">
        <v>214</v>
      </c>
      <c r="D52" s="246"/>
      <c r="E52" s="246"/>
      <c r="F52" s="246"/>
      <c r="G52" s="246"/>
      <c r="H52" s="246"/>
      <c r="I52" s="246"/>
      <c r="J52" s="246"/>
      <c r="K52" s="246"/>
    </row>
    <row r="53" spans="1:11" ht="12.75" customHeight="1" x14ac:dyDescent="0.2"/>
    <row r="54" spans="1:11" ht="12.75" customHeight="1" x14ac:dyDescent="0.2"/>
    <row r="55" spans="1:11" ht="12.75" customHeight="1" x14ac:dyDescent="0.2"/>
    <row r="56" spans="1:11" ht="12.75" customHeight="1" x14ac:dyDescent="0.2"/>
    <row r="57" spans="1:11" ht="12.75" customHeight="1" x14ac:dyDescent="0.2"/>
    <row r="58" spans="1:11" ht="12.75" customHeight="1" x14ac:dyDescent="0.2"/>
    <row r="59" spans="1:11" ht="12.75" customHeight="1" x14ac:dyDescent="0.2"/>
    <row r="60" spans="1:11" ht="12.75" customHeight="1" x14ac:dyDescent="0.2"/>
    <row r="61" spans="1:11" ht="12.75" customHeight="1" x14ac:dyDescent="0.2"/>
    <row r="62" spans="1:11" ht="12.75" customHeight="1" x14ac:dyDescent="0.2"/>
    <row r="63" spans="1:11" ht="12.75" customHeight="1" x14ac:dyDescent="0.2"/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2">
    <mergeCell ref="C5:K5"/>
    <mergeCell ref="C6:K6"/>
    <mergeCell ref="C7:E7"/>
    <mergeCell ref="H7:K7"/>
    <mergeCell ref="C8:K8"/>
    <mergeCell ref="C9:E9"/>
    <mergeCell ref="F9:J9"/>
    <mergeCell ref="C10:K10"/>
    <mergeCell ref="C11:D11"/>
    <mergeCell ref="G11:I11"/>
    <mergeCell ref="C12:K12"/>
    <mergeCell ref="C13:E13"/>
    <mergeCell ref="G13:I13"/>
    <mergeCell ref="C14:C23"/>
    <mergeCell ref="D14:E14"/>
    <mergeCell ref="G14:I14"/>
    <mergeCell ref="G20:I20"/>
    <mergeCell ref="G21:I21"/>
    <mergeCell ref="G22:I22"/>
    <mergeCell ref="G23:I23"/>
    <mergeCell ref="G15:I15"/>
    <mergeCell ref="G16:I16"/>
    <mergeCell ref="G17:I17"/>
    <mergeCell ref="G18:I18"/>
    <mergeCell ref="G19:I19"/>
    <mergeCell ref="G36:I36"/>
    <mergeCell ref="G37:I37"/>
    <mergeCell ref="D38:E38"/>
    <mergeCell ref="G38:I38"/>
    <mergeCell ref="C24:F24"/>
    <mergeCell ref="G24:I24"/>
    <mergeCell ref="C25:F25"/>
    <mergeCell ref="G25:I25"/>
    <mergeCell ref="C26:F26"/>
    <mergeCell ref="G26:I26"/>
    <mergeCell ref="C27:K27"/>
    <mergeCell ref="C28:C38"/>
    <mergeCell ref="D28:E28"/>
    <mergeCell ref="G28:I28"/>
    <mergeCell ref="G29:I29"/>
    <mergeCell ref="G30:I30"/>
    <mergeCell ref="C44:K44"/>
    <mergeCell ref="C45:K45"/>
    <mergeCell ref="C46:K46"/>
    <mergeCell ref="C47:K47"/>
    <mergeCell ref="C39:F39"/>
    <mergeCell ref="G39:I39"/>
    <mergeCell ref="C40:F40"/>
    <mergeCell ref="G40:I40"/>
    <mergeCell ref="C41:F41"/>
    <mergeCell ref="G41:I41"/>
    <mergeCell ref="C43:K43"/>
    <mergeCell ref="G31:I31"/>
    <mergeCell ref="G32:I32"/>
    <mergeCell ref="G33:I33"/>
    <mergeCell ref="G34:I34"/>
    <mergeCell ref="G35:I35"/>
    <mergeCell ref="C52:K52"/>
    <mergeCell ref="C48:K48"/>
    <mergeCell ref="C49:K49"/>
    <mergeCell ref="C50:K50"/>
    <mergeCell ref="C51:K51"/>
  </mergeCells>
  <conditionalFormatting sqref="C25:K26 C40:I41 O26">
    <cfRule type="cellIs" dxfId="0" priority="2" operator="notEqual">
      <formula>""</formula>
    </cfRule>
  </conditionalFormatting>
  <dataValidations count="1">
    <dataValidation type="list" allowBlank="1" showInputMessage="1" showErrorMessage="1" prompt=" - " sqref="H7">
      <formula1>"OM: Cmdo CMNE,OM: Cmdo 7ª DE,OM: Cmdo 7ª RM,OM: Cmdo 10ª Bda,OM: B Adm Curado,OM: 4º BPE,OM: 5º CTA,OM: CIMNC,OM: 10º Esqd C Mec,OM: Cia C/CMNE,OM: Cia C/10ª Bda,OM: 5º Cia Intlg,OM: 10º Pel PE,OM: CRO/7,OM: 7º CGCFEx,OM: 7ª Cia Com,OM: 7º GAC,OM: 4º B Co"</formula1>
      <formula2>0</formula2>
    </dataValidation>
  </dataValidations>
  <pageMargins left="0.70866141732283472" right="0.70866141732283472" top="0.74803149606299213" bottom="0.74803149606299213" header="0.51181102362204722" footer="0.51181102362204722"/>
  <pageSetup scale="81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16" zoomScale="120" zoomScaleNormal="120" workbookViewId="0">
      <selection activeCell="B41" sqref="B41"/>
    </sheetView>
  </sheetViews>
  <sheetFormatPr defaultRowHeight="12.75" x14ac:dyDescent="0.2"/>
  <cols>
    <col min="1" max="1" width="0.5703125" customWidth="1"/>
    <col min="2" max="2" width="16.7109375" customWidth="1"/>
    <col min="3" max="3" width="14.42578125" customWidth="1"/>
    <col min="4" max="4" width="7.42578125" customWidth="1"/>
    <col min="5" max="5" width="18.85546875" customWidth="1"/>
    <col min="6" max="6" width="10.85546875" customWidth="1"/>
    <col min="7" max="7" width="8.42578125" customWidth="1"/>
    <col min="8" max="8" width="13.85546875" customWidth="1"/>
    <col min="9" max="9" width="17.42578125" customWidth="1"/>
    <col min="10" max="10" width="8.7109375" customWidth="1"/>
    <col min="11" max="11" width="11.7109375" customWidth="1"/>
    <col min="12" max="12" width="8.85546875" customWidth="1"/>
    <col min="13" max="14" width="8.7109375" customWidth="1"/>
    <col min="15" max="26" width="8" customWidth="1"/>
    <col min="27" max="1025" width="12.5703125" customWidth="1"/>
  </cols>
  <sheetData>
    <row r="1" spans="1:14" ht="12.75" customHeight="1" x14ac:dyDescent="0.2">
      <c r="A1" s="272" t="s">
        <v>215</v>
      </c>
      <c r="B1" s="272"/>
      <c r="C1" s="272"/>
      <c r="D1" s="272"/>
      <c r="E1" s="272"/>
      <c r="F1" s="272"/>
      <c r="G1" s="272"/>
      <c r="H1" s="272"/>
      <c r="I1" s="272"/>
      <c r="L1" s="199"/>
    </row>
    <row r="2" spans="1:14" ht="12.75" customHeight="1" x14ac:dyDescent="0.2">
      <c r="A2" s="10"/>
      <c r="B2" s="345"/>
      <c r="C2" s="345"/>
      <c r="D2" s="345"/>
      <c r="E2" s="345"/>
      <c r="F2" s="345"/>
      <c r="G2" s="345"/>
      <c r="H2" s="345"/>
      <c r="I2" s="345"/>
      <c r="J2" s="2"/>
      <c r="L2" s="199"/>
    </row>
    <row r="3" spans="1:14" ht="12.75" customHeight="1" x14ac:dyDescent="0.2">
      <c r="A3" s="10"/>
      <c r="B3" s="70" t="s">
        <v>10</v>
      </c>
      <c r="C3" s="71" t="s">
        <v>48</v>
      </c>
      <c r="D3" s="292"/>
      <c r="E3" s="272" t="s">
        <v>65</v>
      </c>
      <c r="F3" s="272"/>
      <c r="G3" s="286"/>
      <c r="H3" s="245" t="s">
        <v>169</v>
      </c>
      <c r="I3" s="245"/>
      <c r="L3" s="199"/>
    </row>
    <row r="4" spans="1:14" ht="12.75" customHeight="1" x14ac:dyDescent="0.2">
      <c r="A4" s="10"/>
      <c r="B4" s="74" t="s">
        <v>70</v>
      </c>
      <c r="C4" s="200">
        <f>C5+(C5-C6)</f>
        <v>14030</v>
      </c>
      <c r="D4" s="292"/>
      <c r="E4" s="72" t="s">
        <v>66</v>
      </c>
      <c r="F4" s="73">
        <v>0.28000000000000003</v>
      </c>
      <c r="G4" s="286"/>
      <c r="H4" s="270" t="s">
        <v>173</v>
      </c>
      <c r="I4" s="270"/>
      <c r="L4" s="199"/>
    </row>
    <row r="5" spans="1:14" ht="12.75" customHeight="1" x14ac:dyDescent="0.2">
      <c r="A5" s="10"/>
      <c r="B5" s="37" t="s">
        <v>12</v>
      </c>
      <c r="C5" s="201">
        <v>13471</v>
      </c>
      <c r="D5" s="292"/>
      <c r="E5" s="76" t="s">
        <v>68</v>
      </c>
      <c r="F5" s="34">
        <v>0.25</v>
      </c>
      <c r="G5" s="286"/>
      <c r="H5" s="271" t="s">
        <v>177</v>
      </c>
      <c r="I5" s="271"/>
    </row>
    <row r="6" spans="1:14" ht="12.75" customHeight="1" x14ac:dyDescent="0.2">
      <c r="A6" s="10"/>
      <c r="B6" s="37" t="s">
        <v>13</v>
      </c>
      <c r="C6" s="202">
        <v>12912</v>
      </c>
      <c r="D6" s="292"/>
      <c r="E6" s="76" t="s">
        <v>71</v>
      </c>
      <c r="F6" s="34">
        <v>0.22</v>
      </c>
      <c r="G6" s="286"/>
      <c r="H6" s="278"/>
      <c r="I6" s="278"/>
    </row>
    <row r="7" spans="1:14" ht="12.75" customHeight="1" x14ac:dyDescent="0.2">
      <c r="A7" s="10"/>
      <c r="B7" s="37" t="s">
        <v>14</v>
      </c>
      <c r="C7" s="202">
        <v>12490</v>
      </c>
      <c r="D7" s="292"/>
      <c r="E7" s="76" t="s">
        <v>73</v>
      </c>
      <c r="F7" s="34">
        <v>0.19</v>
      </c>
      <c r="G7" s="286"/>
      <c r="H7" s="245" t="s">
        <v>216</v>
      </c>
      <c r="I7" s="245"/>
    </row>
    <row r="8" spans="1:14" ht="12.75" customHeight="1" x14ac:dyDescent="0.2">
      <c r="A8" s="10"/>
      <c r="B8" s="37" t="s">
        <v>15</v>
      </c>
      <c r="C8" s="202">
        <v>11451</v>
      </c>
      <c r="D8" s="292"/>
      <c r="E8" s="76" t="s">
        <v>75</v>
      </c>
      <c r="F8" s="34">
        <v>0.16</v>
      </c>
      <c r="G8" s="286"/>
      <c r="H8" s="346">
        <v>0.25</v>
      </c>
      <c r="I8" s="346"/>
      <c r="M8" s="203"/>
      <c r="N8" s="203"/>
    </row>
    <row r="9" spans="1:14" ht="12.75" customHeight="1" x14ac:dyDescent="0.2">
      <c r="A9" s="10"/>
      <c r="B9" s="37" t="s">
        <v>16</v>
      </c>
      <c r="C9" s="202">
        <v>11250</v>
      </c>
      <c r="D9" s="292"/>
      <c r="E9" s="76" t="s">
        <v>77</v>
      </c>
      <c r="F9" s="34">
        <v>0.13</v>
      </c>
      <c r="G9" s="286"/>
      <c r="H9" s="347">
        <v>0</v>
      </c>
      <c r="I9" s="347"/>
      <c r="M9" s="203"/>
      <c r="N9" s="203"/>
    </row>
    <row r="10" spans="1:14" ht="12.75" customHeight="1" x14ac:dyDescent="0.2">
      <c r="A10" s="10"/>
      <c r="B10" s="37" t="s">
        <v>17</v>
      </c>
      <c r="C10" s="202">
        <v>11088</v>
      </c>
      <c r="D10" s="292"/>
      <c r="E10" s="78"/>
      <c r="F10" s="42">
        <v>0</v>
      </c>
      <c r="G10" s="286"/>
      <c r="H10" s="348"/>
      <c r="I10" s="348"/>
      <c r="M10" s="203"/>
      <c r="N10" s="203"/>
    </row>
    <row r="11" spans="1:14" ht="12.75" customHeight="1" x14ac:dyDescent="0.2">
      <c r="A11" s="10"/>
      <c r="B11" s="37" t="s">
        <v>18</v>
      </c>
      <c r="C11" s="202">
        <v>9135</v>
      </c>
      <c r="D11" s="292"/>
      <c r="E11" s="278"/>
      <c r="F11" s="278"/>
      <c r="G11" s="286"/>
      <c r="H11" s="286"/>
      <c r="I11" s="348"/>
      <c r="M11" s="203"/>
      <c r="N11" s="203"/>
    </row>
    <row r="12" spans="1:14" ht="12.75" customHeight="1" x14ac:dyDescent="0.2">
      <c r="A12" s="10"/>
      <c r="B12" s="37" t="s">
        <v>19</v>
      </c>
      <c r="C12" s="202">
        <v>8245</v>
      </c>
      <c r="D12" s="292"/>
      <c r="E12" s="272" t="s">
        <v>84</v>
      </c>
      <c r="F12" s="272"/>
      <c r="G12" s="286"/>
      <c r="H12" s="344" t="s">
        <v>217</v>
      </c>
      <c r="I12" s="344"/>
      <c r="M12" s="203"/>
      <c r="N12" s="203"/>
    </row>
    <row r="13" spans="1:14" ht="12.75" customHeight="1" x14ac:dyDescent="0.2">
      <c r="A13" s="10"/>
      <c r="B13" s="37" t="s">
        <v>20</v>
      </c>
      <c r="C13" s="202">
        <v>7490</v>
      </c>
      <c r="D13" s="292"/>
      <c r="E13" s="72" t="s">
        <v>86</v>
      </c>
      <c r="F13" s="73">
        <v>0.73</v>
      </c>
      <c r="G13" s="286"/>
      <c r="H13" s="205">
        <v>6576</v>
      </c>
      <c r="I13" s="204" t="s">
        <v>218</v>
      </c>
      <c r="M13" s="203"/>
      <c r="N13" s="203"/>
    </row>
    <row r="14" spans="1:14" ht="12.75" customHeight="1" x14ac:dyDescent="0.2">
      <c r="A14" s="10"/>
      <c r="B14" s="37" t="s">
        <v>21</v>
      </c>
      <c r="C14" s="202">
        <v>7315</v>
      </c>
      <c r="D14" s="292"/>
      <c r="E14" s="76" t="s">
        <v>88</v>
      </c>
      <c r="F14" s="34">
        <v>0.68</v>
      </c>
      <c r="G14" s="286"/>
      <c r="H14" s="206">
        <v>5.5E-2</v>
      </c>
      <c r="I14" s="204" t="s">
        <v>219</v>
      </c>
      <c r="M14" s="203"/>
      <c r="N14" s="203"/>
    </row>
    <row r="15" spans="1:14" ht="12.75" customHeight="1" x14ac:dyDescent="0.2">
      <c r="A15" s="10"/>
      <c r="B15" s="37" t="s">
        <v>90</v>
      </c>
      <c r="C15" s="202">
        <v>1630</v>
      </c>
      <c r="D15" s="292"/>
      <c r="E15" s="76" t="s">
        <v>91</v>
      </c>
      <c r="F15" s="34">
        <v>0.45</v>
      </c>
      <c r="G15" s="286"/>
      <c r="H15" s="207">
        <f>H13*H14</f>
        <v>361.68</v>
      </c>
      <c r="I15" s="204" t="s">
        <v>220</v>
      </c>
      <c r="M15" s="203"/>
      <c r="N15" s="203"/>
    </row>
    <row r="16" spans="1:14" ht="12.75" customHeight="1" x14ac:dyDescent="0.2">
      <c r="A16" s="10"/>
      <c r="B16" s="37" t="s">
        <v>23</v>
      </c>
      <c r="C16" s="202">
        <v>1334</v>
      </c>
      <c r="D16" s="292"/>
      <c r="E16" s="76" t="s">
        <v>93</v>
      </c>
      <c r="F16" s="34">
        <v>0.27</v>
      </c>
      <c r="G16" s="286"/>
      <c r="H16" s="208">
        <f>H13+H15</f>
        <v>6937.68</v>
      </c>
      <c r="I16" s="204" t="s">
        <v>221</v>
      </c>
      <c r="M16" s="203"/>
      <c r="N16" s="203"/>
    </row>
    <row r="17" spans="1:14" ht="12.75" customHeight="1" x14ac:dyDescent="0.2">
      <c r="A17" s="10"/>
      <c r="B17" s="37" t="s">
        <v>24</v>
      </c>
      <c r="C17" s="202">
        <v>1334</v>
      </c>
      <c r="D17" s="292"/>
      <c r="E17" s="76" t="s">
        <v>95</v>
      </c>
      <c r="F17" s="34">
        <v>0.12</v>
      </c>
      <c r="G17" s="286"/>
      <c r="H17" s="208">
        <v>6938</v>
      </c>
      <c r="I17" s="204" t="s">
        <v>222</v>
      </c>
      <c r="M17" s="203"/>
      <c r="N17" s="203"/>
    </row>
    <row r="18" spans="1:14" ht="12.75" customHeight="1" x14ac:dyDescent="0.2">
      <c r="A18" s="10"/>
      <c r="B18" s="37" t="s">
        <v>25</v>
      </c>
      <c r="C18" s="202">
        <v>1199</v>
      </c>
      <c r="D18" s="292"/>
      <c r="E18" s="78"/>
      <c r="F18" s="42">
        <v>0</v>
      </c>
      <c r="G18" s="286"/>
      <c r="H18" s="286"/>
      <c r="I18" s="286"/>
      <c r="M18" s="203"/>
      <c r="N18" s="203"/>
    </row>
    <row r="19" spans="1:14" ht="12.75" customHeight="1" x14ac:dyDescent="0.2">
      <c r="A19" s="10"/>
      <c r="B19" s="37" t="s">
        <v>26</v>
      </c>
      <c r="C19" s="202">
        <v>1199</v>
      </c>
      <c r="D19" s="292"/>
      <c r="E19" s="286"/>
      <c r="F19" s="286"/>
      <c r="G19" s="286"/>
      <c r="H19" s="286"/>
      <c r="I19" s="286"/>
      <c r="M19" s="203"/>
      <c r="N19" s="203"/>
    </row>
    <row r="20" spans="1:14" ht="12.75" customHeight="1" x14ac:dyDescent="0.2">
      <c r="A20" s="10"/>
      <c r="B20" s="37" t="s">
        <v>27</v>
      </c>
      <c r="C20" s="200">
        <v>1185</v>
      </c>
      <c r="D20" s="292"/>
      <c r="E20" s="286"/>
      <c r="F20" s="286"/>
      <c r="G20" s="286"/>
      <c r="H20" s="286"/>
      <c r="I20" s="286"/>
      <c r="M20" s="203"/>
      <c r="N20" s="203"/>
    </row>
    <row r="21" spans="1:14" ht="12.75" customHeight="1" x14ac:dyDescent="0.2">
      <c r="A21" s="10"/>
      <c r="B21" s="84" t="s">
        <v>3</v>
      </c>
      <c r="C21" s="200">
        <v>6169</v>
      </c>
      <c r="D21" s="292"/>
      <c r="E21" s="286"/>
      <c r="F21" s="286"/>
      <c r="G21" s="286"/>
      <c r="H21" s="286"/>
      <c r="I21" s="286"/>
      <c r="M21" s="203"/>
      <c r="N21" s="203"/>
    </row>
    <row r="22" spans="1:14" ht="12.75" customHeight="1" x14ac:dyDescent="0.2">
      <c r="A22" s="10"/>
      <c r="B22" s="84" t="s">
        <v>28</v>
      </c>
      <c r="C22" s="200">
        <v>5483</v>
      </c>
      <c r="D22" s="292"/>
      <c r="E22" s="286"/>
      <c r="F22" s="286"/>
      <c r="G22" s="286"/>
      <c r="H22" s="286"/>
      <c r="I22" s="286"/>
      <c r="M22" s="203"/>
      <c r="N22" s="203"/>
    </row>
    <row r="23" spans="1:14" ht="12.75" customHeight="1" x14ac:dyDescent="0.2">
      <c r="A23" s="10"/>
      <c r="B23" s="84" t="s">
        <v>29</v>
      </c>
      <c r="C23" s="200">
        <v>4770</v>
      </c>
      <c r="D23" s="292"/>
      <c r="E23" s="286"/>
      <c r="F23" s="286"/>
      <c r="G23" s="286"/>
      <c r="H23" s="286"/>
      <c r="I23" s="286"/>
      <c r="M23" s="203"/>
      <c r="N23" s="203"/>
    </row>
    <row r="24" spans="1:14" ht="12.75" customHeight="1" x14ac:dyDescent="0.2">
      <c r="A24" s="10"/>
      <c r="B24" s="84" t="s">
        <v>30</v>
      </c>
      <c r="C24" s="209">
        <v>3825</v>
      </c>
      <c r="D24" s="292"/>
      <c r="E24" s="286"/>
      <c r="F24" s="286"/>
      <c r="G24" s="286"/>
      <c r="H24" s="286"/>
      <c r="I24" s="286"/>
      <c r="M24" s="203"/>
      <c r="N24" s="203"/>
    </row>
    <row r="25" spans="1:14" ht="12.75" customHeight="1" x14ac:dyDescent="0.2">
      <c r="A25" s="10"/>
      <c r="B25" s="37" t="s">
        <v>31</v>
      </c>
      <c r="C25" s="209">
        <v>2627</v>
      </c>
      <c r="D25" s="292"/>
      <c r="E25" s="286"/>
      <c r="F25" s="286"/>
      <c r="G25" s="286"/>
      <c r="H25" s="286"/>
      <c r="I25" s="286"/>
      <c r="M25" s="203"/>
      <c r="N25" s="203"/>
    </row>
    <row r="26" spans="1:14" ht="12.75" customHeight="1" x14ac:dyDescent="0.2">
      <c r="A26" s="10"/>
      <c r="B26" s="37" t="s">
        <v>103</v>
      </c>
      <c r="C26" s="209">
        <v>1078</v>
      </c>
      <c r="D26" s="292"/>
      <c r="E26" s="286"/>
      <c r="F26" s="286"/>
      <c r="G26" s="286"/>
      <c r="H26" s="286"/>
      <c r="I26" s="286"/>
      <c r="M26" s="203"/>
      <c r="N26" s="203"/>
    </row>
    <row r="27" spans="1:14" ht="12.75" customHeight="1" x14ac:dyDescent="0.2">
      <c r="A27" s="10"/>
      <c r="B27" s="37" t="s">
        <v>105</v>
      </c>
      <c r="C27" s="209">
        <v>1926</v>
      </c>
      <c r="D27" s="10"/>
      <c r="E27" s="10"/>
      <c r="F27" s="10"/>
      <c r="G27" s="10"/>
      <c r="H27" s="10"/>
      <c r="I27" s="10"/>
      <c r="M27" s="203"/>
      <c r="N27" s="203"/>
    </row>
    <row r="28" spans="1:14" ht="12.75" customHeight="1" x14ac:dyDescent="0.2">
      <c r="A28" s="10"/>
      <c r="B28" s="37" t="s">
        <v>34</v>
      </c>
      <c r="C28" s="209">
        <v>1765</v>
      </c>
      <c r="D28" s="10"/>
      <c r="E28" s="10"/>
      <c r="F28" s="10"/>
      <c r="G28" s="10"/>
      <c r="H28" s="10"/>
      <c r="I28" s="10"/>
      <c r="M28" s="203"/>
      <c r="N28" s="203"/>
    </row>
    <row r="29" spans="1:14" ht="12.75" customHeight="1" x14ac:dyDescent="0.2">
      <c r="A29" s="10"/>
      <c r="B29" s="37" t="s">
        <v>35</v>
      </c>
      <c r="C29" s="209">
        <v>1078</v>
      </c>
      <c r="D29" s="10"/>
      <c r="E29" s="10"/>
      <c r="F29" s="10"/>
      <c r="G29" s="10"/>
      <c r="H29" s="10"/>
      <c r="I29" s="10"/>
      <c r="M29" s="203"/>
      <c r="N29" s="203"/>
    </row>
    <row r="30" spans="1:14" ht="12.75" customHeight="1" x14ac:dyDescent="0.2">
      <c r="A30" s="10"/>
      <c r="B30" s="37" t="s">
        <v>36</v>
      </c>
      <c r="C30" s="209">
        <v>1765</v>
      </c>
      <c r="D30" s="10"/>
      <c r="E30" s="10"/>
      <c r="F30" s="10"/>
      <c r="G30" s="10"/>
      <c r="H30" s="10"/>
      <c r="I30" s="10"/>
      <c r="M30" s="203"/>
      <c r="N30" s="203"/>
    </row>
    <row r="31" spans="1:14" ht="12.75" customHeight="1" x14ac:dyDescent="0.2">
      <c r="A31" s="10"/>
      <c r="B31" s="37" t="s">
        <v>37</v>
      </c>
      <c r="C31" s="209">
        <v>1078</v>
      </c>
      <c r="D31" s="10"/>
      <c r="E31" s="10"/>
      <c r="F31" s="10"/>
      <c r="G31" s="10"/>
      <c r="H31" s="10"/>
      <c r="I31" s="10"/>
      <c r="M31" s="203"/>
      <c r="N31" s="203"/>
    </row>
    <row r="32" spans="1:14" ht="12.75" customHeight="1" x14ac:dyDescent="0.2">
      <c r="A32" s="10"/>
      <c r="B32" s="37" t="s">
        <v>38</v>
      </c>
      <c r="C32" s="209">
        <v>2627</v>
      </c>
      <c r="D32" s="10"/>
      <c r="E32" s="10"/>
      <c r="F32" s="10"/>
      <c r="G32" s="10"/>
      <c r="H32" s="10"/>
      <c r="I32" s="10"/>
      <c r="M32" s="203"/>
      <c r="N32" s="203"/>
    </row>
    <row r="33" spans="1:14" ht="12.75" customHeight="1" x14ac:dyDescent="0.2">
      <c r="A33" s="10"/>
      <c r="B33" s="37" t="s">
        <v>39</v>
      </c>
      <c r="C33" s="209">
        <v>2325</v>
      </c>
      <c r="D33" s="10"/>
      <c r="E33" s="10"/>
      <c r="F33" s="10"/>
      <c r="G33" s="10"/>
      <c r="H33" s="10"/>
      <c r="I33" s="10"/>
      <c r="M33" s="203"/>
      <c r="N33" s="203"/>
    </row>
    <row r="34" spans="1:14" ht="12.75" customHeight="1" x14ac:dyDescent="0.2">
      <c r="A34" s="10"/>
      <c r="B34" s="37" t="s">
        <v>40</v>
      </c>
      <c r="C34" s="210">
        <v>2210</v>
      </c>
      <c r="D34" s="10"/>
      <c r="E34" s="10"/>
      <c r="F34" s="10"/>
      <c r="G34" s="10"/>
      <c r="H34" s="10"/>
      <c r="I34" s="10"/>
      <c r="M34" s="203"/>
      <c r="N34" s="203"/>
    </row>
    <row r="35" spans="1:14" ht="12.75" customHeight="1" x14ac:dyDescent="0.2">
      <c r="A35" s="10"/>
      <c r="B35" s="48" t="s">
        <v>41</v>
      </c>
      <c r="C35" s="211">
        <v>1765</v>
      </c>
      <c r="D35" s="10"/>
      <c r="E35" s="10"/>
      <c r="F35" s="10"/>
      <c r="G35" s="10"/>
      <c r="H35" s="10"/>
      <c r="I35" s="10"/>
      <c r="M35" s="203"/>
      <c r="N35" s="203"/>
    </row>
    <row r="36" spans="1:14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M36" s="203"/>
      <c r="N36" s="203"/>
    </row>
    <row r="37" spans="1:14" ht="12.75" customHeight="1" x14ac:dyDescent="0.2"/>
    <row r="38" spans="1:14" ht="12.75" customHeight="1" x14ac:dyDescent="0.2"/>
    <row r="39" spans="1:14" ht="12.75" customHeight="1" x14ac:dyDescent="0.2"/>
    <row r="40" spans="1:14" ht="12.75" customHeight="1" x14ac:dyDescent="0.2"/>
    <row r="41" spans="1:14" ht="12.75" customHeight="1" x14ac:dyDescent="0.2"/>
    <row r="42" spans="1:14" ht="12.75" customHeight="1" x14ac:dyDescent="0.2"/>
    <row r="43" spans="1:14" ht="12.75" customHeight="1" x14ac:dyDescent="0.2"/>
    <row r="44" spans="1:14" ht="12.75" customHeight="1" x14ac:dyDescent="0.2"/>
    <row r="45" spans="1:14" ht="12.75" customHeight="1" x14ac:dyDescent="0.2"/>
    <row r="46" spans="1:14" ht="12.75" customHeight="1" x14ac:dyDescent="0.2"/>
    <row r="47" spans="1:14" ht="12.75" customHeight="1" x14ac:dyDescent="0.2"/>
    <row r="48" spans="1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I1"/>
    <mergeCell ref="B2:I2"/>
    <mergeCell ref="D3:D26"/>
    <mergeCell ref="E3:F3"/>
    <mergeCell ref="G3:G18"/>
    <mergeCell ref="H3:I3"/>
    <mergeCell ref="H4:I4"/>
    <mergeCell ref="H5:I5"/>
    <mergeCell ref="H6:I6"/>
    <mergeCell ref="H7:I7"/>
    <mergeCell ref="H8:I8"/>
    <mergeCell ref="H9:I9"/>
    <mergeCell ref="H10:I11"/>
    <mergeCell ref="E11:F11"/>
    <mergeCell ref="E12:F12"/>
    <mergeCell ref="H12:I12"/>
    <mergeCell ref="H18:I18"/>
    <mergeCell ref="E19:I26"/>
  </mergeCell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Receitas</vt:lpstr>
      <vt:lpstr>Despesas</vt:lpstr>
      <vt:lpstr>I R</vt:lpstr>
      <vt:lpstr>P J</vt:lpstr>
      <vt:lpstr>F Aux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3º Sgt Carlos Andre</dc:creator>
  <cp:lastModifiedBy>Acesso Público</cp:lastModifiedBy>
  <cp:revision>56</cp:revision>
  <cp:lastPrinted>2023-08-21T13:29:11Z</cp:lastPrinted>
  <dcterms:created xsi:type="dcterms:W3CDTF">2023-07-20T10:42:02Z</dcterms:created>
  <dcterms:modified xsi:type="dcterms:W3CDTF">2023-10-27T14:30:16Z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